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tabRatio="809"/>
  </bookViews>
  <sheets>
    <sheet name="BP Profitability_Sample" sheetId="2" r:id="rId1"/>
    <sheet name="cost_base" sheetId="4" r:id="rId2"/>
    <sheet name="payouts_table_AMD" sheetId="5" r:id="rId3"/>
    <sheet name="Pivot Table Cost Base" sheetId="6" r:id="rId4"/>
    <sheet name="Payout" sheetId="7" r:id="rId5"/>
    <sheet name="EDA" sheetId="9" r:id="rId6"/>
  </sheets>
  <definedNames>
    <definedName name="_xlnm._FilterDatabase" localSheetId="0" hidden="1">'BP Profitability_Sample'!$A$1:$M$49</definedName>
    <definedName name="_xlnm._FilterDatabase" localSheetId="1" hidden="1">cost_base!$A$1:$Q$64</definedName>
    <definedName name="_xlnm._FilterDatabase" localSheetId="4" hidden="1">Payout!$A$1:$F$64</definedName>
    <definedName name="_xlnm._FilterDatabase" localSheetId="2" hidden="1">payouts_table_AMD!$A$1:$E$52</definedName>
    <definedName name="b" localSheetId="1">#REF!</definedName>
    <definedName name="b" localSheetId="2">#REF!</definedName>
    <definedName name="b">#REF!</definedName>
    <definedName name="cp" localSheetId="1">#REF!</definedName>
    <definedName name="cp" localSheetId="2">#REF!</definedName>
    <definedName name="cp">#REF!</definedName>
    <definedName name="p" localSheetId="1">#REF!</definedName>
    <definedName name="p" localSheetId="2">#REF!</definedName>
    <definedName name="p">#REF!</definedName>
  </definedNames>
  <calcPr calcId="144525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3" i="9"/>
  <c r="E2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E3" i="2"/>
  <c r="E4" i="2"/>
  <c r="E5" i="2"/>
  <c r="E6" i="2"/>
  <c r="E7" i="2"/>
  <c r="G7" i="2" s="1"/>
  <c r="H7" i="2" s="1"/>
  <c r="L7" i="2" s="1"/>
  <c r="E8" i="2"/>
  <c r="E9" i="2"/>
  <c r="E10" i="2"/>
  <c r="E11" i="2"/>
  <c r="G11" i="2" s="1"/>
  <c r="H11" i="2" s="1"/>
  <c r="L11" i="2" s="1"/>
  <c r="E12" i="2"/>
  <c r="G12" i="2" s="1"/>
  <c r="H12" i="2" s="1"/>
  <c r="L12" i="2" s="1"/>
  <c r="E13" i="2"/>
  <c r="E14" i="2"/>
  <c r="E15" i="2"/>
  <c r="E16" i="2"/>
  <c r="E17" i="2"/>
  <c r="E18" i="2"/>
  <c r="G18" i="2" s="1"/>
  <c r="H18" i="2" s="1"/>
  <c r="L18" i="2" s="1"/>
  <c r="E19" i="2"/>
  <c r="E20" i="2"/>
  <c r="E21" i="2"/>
  <c r="E22" i="2"/>
  <c r="G22" i="2" s="1"/>
  <c r="H22" i="2" s="1"/>
  <c r="L22" i="2" s="1"/>
  <c r="E23" i="2"/>
  <c r="G23" i="2" s="1"/>
  <c r="H23" i="2" s="1"/>
  <c r="L23" i="2" s="1"/>
  <c r="E24" i="2"/>
  <c r="E25" i="2"/>
  <c r="E26" i="2"/>
  <c r="E27" i="2"/>
  <c r="G27" i="2" s="1"/>
  <c r="H27" i="2" s="1"/>
  <c r="L27" i="2" s="1"/>
  <c r="E28" i="2"/>
  <c r="G28" i="2" s="1"/>
  <c r="H28" i="2" s="1"/>
  <c r="L28" i="2" s="1"/>
  <c r="E29" i="2"/>
  <c r="E30" i="2"/>
  <c r="E31" i="2"/>
  <c r="E32" i="2"/>
  <c r="G32" i="2" s="1"/>
  <c r="H32" i="2" s="1"/>
  <c r="L32" i="2" s="1"/>
  <c r="E33" i="2"/>
  <c r="E34" i="2"/>
  <c r="G34" i="2" s="1"/>
  <c r="H34" i="2" s="1"/>
  <c r="L34" i="2" s="1"/>
  <c r="E35" i="2"/>
  <c r="E36" i="2"/>
  <c r="E37" i="2"/>
  <c r="E38" i="2"/>
  <c r="E39" i="2"/>
  <c r="G39" i="2" s="1"/>
  <c r="H39" i="2" s="1"/>
  <c r="L39" i="2" s="1"/>
  <c r="E40" i="2"/>
  <c r="E41" i="2"/>
  <c r="E42" i="2"/>
  <c r="E43" i="2"/>
  <c r="G43" i="2" s="1"/>
  <c r="H43" i="2" s="1"/>
  <c r="L43" i="2" s="1"/>
  <c r="E44" i="2"/>
  <c r="E45" i="2"/>
  <c r="E46" i="2"/>
  <c r="E47" i="2"/>
  <c r="E48" i="2"/>
  <c r="E49" i="2"/>
  <c r="E2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I23" i="2" s="1"/>
  <c r="J23" i="2" s="1"/>
  <c r="M23" i="2" s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I7" i="2" s="1"/>
  <c r="J7" i="2" s="1"/>
  <c r="M7" i="2" s="1"/>
  <c r="B6" i="2"/>
  <c r="B5" i="2"/>
  <c r="B4" i="2"/>
  <c r="B3" i="2"/>
  <c r="B2" i="2"/>
  <c r="I48" i="2" l="1"/>
  <c r="J48" i="2" s="1"/>
  <c r="M48" i="2" s="1"/>
  <c r="I44" i="2"/>
  <c r="J44" i="2" s="1"/>
  <c r="M44" i="2" s="1"/>
  <c r="I20" i="2"/>
  <c r="J20" i="2" s="1"/>
  <c r="M20" i="2" s="1"/>
  <c r="I16" i="2"/>
  <c r="J16" i="2" s="1"/>
  <c r="M16" i="2" s="1"/>
  <c r="I8" i="2"/>
  <c r="J8" i="2" s="1"/>
  <c r="M8" i="2" s="1"/>
  <c r="I4" i="2"/>
  <c r="J4" i="2" s="1"/>
  <c r="M4" i="2" s="1"/>
  <c r="I47" i="2"/>
  <c r="J47" i="2" s="1"/>
  <c r="M47" i="2" s="1"/>
  <c r="I19" i="2"/>
  <c r="J19" i="2" s="1"/>
  <c r="M19" i="2" s="1"/>
  <c r="I3" i="2"/>
  <c r="J3" i="2" s="1"/>
  <c r="M3" i="2" s="1"/>
  <c r="I34" i="2"/>
  <c r="J34" i="2" s="1"/>
  <c r="M34" i="2" s="1"/>
  <c r="I2" i="2"/>
  <c r="J2" i="2" s="1"/>
  <c r="M2" i="2" s="1"/>
  <c r="G48" i="2"/>
  <c r="H48" i="2" s="1"/>
  <c r="L48" i="2" s="1"/>
  <c r="I32" i="2"/>
  <c r="J32" i="2" s="1"/>
  <c r="M32" i="2" s="1"/>
  <c r="I12" i="2"/>
  <c r="J12" i="2" s="1"/>
  <c r="M12" i="2" s="1"/>
  <c r="G44" i="2"/>
  <c r="H44" i="2" s="1"/>
  <c r="L44" i="2" s="1"/>
  <c r="I28" i="2"/>
  <c r="J28" i="2" s="1"/>
  <c r="M28" i="2" s="1"/>
  <c r="I40" i="2"/>
  <c r="J40" i="2" s="1"/>
  <c r="M40" i="2" s="1"/>
  <c r="I36" i="2"/>
  <c r="J36" i="2" s="1"/>
  <c r="M36" i="2" s="1"/>
  <c r="I24" i="2"/>
  <c r="J24" i="2" s="1"/>
  <c r="M24" i="2" s="1"/>
  <c r="G16" i="2"/>
  <c r="H16" i="2" s="1"/>
  <c r="L16" i="2" s="1"/>
  <c r="I18" i="2"/>
  <c r="J18" i="2" s="1"/>
  <c r="M18" i="2" s="1"/>
  <c r="I35" i="2"/>
  <c r="J35" i="2" s="1"/>
  <c r="M35" i="2" s="1"/>
  <c r="I31" i="2"/>
  <c r="J31" i="2" s="1"/>
  <c r="M31" i="2" s="1"/>
  <c r="I15" i="2"/>
  <c r="J15" i="2" s="1"/>
  <c r="M15" i="2" s="1"/>
  <c r="I46" i="2"/>
  <c r="J46" i="2" s="1"/>
  <c r="M46" i="2" s="1"/>
  <c r="G46" i="2"/>
  <c r="H46" i="2" s="1"/>
  <c r="L46" i="2" s="1"/>
  <c r="I42" i="2"/>
  <c r="J42" i="2" s="1"/>
  <c r="M42" i="2" s="1"/>
  <c r="G42" i="2"/>
  <c r="H42" i="2" s="1"/>
  <c r="L42" i="2" s="1"/>
  <c r="I38" i="2"/>
  <c r="J38" i="2" s="1"/>
  <c r="M38" i="2" s="1"/>
  <c r="I30" i="2"/>
  <c r="J30" i="2" s="1"/>
  <c r="M30" i="2" s="1"/>
  <c r="G30" i="2"/>
  <c r="H30" i="2" s="1"/>
  <c r="L30" i="2" s="1"/>
  <c r="I26" i="2"/>
  <c r="J26" i="2" s="1"/>
  <c r="M26" i="2" s="1"/>
  <c r="G26" i="2"/>
  <c r="H26" i="2" s="1"/>
  <c r="L26" i="2" s="1"/>
  <c r="I22" i="2"/>
  <c r="J22" i="2" s="1"/>
  <c r="M22" i="2" s="1"/>
  <c r="I14" i="2"/>
  <c r="J14" i="2" s="1"/>
  <c r="M14" i="2" s="1"/>
  <c r="G14" i="2"/>
  <c r="H14" i="2" s="1"/>
  <c r="L14" i="2" s="1"/>
  <c r="I10" i="2"/>
  <c r="J10" i="2" s="1"/>
  <c r="M10" i="2" s="1"/>
  <c r="G10" i="2"/>
  <c r="H10" i="2" s="1"/>
  <c r="L10" i="2" s="1"/>
  <c r="I6" i="2"/>
  <c r="J6" i="2" s="1"/>
  <c r="M6" i="2" s="1"/>
  <c r="G2" i="2"/>
  <c r="H2" i="2" s="1"/>
  <c r="L2" i="2" s="1"/>
  <c r="I11" i="2"/>
  <c r="J11" i="2" s="1"/>
  <c r="M11" i="2" s="1"/>
  <c r="I27" i="2"/>
  <c r="J27" i="2" s="1"/>
  <c r="M27" i="2" s="1"/>
  <c r="I43" i="2"/>
  <c r="J43" i="2" s="1"/>
  <c r="M43" i="2" s="1"/>
  <c r="I49" i="2"/>
  <c r="J49" i="2" s="1"/>
  <c r="M49" i="2" s="1"/>
  <c r="G49" i="2"/>
  <c r="H49" i="2" s="1"/>
  <c r="L49" i="2" s="1"/>
  <c r="I45" i="2"/>
  <c r="J45" i="2" s="1"/>
  <c r="M45" i="2" s="1"/>
  <c r="G45" i="2"/>
  <c r="H45" i="2" s="1"/>
  <c r="L45" i="2" s="1"/>
  <c r="I41" i="2"/>
  <c r="J41" i="2" s="1"/>
  <c r="M41" i="2" s="1"/>
  <c r="G41" i="2"/>
  <c r="H41" i="2" s="1"/>
  <c r="L41" i="2" s="1"/>
  <c r="I37" i="2"/>
  <c r="J37" i="2" s="1"/>
  <c r="M37" i="2" s="1"/>
  <c r="G37" i="2"/>
  <c r="H37" i="2" s="1"/>
  <c r="L37" i="2" s="1"/>
  <c r="I33" i="2"/>
  <c r="J33" i="2" s="1"/>
  <c r="M33" i="2" s="1"/>
  <c r="G33" i="2"/>
  <c r="H33" i="2" s="1"/>
  <c r="L33" i="2" s="1"/>
  <c r="I29" i="2"/>
  <c r="J29" i="2" s="1"/>
  <c r="M29" i="2" s="1"/>
  <c r="G29" i="2"/>
  <c r="H29" i="2" s="1"/>
  <c r="L29" i="2" s="1"/>
  <c r="I25" i="2"/>
  <c r="J25" i="2" s="1"/>
  <c r="M25" i="2" s="1"/>
  <c r="G25" i="2"/>
  <c r="H25" i="2" s="1"/>
  <c r="L25" i="2" s="1"/>
  <c r="I21" i="2"/>
  <c r="J21" i="2" s="1"/>
  <c r="M21" i="2" s="1"/>
  <c r="G21" i="2"/>
  <c r="H21" i="2" s="1"/>
  <c r="L21" i="2" s="1"/>
  <c r="I17" i="2"/>
  <c r="J17" i="2" s="1"/>
  <c r="M17" i="2" s="1"/>
  <c r="G17" i="2"/>
  <c r="H17" i="2" s="1"/>
  <c r="L17" i="2" s="1"/>
  <c r="I13" i="2"/>
  <c r="J13" i="2" s="1"/>
  <c r="M13" i="2" s="1"/>
  <c r="G13" i="2"/>
  <c r="H13" i="2" s="1"/>
  <c r="L13" i="2" s="1"/>
  <c r="I9" i="2"/>
  <c r="J9" i="2" s="1"/>
  <c r="M9" i="2" s="1"/>
  <c r="G9" i="2"/>
  <c r="H9" i="2" s="1"/>
  <c r="L9" i="2" s="1"/>
  <c r="I5" i="2"/>
  <c r="J5" i="2" s="1"/>
  <c r="M5" i="2" s="1"/>
  <c r="G5" i="2"/>
  <c r="H5" i="2" s="1"/>
  <c r="L5" i="2" s="1"/>
  <c r="G38" i="2"/>
  <c r="H38" i="2" s="1"/>
  <c r="L38" i="2" s="1"/>
  <c r="G6" i="2"/>
  <c r="H6" i="2" s="1"/>
  <c r="L6" i="2" s="1"/>
  <c r="I39" i="2"/>
  <c r="J39" i="2" s="1"/>
  <c r="M39" i="2" s="1"/>
  <c r="G47" i="2"/>
  <c r="H47" i="2" s="1"/>
  <c r="L47" i="2" s="1"/>
  <c r="G36" i="2"/>
  <c r="H36" i="2" s="1"/>
  <c r="L36" i="2" s="1"/>
  <c r="G31" i="2"/>
  <c r="H31" i="2" s="1"/>
  <c r="L31" i="2" s="1"/>
  <c r="G20" i="2"/>
  <c r="H20" i="2" s="1"/>
  <c r="L20" i="2" s="1"/>
  <c r="G15" i="2"/>
  <c r="H15" i="2" s="1"/>
  <c r="L15" i="2" s="1"/>
  <c r="G4" i="2"/>
  <c r="H4" i="2" s="1"/>
  <c r="L4" i="2" s="1"/>
  <c r="G40" i="2"/>
  <c r="H40" i="2" s="1"/>
  <c r="L40" i="2" s="1"/>
  <c r="G35" i="2"/>
  <c r="H35" i="2" s="1"/>
  <c r="L35" i="2" s="1"/>
  <c r="G24" i="2"/>
  <c r="H24" i="2" s="1"/>
  <c r="L24" i="2" s="1"/>
  <c r="G19" i="2"/>
  <c r="H19" i="2" s="1"/>
  <c r="L19" i="2" s="1"/>
  <c r="G8" i="2"/>
  <c r="H8" i="2" s="1"/>
  <c r="L8" i="2" s="1"/>
  <c r="G3" i="2"/>
  <c r="H3" i="2" s="1"/>
  <c r="L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3" i="2"/>
  <c r="K3" i="2" s="1"/>
  <c r="D4" i="2"/>
  <c r="K4" i="2" s="1"/>
  <c r="D5" i="2"/>
  <c r="K5" i="2" s="1"/>
  <c r="D6" i="2"/>
  <c r="K6" i="2" s="1"/>
  <c r="D7" i="2"/>
  <c r="K7" i="2" s="1"/>
  <c r="D8" i="2"/>
  <c r="K8" i="2" s="1"/>
  <c r="D9" i="2"/>
  <c r="K9" i="2" s="1"/>
  <c r="D10" i="2"/>
  <c r="K10" i="2" s="1"/>
  <c r="D11" i="2"/>
  <c r="K11" i="2" s="1"/>
  <c r="D12" i="2"/>
  <c r="K12" i="2" s="1"/>
  <c r="D13" i="2"/>
  <c r="K13" i="2" s="1"/>
  <c r="D14" i="2"/>
  <c r="K14" i="2" s="1"/>
  <c r="D15" i="2"/>
  <c r="K15" i="2" s="1"/>
  <c r="D16" i="2"/>
  <c r="K16" i="2" s="1"/>
  <c r="D17" i="2"/>
  <c r="K17" i="2" s="1"/>
  <c r="D18" i="2"/>
  <c r="K18" i="2" s="1"/>
  <c r="D19" i="2"/>
  <c r="K19" i="2" s="1"/>
  <c r="D20" i="2"/>
  <c r="K20" i="2" s="1"/>
  <c r="D21" i="2"/>
  <c r="K21" i="2" s="1"/>
  <c r="D22" i="2"/>
  <c r="K22" i="2" s="1"/>
  <c r="D23" i="2"/>
  <c r="K23" i="2" s="1"/>
  <c r="D24" i="2"/>
  <c r="K24" i="2" s="1"/>
  <c r="D25" i="2"/>
  <c r="K25" i="2" s="1"/>
  <c r="D26" i="2"/>
  <c r="K26" i="2" s="1"/>
  <c r="D27" i="2"/>
  <c r="K27" i="2" s="1"/>
  <c r="D28" i="2"/>
  <c r="K28" i="2" s="1"/>
  <c r="D29" i="2"/>
  <c r="K29" i="2" s="1"/>
  <c r="D30" i="2"/>
  <c r="K30" i="2" s="1"/>
  <c r="D31" i="2"/>
  <c r="K31" i="2" s="1"/>
  <c r="D32" i="2"/>
  <c r="K32" i="2" s="1"/>
  <c r="D33" i="2"/>
  <c r="K33" i="2" s="1"/>
  <c r="D34" i="2"/>
  <c r="K34" i="2" s="1"/>
  <c r="D35" i="2"/>
  <c r="K35" i="2" s="1"/>
  <c r="D36" i="2"/>
  <c r="K36" i="2" s="1"/>
  <c r="D37" i="2"/>
  <c r="K37" i="2" s="1"/>
  <c r="D38" i="2"/>
  <c r="K38" i="2" s="1"/>
  <c r="D39" i="2"/>
  <c r="K39" i="2" s="1"/>
  <c r="D40" i="2"/>
  <c r="K40" i="2" s="1"/>
  <c r="D41" i="2"/>
  <c r="K41" i="2" s="1"/>
  <c r="D42" i="2"/>
  <c r="K42" i="2" s="1"/>
  <c r="D43" i="2"/>
  <c r="K43" i="2" s="1"/>
  <c r="D44" i="2"/>
  <c r="K44" i="2" s="1"/>
  <c r="D45" i="2"/>
  <c r="K45" i="2" s="1"/>
  <c r="D46" i="2"/>
  <c r="K46" i="2" s="1"/>
  <c r="D47" i="2"/>
  <c r="K47" i="2" s="1"/>
  <c r="D48" i="2"/>
  <c r="K48" i="2" s="1"/>
  <c r="D49" i="2"/>
  <c r="K49" i="2" s="1"/>
  <c r="D2" i="2"/>
  <c r="K2" i="2" s="1"/>
  <c r="C2" i="2"/>
  <c r="P11" i="2" l="1"/>
  <c r="P12" i="2" s="1"/>
  <c r="P8" i="2"/>
  <c r="P3" i="2"/>
  <c r="P7" i="2"/>
  <c r="P9" i="2" l="1"/>
</calcChain>
</file>

<file path=xl/sharedStrings.xml><?xml version="1.0" encoding="utf-8"?>
<sst xmlns="http://schemas.openxmlformats.org/spreadsheetml/2006/main" count="961" uniqueCount="245">
  <si>
    <t>BP name</t>
  </si>
  <si>
    <t>Fuel Cost</t>
  </si>
  <si>
    <t>Hardik Patel</t>
  </si>
  <si>
    <t>Pravin Thakor</t>
  </si>
  <si>
    <t>Patani Salim Gafarbhai</t>
  </si>
  <si>
    <t>Dharmendra Sharma</t>
  </si>
  <si>
    <t>ASHISH SAXENA</t>
  </si>
  <si>
    <t>Amit Ramesh Agarwal</t>
  </si>
  <si>
    <t>Karan Mistry_Delivery</t>
  </si>
  <si>
    <t>VIRENDRA SOLANKI</t>
  </si>
  <si>
    <t>VIKAS AGARWAL</t>
  </si>
  <si>
    <t>Devendar Vanga</t>
  </si>
  <si>
    <t>Gulamhusen Mohamad Ghanchi</t>
  </si>
  <si>
    <t>MANISHA PRAVIN PATIL</t>
  </si>
  <si>
    <t>ZAINULSHA.M.DIWAN</t>
  </si>
  <si>
    <t>Visharad Chauhan</t>
  </si>
  <si>
    <t>GOHIL RAGHUVIRSINH R</t>
  </si>
  <si>
    <t>Harun Abdul Bhai Theba</t>
  </si>
  <si>
    <t>Inderkumar moolchand gupta</t>
  </si>
  <si>
    <t>Pravin Patil</t>
  </si>
  <si>
    <t>SANDEEP KUMAR</t>
  </si>
  <si>
    <t>SADHU RAM KARGWAL</t>
  </si>
  <si>
    <t>GULZAR F MEMON</t>
  </si>
  <si>
    <t>DINESHBHAI MOHANBHAI SOLANKI</t>
  </si>
  <si>
    <t>MULIYA TOFIKHUSEN HABIBBHAI</t>
  </si>
  <si>
    <t>BELIM RIYAZUDDIN MEHBOOBBHAI</t>
  </si>
  <si>
    <t>MAMATA PAL</t>
  </si>
  <si>
    <t>Siddhant Subhash Borse</t>
  </si>
  <si>
    <t>PATHAN PARVEZBHAI</t>
  </si>
  <si>
    <t>mo. Farukh</t>
  </si>
  <si>
    <t>Devendra r. mistry</t>
  </si>
  <si>
    <t>LALAJI BHAI THAKOR</t>
  </si>
  <si>
    <t>Bharat madhusing lodha</t>
  </si>
  <si>
    <t>OD Maheshbhai Bhikhabhai</t>
  </si>
  <si>
    <t>Rajesh Kumar Misra_Delivery</t>
  </si>
  <si>
    <t>SURESHBHAI RAJABHAI BHARWAD</t>
  </si>
  <si>
    <t>SWAPNIL PANDEY_BP</t>
  </si>
  <si>
    <t>AGARWAL SUGANDHA AMIT</t>
  </si>
  <si>
    <t>FAIZILA Theba</t>
  </si>
  <si>
    <t>MUKESHBHAI RAJABHAI BHARWAD</t>
  </si>
  <si>
    <t>DENISH B. BAVARIYA</t>
  </si>
  <si>
    <t>SHEKH JENULABEDEEN BADRUDIN</t>
  </si>
  <si>
    <t>EKTA AGARWAL</t>
  </si>
  <si>
    <t>Meenakshi Gupta</t>
  </si>
  <si>
    <t>RAKIB GULAMKADAR BLOCH</t>
  </si>
  <si>
    <t>RAJENDRASINH L CHAVDA</t>
  </si>
  <si>
    <t>Ashok Kumar_GNCB1</t>
  </si>
  <si>
    <t>MOINUDDIN R SHAIKH</t>
  </si>
  <si>
    <t>Shekh Seemabanu Mohammad</t>
  </si>
  <si>
    <t>GAJRAJSINGH B RATHOD</t>
  </si>
  <si>
    <t>OU</t>
  </si>
  <si>
    <t>Vehicle cost</t>
  </si>
  <si>
    <t>Total cost</t>
  </si>
  <si>
    <t>Total partners</t>
  </si>
  <si>
    <t>making profit</t>
  </si>
  <si>
    <t>%</t>
  </si>
  <si>
    <t>Index</t>
  </si>
  <si>
    <t>OU Code</t>
  </si>
  <si>
    <t>Vehicle</t>
  </si>
  <si>
    <t>Ownership</t>
  </si>
  <si>
    <t>Purchase Year</t>
  </si>
  <si>
    <t>Mileage</t>
  </si>
  <si>
    <t>Vehicle Capacity</t>
  </si>
  <si>
    <t>EMI</t>
  </si>
  <si>
    <t>Maintenance</t>
  </si>
  <si>
    <t>Vapi</t>
  </si>
  <si>
    <t>Ahmedabad Branch</t>
  </si>
  <si>
    <t>Gandhi Nager</t>
  </si>
  <si>
    <t>Rampura Branch</t>
  </si>
  <si>
    <t>Jamnager</t>
  </si>
  <si>
    <t>Surat</t>
  </si>
  <si>
    <t>Vadodara</t>
  </si>
  <si>
    <t>Ahmmedabad City</t>
  </si>
  <si>
    <t>Sanand</t>
  </si>
  <si>
    <t>Rajkot</t>
  </si>
  <si>
    <t>Bhavnager</t>
  </si>
  <si>
    <t>Amreli</t>
  </si>
  <si>
    <t>Junagarh</t>
  </si>
  <si>
    <t>Mehsana</t>
  </si>
  <si>
    <t>bp_id</t>
  </si>
  <si>
    <t>bp_name</t>
  </si>
  <si>
    <t>branch_name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</si>
  <si>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</si>
  <si>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</si>
  <si>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</si>
  <si>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</si>
  <si>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</si>
  <si>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</si>
  <si>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</si>
  <si>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</si>
  <si>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</si>
  <si>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</si>
  <si>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</si>
  <si>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</si>
  <si>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</si>
  <si>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</si>
  <si>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</si>
  <si>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</si>
  <si>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</si>
  <si>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</si>
  <si>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</si>
  <si>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</si>
  <si>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</si>
  <si>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</si>
  <si>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</si>
  <si>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correlation b/w payout and cost per kg</t>
  </si>
  <si>
    <t>BP Name</t>
  </si>
  <si>
    <t>Vehicle Name</t>
  </si>
  <si>
    <t>KM Travelled</t>
  </si>
  <si>
    <t xml:space="preserve">Team cost </t>
  </si>
  <si>
    <t xml:space="preserve">Total cost </t>
  </si>
  <si>
    <t>VAPT1</t>
  </si>
  <si>
    <t>14 ft</t>
  </si>
  <si>
    <t>Eicher 14</t>
  </si>
  <si>
    <t>Tata Ace</t>
  </si>
  <si>
    <t>Market</t>
  </si>
  <si>
    <t>NA</t>
  </si>
  <si>
    <t>AMDT1</t>
  </si>
  <si>
    <t>17 ft</t>
  </si>
  <si>
    <t>Eicher 17</t>
  </si>
  <si>
    <t>GNCB1</t>
  </si>
  <si>
    <t>Mahindra</t>
  </si>
  <si>
    <t>AMDBP</t>
  </si>
  <si>
    <t>AL Dost</t>
  </si>
  <si>
    <t>JGAB1</t>
  </si>
  <si>
    <t>STVT1</t>
  </si>
  <si>
    <t>22 ft</t>
  </si>
  <si>
    <t>BDQT1</t>
  </si>
  <si>
    <t>Owned</t>
  </si>
  <si>
    <t>AMDBL</t>
  </si>
  <si>
    <t>19 ft</t>
  </si>
  <si>
    <t>Eicher 19</t>
  </si>
  <si>
    <t>AMDBC</t>
  </si>
  <si>
    <t>RAJB1</t>
  </si>
  <si>
    <t>Super ace</t>
  </si>
  <si>
    <t>BVCB1</t>
  </si>
  <si>
    <t>AKVB1</t>
  </si>
  <si>
    <t>Pickup</t>
  </si>
  <si>
    <t>JNDB1</t>
  </si>
  <si>
    <t>MSHB1</t>
  </si>
  <si>
    <t>20 ft</t>
  </si>
  <si>
    <t>Eicher 20</t>
  </si>
  <si>
    <t>Per kg rate</t>
  </si>
  <si>
    <t>Difference</t>
  </si>
  <si>
    <t>Payout</t>
  </si>
  <si>
    <t>Budget</t>
  </si>
  <si>
    <t>KG delivered</t>
  </si>
  <si>
    <t>Difference %</t>
  </si>
  <si>
    <t>Profit</t>
  </si>
  <si>
    <t>Profit margin</t>
  </si>
  <si>
    <t>Cost per kg</t>
  </si>
  <si>
    <t>Status</t>
  </si>
  <si>
    <t>Profitability</t>
  </si>
  <si>
    <t>Row Labels</t>
  </si>
  <si>
    <t>Grand Total</t>
  </si>
  <si>
    <t xml:space="preserve">Sum of Total cost </t>
  </si>
  <si>
    <t>BP Code</t>
  </si>
  <si>
    <t>BP</t>
  </si>
  <si>
    <t xml:space="preserve">OU </t>
  </si>
  <si>
    <t>Cluster</t>
  </si>
  <si>
    <t>Total Payout</t>
  </si>
  <si>
    <t>Budgeted payout</t>
  </si>
  <si>
    <t>BP1017</t>
  </si>
  <si>
    <t>Sunder Srinivasan</t>
  </si>
  <si>
    <t>Ahmedabad</t>
  </si>
  <si>
    <t>BP1022</t>
  </si>
  <si>
    <t>BP1031</t>
  </si>
  <si>
    <t>BP1042</t>
  </si>
  <si>
    <t>BP1057</t>
  </si>
  <si>
    <t>BP1061</t>
  </si>
  <si>
    <t>BP1070</t>
  </si>
  <si>
    <t>BP1074</t>
  </si>
  <si>
    <t>BP1075</t>
  </si>
  <si>
    <t>BP1104</t>
  </si>
  <si>
    <t>BP1105</t>
  </si>
  <si>
    <t>BP1107</t>
  </si>
  <si>
    <t>BP1143</t>
  </si>
  <si>
    <t>BP1146</t>
  </si>
  <si>
    <t>BP1151</t>
  </si>
  <si>
    <t>BP1168</t>
  </si>
  <si>
    <t>SHREY JAYESHBHAI TARSARIA</t>
  </si>
  <si>
    <t>BP1171</t>
  </si>
  <si>
    <t>BP1203</t>
  </si>
  <si>
    <t>Chauhan  navneet kumar</t>
  </si>
  <si>
    <t>BP1209</t>
  </si>
  <si>
    <t>BP1217</t>
  </si>
  <si>
    <t>BP1223</t>
  </si>
  <si>
    <t>BP1229</t>
  </si>
  <si>
    <t>BP1237</t>
  </si>
  <si>
    <t>BP1240</t>
  </si>
  <si>
    <t>BP1259</t>
  </si>
  <si>
    <t>BP1275</t>
  </si>
  <si>
    <t>BP1289</t>
  </si>
  <si>
    <t>BP1296</t>
  </si>
  <si>
    <t>BP1298</t>
  </si>
  <si>
    <t>BP1299</t>
  </si>
  <si>
    <t>BP1302</t>
  </si>
  <si>
    <t>BP1317</t>
  </si>
  <si>
    <t>BP1318</t>
  </si>
  <si>
    <t>BP1319</t>
  </si>
  <si>
    <t>BP1324</t>
  </si>
  <si>
    <t>BP1327</t>
  </si>
  <si>
    <t>BP1328</t>
  </si>
  <si>
    <t>BP1329</t>
  </si>
  <si>
    <t>BP1330</t>
  </si>
  <si>
    <t>BP1331</t>
  </si>
  <si>
    <t>BP1332</t>
  </si>
  <si>
    <t>BP1334</t>
  </si>
  <si>
    <t>BP1335</t>
  </si>
  <si>
    <t>BP1336</t>
  </si>
  <si>
    <t>BP1338</t>
  </si>
  <si>
    <t>BP1339</t>
  </si>
  <si>
    <t>BP1342</t>
  </si>
  <si>
    <t>BP1344</t>
  </si>
  <si>
    <t>BP1357</t>
  </si>
  <si>
    <t>BP1363</t>
  </si>
  <si>
    <t>BP1364</t>
  </si>
  <si>
    <t>BP1367</t>
  </si>
  <si>
    <t>BP1377</t>
  </si>
  <si>
    <t>BP1417</t>
  </si>
  <si>
    <t>SAMIR SHAMSUDDIN SOLAPURI</t>
  </si>
  <si>
    <t>BP1439</t>
  </si>
  <si>
    <t>V N PATEL</t>
  </si>
  <si>
    <t>BP1478</t>
  </si>
  <si>
    <t>FARHANUDDIN KAZI</t>
  </si>
  <si>
    <t>BP1496</t>
  </si>
  <si>
    <t>Parmar P K</t>
  </si>
  <si>
    <t>BP1506</t>
  </si>
  <si>
    <t>Rajnarayan Tiwari</t>
  </si>
  <si>
    <t>IXYB1</t>
  </si>
  <si>
    <t>BP1534</t>
  </si>
  <si>
    <t>Manishkumar Bhogilal Joshii</t>
  </si>
  <si>
    <t>BP1565</t>
  </si>
  <si>
    <t>Bahadurbhai Prabhatbhai Jalu</t>
  </si>
  <si>
    <t>BP1571</t>
  </si>
  <si>
    <t>Vavadiya Bhaveshbhai Kalabhai</t>
  </si>
  <si>
    <t>BP1591</t>
  </si>
  <si>
    <t>Kamleshbhai Muljibhai Rabari</t>
  </si>
  <si>
    <t>BP1618</t>
  </si>
  <si>
    <t>ARTI JAYESHBHAI TARSARIA</t>
  </si>
  <si>
    <t>Mean</t>
  </si>
  <si>
    <t>Meidan</t>
  </si>
  <si>
    <t>Profit Margin</t>
  </si>
  <si>
    <t>Std Dev</t>
  </si>
  <si>
    <t>making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</si>
</sst>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₹&quot;\ #,##0;[Red]&quot;₹&quot;\ \-#,##0"/>
    <numFmt numFmtId="164" formatCode="&quot;₹&quot;\ #,##0.0;[Red]&quot;₹&quot;\ \-#,##0.0"/>
    <numFmt numFmtId="165" formatCode="0.0%"/>
    <numFmt numFmtId="166" formatCode="[$₹]#,##0"/>
    <numFmt numFmtId="167" formatCode="[$₹]#,##0.00"/>
    <numFmt numFmtId="168" formatCode="[$₹]#,##0.0000"/>
    <numFmt numFmtId="169" formatCode="0.0"/>
    <numFmt numFmtId="170" formatCode="&quot;₹&quot;\ #,##0.0"/>
    <numFmt numFmtId="171" formatCode="&quot;₹&quot;\ #,##0"/>
    <numFmt numFmtId="172" formatCode="0.00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2" fillId="0" borderId="0" xfId="1" applyFont="1"/>
    <xf numFmtId="3" fontId="3" fillId="0" borderId="0" xfId="1" applyNumberFormat="1" applyFont="1"/>
    <xf numFmtId="10" fontId="3" fillId="0" borderId="0" xfId="1" applyNumberFormat="1" applyFont="1"/>
    <xf numFmtId="0" fontId="3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0" fontId="7" fillId="0" borderId="0" xfId="1" applyFont="1"/>
    <xf numFmtId="0" fontId="4" fillId="0" borderId="0" xfId="1" applyFont="1"/>
    <xf numFmtId="9" fontId="4" fillId="0" borderId="0" xfId="1" applyNumberFormat="1" applyFont="1"/>
    <xf numFmtId="165" fontId="4" fillId="0" borderId="0" xfId="1" applyNumberFormat="1" applyFont="1"/>
    <xf numFmtId="3" fontId="4" fillId="0" borderId="0" xfId="1" applyNumberFormat="1" applyFont="1"/>
    <xf numFmtId="166" fontId="4" fillId="0" borderId="0" xfId="1" applyNumberFormat="1" applyFont="1"/>
    <xf numFmtId="10" fontId="4" fillId="0" borderId="0" xfId="1" applyNumberFormat="1" applyFont="1"/>
    <xf numFmtId="167" fontId="4" fillId="0" borderId="0" xfId="1" applyNumberFormat="1" applyFont="1"/>
    <xf numFmtId="1" fontId="4" fillId="0" borderId="0" xfId="1" applyNumberFormat="1" applyFont="1"/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2" fontId="4" fillId="0" borderId="0" xfId="1" applyNumberFormat="1" applyFont="1"/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168" fontId="4" fillId="0" borderId="0" xfId="1" applyNumberFormat="1" applyFont="1"/>
    <xf numFmtId="0" fontId="6" fillId="0" borderId="0" xfId="1" applyFont="1" applyAlignment="1">
      <alignment vertical="top"/>
    </xf>
    <xf numFmtId="4" fontId="4" fillId="0" borderId="0" xfId="1" applyNumberFormat="1" applyFont="1"/>
    <xf numFmtId="9" fontId="0" fillId="0" borderId="0" xfId="0" applyNumberFormat="1"/>
    <xf numFmtId="0" fontId="0" fillId="0" borderId="14" xfId="0" applyFont="1" applyBorder="1"/>
    <xf numFmtId="0" fontId="8" fillId="5" borderId="17" xfId="0" applyFont="1" applyFill="1" applyBorder="1"/>
    <xf numFmtId="0" fontId="0" fillId="6" borderId="17" xfId="0" applyFont="1" applyFill="1" applyBorder="1"/>
    <xf numFmtId="0" fontId="0" fillId="0" borderId="17" xfId="0" applyFont="1" applyBorder="1"/>
    <xf numFmtId="0" fontId="0" fillId="6" borderId="15" xfId="0" applyFont="1" applyFill="1" applyBorder="1"/>
    <xf numFmtId="0" fontId="8" fillId="5" borderId="17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9" fontId="0" fillId="0" borderId="17" xfId="0" applyNumberFormat="1" applyFont="1" applyBorder="1"/>
    <xf numFmtId="169" fontId="0" fillId="6" borderId="17" xfId="0" applyNumberFormat="1" applyFont="1" applyFill="1" applyBorder="1"/>
    <xf numFmtId="169" fontId="0" fillId="0" borderId="14" xfId="0" applyNumberFormat="1" applyFont="1" applyBorder="1"/>
    <xf numFmtId="169" fontId="0" fillId="6" borderId="15" xfId="0" applyNumberFormat="1" applyFont="1" applyFill="1" applyBorder="1"/>
    <xf numFmtId="1" fontId="0" fillId="0" borderId="17" xfId="0" applyNumberFormat="1" applyFont="1" applyBorder="1"/>
    <xf numFmtId="1" fontId="0" fillId="6" borderId="17" xfId="0" applyNumberFormat="1" applyFont="1" applyFill="1" applyBorder="1"/>
    <xf numFmtId="1" fontId="0" fillId="0" borderId="14" xfId="0" applyNumberFormat="1" applyFont="1" applyBorder="1"/>
    <xf numFmtId="1" fontId="0" fillId="6" borderId="15" xfId="0" applyNumberFormat="1" applyFont="1" applyFill="1" applyBorder="1"/>
    <xf numFmtId="1" fontId="8" fillId="5" borderId="17" xfId="0" applyNumberFormat="1" applyFont="1" applyFill="1" applyBorder="1" applyAlignment="1">
      <alignment horizontal="right"/>
    </xf>
    <xf numFmtId="1" fontId="0" fillId="6" borderId="17" xfId="0" applyNumberFormat="1" applyFont="1" applyFill="1" applyBorder="1" applyAlignment="1">
      <alignment horizontal="right"/>
    </xf>
    <xf numFmtId="1" fontId="0" fillId="0" borderId="17" xfId="0" applyNumberFormat="1" applyFont="1" applyBorder="1" applyAlignment="1">
      <alignment horizontal="right"/>
    </xf>
    <xf numFmtId="1" fontId="0" fillId="0" borderId="14" xfId="0" applyNumberFormat="1" applyFont="1" applyBorder="1" applyAlignment="1">
      <alignment horizontal="right"/>
    </xf>
    <xf numFmtId="1" fontId="0" fillId="6" borderId="15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69" fontId="8" fillId="5" borderId="17" xfId="0" applyNumberFormat="1" applyFont="1" applyFill="1" applyBorder="1"/>
    <xf numFmtId="169" fontId="0" fillId="0" borderId="0" xfId="0" applyNumberFormat="1"/>
    <xf numFmtId="1" fontId="8" fillId="5" borderId="17" xfId="0" applyNumberFormat="1" applyFont="1" applyFill="1" applyBorder="1"/>
    <xf numFmtId="1" fontId="0" fillId="0" borderId="0" xfId="0" applyNumberFormat="1"/>
    <xf numFmtId="170" fontId="0" fillId="6" borderId="14" xfId="0" applyNumberFormat="1" applyFont="1" applyFill="1" applyBorder="1"/>
    <xf numFmtId="171" fontId="8" fillId="5" borderId="17" xfId="0" applyNumberFormat="1" applyFont="1" applyFill="1" applyBorder="1"/>
    <xf numFmtId="171" fontId="8" fillId="5" borderId="16" xfId="0" applyNumberFormat="1" applyFont="1" applyFill="1" applyBorder="1"/>
    <xf numFmtId="171" fontId="0" fillId="6" borderId="17" xfId="0" applyNumberFormat="1" applyFont="1" applyFill="1" applyBorder="1"/>
    <xf numFmtId="171" fontId="0" fillId="6" borderId="16" xfId="0" applyNumberFormat="1" applyFont="1" applyFill="1" applyBorder="1"/>
    <xf numFmtId="171" fontId="0" fillId="0" borderId="17" xfId="0" applyNumberFormat="1" applyFont="1" applyBorder="1"/>
    <xf numFmtId="171" fontId="0" fillId="0" borderId="16" xfId="0" applyNumberFormat="1" applyFont="1" applyBorder="1"/>
    <xf numFmtId="171" fontId="0" fillId="0" borderId="14" xfId="0" applyNumberFormat="1" applyFont="1" applyBorder="1"/>
    <xf numFmtId="171" fontId="0" fillId="6" borderId="15" xfId="0" applyNumberFormat="1" applyFont="1" applyFill="1" applyBorder="1"/>
    <xf numFmtId="171" fontId="0" fillId="6" borderId="14" xfId="0" applyNumberFormat="1" applyFont="1" applyFill="1" applyBorder="1"/>
    <xf numFmtId="171" fontId="0" fillId="0" borderId="0" xfId="0" applyNumberFormat="1"/>
    <xf numFmtId="3" fontId="0" fillId="6" borderId="14" xfId="1" applyNumberFormat="1" applyFont="1" applyFill="1" applyBorder="1" applyAlignment="1"/>
    <xf numFmtId="0" fontId="0" fillId="6" borderId="17" xfId="1" applyNumberFormat="1" applyFont="1" applyFill="1" applyBorder="1" applyAlignment="1"/>
    <xf numFmtId="3" fontId="0" fillId="6" borderId="17" xfId="1" applyNumberFormat="1" applyFont="1" applyFill="1" applyBorder="1" applyAlignment="1"/>
    <xf numFmtId="3" fontId="0" fillId="6" borderId="16" xfId="1" applyNumberFormat="1" applyFont="1" applyFill="1" applyBorder="1" applyAlignment="1"/>
    <xf numFmtId="0" fontId="0" fillId="0" borderId="17" xfId="1" applyNumberFormat="1" applyFont="1" applyBorder="1" applyAlignment="1"/>
    <xf numFmtId="3" fontId="0" fillId="0" borderId="17" xfId="1" applyNumberFormat="1" applyFont="1" applyBorder="1" applyAlignment="1"/>
    <xf numFmtId="3" fontId="0" fillId="0" borderId="16" xfId="1" applyNumberFormat="1" applyFont="1" applyBorder="1" applyAlignment="1"/>
    <xf numFmtId="0" fontId="0" fillId="6" borderId="15" xfId="1" applyNumberFormat="1" applyFont="1" applyFill="1" applyBorder="1" applyAlignment="1"/>
    <xf numFmtId="3" fontId="0" fillId="6" borderId="15" xfId="1" applyNumberFormat="1" applyFont="1" applyFill="1" applyBorder="1" applyAlignment="1"/>
    <xf numFmtId="0" fontId="8" fillId="5" borderId="17" xfId="1" applyNumberFormat="1" applyFont="1" applyFill="1" applyBorder="1" applyAlignment="1"/>
    <xf numFmtId="0" fontId="8" fillId="5" borderId="16" xfId="1" applyNumberFormat="1" applyFont="1" applyFill="1" applyBorder="1" applyAlignment="1"/>
    <xf numFmtId="3" fontId="0" fillId="6" borderId="14" xfId="0" applyNumberFormat="1" applyFont="1" applyFill="1" applyBorder="1"/>
    <xf numFmtId="6" fontId="0" fillId="0" borderId="17" xfId="0" applyNumberFormat="1" applyFont="1" applyBorder="1"/>
    <xf numFmtId="0" fontId="0" fillId="0" borderId="14" xfId="0" pivotButton="1" applyBorder="1"/>
    <xf numFmtId="0" fontId="0" fillId="0" borderId="14" xfId="0" applyBorder="1" applyAlignment="1">
      <alignment horizontal="left"/>
    </xf>
    <xf numFmtId="171" fontId="0" fillId="0" borderId="14" xfId="0" applyNumberFormat="1" applyBorder="1"/>
    <xf numFmtId="172" fontId="0" fillId="0" borderId="0" xfId="0" applyNumberFormat="1"/>
    <xf numFmtId="6" fontId="0" fillId="6" borderId="14" xfId="0" applyNumberFormat="1" applyFont="1" applyFill="1" applyBorder="1"/>
    <xf numFmtId="9" fontId="0" fillId="6" borderId="14" xfId="0" applyNumberFormat="1" applyFont="1" applyFill="1" applyBorder="1"/>
    <xf numFmtId="164" fontId="0" fillId="6" borderId="14" xfId="0" applyNumberFormat="1" applyFont="1" applyFill="1" applyBorder="1"/>
    <xf numFmtId="0" fontId="0" fillId="6" borderId="14" xfId="0" applyFont="1" applyFill="1" applyBorder="1"/>
    <xf numFmtId="0" fontId="5" fillId="0" borderId="0" xfId="1" applyFont="1" applyBorder="1"/>
    <xf numFmtId="0" fontId="8" fillId="5" borderId="14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15" xfId="0" applyNumberFormat="1" applyBorder="1"/>
    <xf numFmtId="9" fontId="0" fillId="0" borderId="17" xfId="0" applyNumberFormat="1" applyBorder="1"/>
    <xf numFmtId="6" fontId="0" fillId="7" borderId="14" xfId="0" applyNumberFormat="1" applyFont="1" applyFill="1" applyBorder="1"/>
    <xf numFmtId="0" fontId="0" fillId="7" borderId="17" xfId="0" applyFont="1" applyFill="1" applyBorder="1"/>
    <xf numFmtId="6" fontId="0" fillId="7" borderId="17" xfId="0" applyNumberFormat="1" applyFont="1" applyFill="1" applyBorder="1"/>
    <xf numFmtId="6" fontId="0" fillId="7" borderId="16" xfId="0" applyNumberFormat="1" applyFont="1" applyFill="1" applyBorder="1"/>
    <xf numFmtId="6" fontId="0" fillId="0" borderId="16" xfId="0" applyNumberFormat="1" applyFont="1" applyBorder="1"/>
    <xf numFmtId="0" fontId="0" fillId="7" borderId="15" xfId="0" applyFont="1" applyFill="1" applyBorder="1"/>
    <xf numFmtId="6" fontId="0" fillId="7" borderId="15" xfId="0" applyNumberFormat="1" applyFont="1" applyFill="1" applyBorder="1"/>
    <xf numFmtId="0" fontId="8" fillId="8" borderId="17" xfId="0" applyFont="1" applyFill="1" applyBorder="1"/>
    <xf numFmtId="0" fontId="8" fillId="8" borderId="16" xfId="0" applyFont="1" applyFill="1" applyBorder="1"/>
    <xf numFmtId="9" fontId="5" fillId="0" borderId="0" xfId="1" applyNumberFormat="1" applyFont="1"/>
    <xf numFmtId="0" fontId="6" fillId="4" borderId="11" xfId="1" applyFont="1" applyFill="1" applyBorder="1" applyAlignment="1">
      <alignment horizontal="left" vertical="top"/>
    </xf>
    <xf numFmtId="0" fontId="6" fillId="4" borderId="12" xfId="1" applyFont="1" applyFill="1" applyBorder="1" applyAlignment="1">
      <alignment horizontal="left" vertical="top"/>
    </xf>
    <xf numFmtId="0" fontId="6" fillId="4" borderId="13" xfId="1" applyFont="1" applyFill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13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6" fillId="0" borderId="4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5" xfId="1" applyFont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0"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1" formatCode="&quot;₹&quot;\ #,##0"/>
    </dxf>
    <dxf>
      <numFmt numFmtId="171" formatCode="&quot;₹&quot;\ 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200">
                <a:solidFill>
                  <a:srgbClr val="002060"/>
                </a:solidFill>
                <a:latin typeface="Arial Narrow" pitchFamily="34" charset="0"/>
              </a:rPr>
              <a:t>Distribution</a:t>
            </a:r>
            <a:r>
              <a:rPr lang="en-IN" sz="1200" baseline="0">
                <a:solidFill>
                  <a:srgbClr val="002060"/>
                </a:solidFill>
                <a:latin typeface="Arial Narrow" pitchFamily="34" charset="0"/>
              </a:rPr>
              <a:t> of Profit Margin</a:t>
            </a:r>
            <a:endParaRPr lang="en-IN" sz="1200">
              <a:solidFill>
                <a:srgbClr val="002060"/>
              </a:solidFill>
              <a:latin typeface="Arial Narrow" pitchFamily="34" charset="0"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640286489612523E-2"/>
          <c:y val="2.4882852946134026E-2"/>
          <c:w val="0.88674389430134792"/>
          <c:h val="0.9094595744339296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yVal>
            <c:numRef>
              <c:f>EDA!$B$2:$B$50</c:f>
              <c:numCache>
                <c:formatCode>0%</c:formatCode>
                <c:ptCount val="49"/>
                <c:pt idx="0">
                  <c:v>-0.61405056316850615</c:v>
                </c:pt>
                <c:pt idx="1">
                  <c:v>0.59680319081583533</c:v>
                </c:pt>
                <c:pt idx="2">
                  <c:v>0.24503202703760371</c:v>
                </c:pt>
                <c:pt idx="3">
                  <c:v>0.4236401978500387</c:v>
                </c:pt>
                <c:pt idx="4">
                  <c:v>-1.9902681183685831</c:v>
                </c:pt>
                <c:pt idx="5">
                  <c:v>-1.0750143379434127</c:v>
                </c:pt>
                <c:pt idx="6">
                  <c:v>0.47469347175342574</c:v>
                </c:pt>
                <c:pt idx="7">
                  <c:v>-3.2710914107748335</c:v>
                </c:pt>
                <c:pt idx="8">
                  <c:v>0.5210896646859553</c:v>
                </c:pt>
                <c:pt idx="9">
                  <c:v>-0.90896243077488859</c:v>
                </c:pt>
                <c:pt idx="10">
                  <c:v>-86.033935530062848</c:v>
                </c:pt>
                <c:pt idx="11">
                  <c:v>-0.94525031107155122</c:v>
                </c:pt>
                <c:pt idx="12">
                  <c:v>-1.2472576341554751</c:v>
                </c:pt>
                <c:pt idx="13">
                  <c:v>-0.25323168378846783</c:v>
                </c:pt>
                <c:pt idx="14">
                  <c:v>-3.2788812543971435</c:v>
                </c:pt>
                <c:pt idx="15">
                  <c:v>0.2723391748390202</c:v>
                </c:pt>
                <c:pt idx="16">
                  <c:v>-1.3889265868615364</c:v>
                </c:pt>
                <c:pt idx="17">
                  <c:v>0.45271974055755732</c:v>
                </c:pt>
                <c:pt idx="18">
                  <c:v>7.6607642253236949E-2</c:v>
                </c:pt>
                <c:pt idx="19">
                  <c:v>-0.22029647357295018</c:v>
                </c:pt>
                <c:pt idx="20">
                  <c:v>0.19401694199798725</c:v>
                </c:pt>
                <c:pt idx="21">
                  <c:v>0.52292826877450427</c:v>
                </c:pt>
                <c:pt idx="22">
                  <c:v>-9.2568718811257777E-2</c:v>
                </c:pt>
                <c:pt idx="23">
                  <c:v>-1.1050318034888293</c:v>
                </c:pt>
                <c:pt idx="24">
                  <c:v>-1.3986263904616507</c:v>
                </c:pt>
                <c:pt idx="25">
                  <c:v>-3.3631311426207287</c:v>
                </c:pt>
                <c:pt idx="26">
                  <c:v>-2.216919080087266</c:v>
                </c:pt>
                <c:pt idx="27">
                  <c:v>9.5468701559389038E-2</c:v>
                </c:pt>
                <c:pt idx="28">
                  <c:v>0.1498448764486183</c:v>
                </c:pt>
                <c:pt idx="29">
                  <c:v>-2.1943574407858368</c:v>
                </c:pt>
                <c:pt idx="30">
                  <c:v>-4.1241269947962511</c:v>
                </c:pt>
                <c:pt idx="31">
                  <c:v>-2.2765963397467216E-2</c:v>
                </c:pt>
                <c:pt idx="32">
                  <c:v>0.72068402328944081</c:v>
                </c:pt>
                <c:pt idx="33">
                  <c:v>-3.2216994094588745</c:v>
                </c:pt>
                <c:pt idx="34">
                  <c:v>-2.3211837862535356</c:v>
                </c:pt>
                <c:pt idx="35">
                  <c:v>6.2227693430599196E-2</c:v>
                </c:pt>
                <c:pt idx="36">
                  <c:v>-2.6444856908488412</c:v>
                </c:pt>
                <c:pt idx="37">
                  <c:v>-13.558703121873013</c:v>
                </c:pt>
                <c:pt idx="38">
                  <c:v>-0.78819568587194577</c:v>
                </c:pt>
                <c:pt idx="39">
                  <c:v>-0.79481678933545197</c:v>
                </c:pt>
                <c:pt idx="40">
                  <c:v>-0.54522356568881536</c:v>
                </c:pt>
                <c:pt idx="41">
                  <c:v>-0.49433689730799135</c:v>
                </c:pt>
                <c:pt idx="42">
                  <c:v>-2.3797255542015372</c:v>
                </c:pt>
                <c:pt idx="43">
                  <c:v>-0.20061342237916149</c:v>
                </c:pt>
                <c:pt idx="44">
                  <c:v>-0.43244341612860343</c:v>
                </c:pt>
                <c:pt idx="45">
                  <c:v>-1.6599810997045052</c:v>
                </c:pt>
                <c:pt idx="46">
                  <c:v>-1.7276833901073108</c:v>
                </c:pt>
                <c:pt idx="47">
                  <c:v>-1.314612837589374</c:v>
                </c:pt>
                <c:pt idx="48">
                  <c:v>-143.02030292084524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93824"/>
        <c:axId val="241695360"/>
      </c:scatterChart>
      <c:valAx>
        <c:axId val="2416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95360"/>
        <c:crosses val="autoZero"/>
        <c:crossBetween val="midCat"/>
      </c:valAx>
      <c:valAx>
        <c:axId val="24169536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16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28575</xdr:rowOff>
    </xdr:from>
    <xdr:to>
      <xdr:col>12</xdr:col>
      <xdr:colOff>152400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tra Basu" refreshedDate="45101.714096990741" createdVersion="4" refreshedVersion="4" minRefreshableVersion="3" recordCount="63">
  <cacheSource type="worksheet">
    <worksheetSource ref="B1:Q64" sheet="cost_base"/>
  </cacheSource>
  <cacheFields count="16">
    <cacheField name="OU" numFmtId="0">
      <sharedItems/>
    </cacheField>
    <cacheField name="OU Code" numFmtId="0">
      <sharedItems/>
    </cacheField>
    <cacheField name="BP Name" numFmtId="0">
      <sharedItems count="48"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Vehicle" numFmtId="0">
      <sharedItems/>
    </cacheField>
    <cacheField name="Ownership" numFmtId="0">
      <sharedItems/>
    </cacheField>
    <cacheField name="Purchase Year" numFmtId="1">
      <sharedItems containsMixedTypes="1" containsNumber="1" containsInteger="1" minValue="2010" maxValue="2020"/>
    </cacheField>
    <cacheField name="Vehicle Name" numFmtId="0">
      <sharedItems count="10">
        <s v="Eicher 14"/>
        <s v="Tata Ace"/>
        <s v="Eicher 17"/>
        <s v="Mahindra"/>
        <s v="AL Dost"/>
        <s v="22 ft"/>
        <s v="Eicher 19"/>
        <s v="Super ace"/>
        <s v="Pickup"/>
        <s v="Eicher 20"/>
      </sharedItems>
    </cacheField>
    <cacheField name="Mileage" numFmtId="1">
      <sharedItems containsSemiMixedTypes="0" containsString="0" containsNumber="1" minValue="3.5462174548919334" maxValue="18.889971546597494"/>
    </cacheField>
    <cacheField name="Vehicle Capacity" numFmtId="169">
      <sharedItems containsSemiMixedTypes="0" containsString="0" containsNumber="1" minValue="0.44282249549748876" maxValue="8.6536756158497194" count="37">
        <n v="2.5"/>
        <n v="0.75"/>
        <n v="6.5900268382448797"/>
        <n v="1.3894248629666022"/>
        <n v="1.5806763812306639"/>
        <n v="0.75264980525332092"/>
        <n v="0.78423707313208679"/>
        <n v="2.042136553081618"/>
        <n v="5.1635046388777424"/>
        <n v="8.2407106661901022"/>
        <n v="0.79022382032227789"/>
        <n v="2.4855141620694923"/>
        <n v="8.6536756158497194"/>
        <n v="1.0426350561035722"/>
        <n v="1.1466290648202664"/>
        <n v="2.1170956821339351"/>
        <n v="6.3444422201305457"/>
        <n v="3.0291773948414247"/>
        <n v="1.3434882381767432"/>
        <n v="2.7317924077831095"/>
        <n v="0.97146367060579686"/>
        <n v="1.6651510049498304"/>
        <n v="1.4794834103460122"/>
        <n v="1.4205369964896497"/>
        <n v="1.0764283836997799"/>
        <n v="1.2307641755925045"/>
        <n v="0.9429848152367003"/>
        <n v="1.4849540362195355"/>
        <n v="1.6537934308679081"/>
        <n v="0.44282249549748876"/>
        <n v="1.020976097530419"/>
        <n v="1.7903212444492185"/>
        <n v="2.6680743558814162"/>
        <n v="1.2007936330416782"/>
        <n v="0.76558845019723076"/>
        <n v="6.5"/>
        <n v="1.8308787786446832"/>
      </sharedItems>
    </cacheField>
    <cacheField name="KM Travelled" numFmtId="1">
      <sharedItems containsSemiMixedTypes="0" containsString="0" containsNumber="1" containsInteger="1" minValue="1600" maxValue="3100"/>
    </cacheField>
    <cacheField name="Fuel Cost" numFmtId="171">
      <sharedItems containsSemiMixedTypes="0" containsString="0" containsNumber="1" minValue="9285.0019192570508" maxValue="48007.908019457667"/>
    </cacheField>
    <cacheField name="EMI" numFmtId="171">
      <sharedItems containsSemiMixedTypes="0" containsString="0" containsNumber="1" minValue="6090.9052802258566" maxValue="21318.1684807905"/>
    </cacheField>
    <cacheField name="Maintenance" numFmtId="171">
      <sharedItems containsSemiMixedTypes="0" containsString="0" containsNumber="1" containsInteger="1" minValue="5880" maxValue="22100"/>
    </cacheField>
    <cacheField name="Vehicle cost" numFmtId="171">
      <sharedItems containsSemiMixedTypes="0" containsString="0" containsNumber="1" minValue="22519.476708797287" maxValue="86746.947067284098"/>
    </cacheField>
    <cacheField name="Team cost " numFmtId="171">
      <sharedItems containsSemiMixedTypes="0" containsString="0" containsNumber="1" containsInteger="1" minValue="36000" maxValue="36000"/>
    </cacheField>
    <cacheField name="Total cost " numFmtId="171">
      <sharedItems containsSemiMixedTypes="0" containsString="0" containsNumber="1" minValue="58519.476708797287" maxValue="122746.9470672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Vapi"/>
    <s v="VAPT1"/>
    <x v="0"/>
    <s v="14 ft"/>
    <s v="EMI"/>
    <n v="2018"/>
    <x v="0"/>
    <n v="9"/>
    <x v="0"/>
    <n v="1600"/>
    <n v="16408.888888888887"/>
    <n v="11420.447400423482"/>
    <n v="9580"/>
    <n v="37409.33628931237"/>
    <n v="36000"/>
    <n v="73409.33628931237"/>
  </r>
  <r>
    <s v="Vapi"/>
    <s v="VAPT1"/>
    <x v="0"/>
    <s v="Tata Ace"/>
    <s v="EMI"/>
    <n v="2017"/>
    <x v="1"/>
    <n v="14"/>
    <x v="1"/>
    <n v="1600"/>
    <n v="10548.571428571429"/>
    <n v="6090.9052802258566"/>
    <n v="5880"/>
    <n v="22519.476708797287"/>
    <n v="36000"/>
    <n v="58519.476708797287"/>
  </r>
  <r>
    <s v="Vapi"/>
    <s v="VAPT1"/>
    <x v="1"/>
    <s v="14 ft"/>
    <s v="Market"/>
    <s v="NA"/>
    <x v="0"/>
    <n v="9"/>
    <x v="0"/>
    <n v="1600"/>
    <n v="16408.888888888887"/>
    <n v="11420.447400423482"/>
    <n v="9580"/>
    <n v="37409.33628931237"/>
    <n v="36000"/>
    <n v="73409.33628931237"/>
  </r>
  <r>
    <s v="Ahmedabad Branch"/>
    <s v="AMDT1"/>
    <x v="2"/>
    <s v="17 ft"/>
    <s v="EMI"/>
    <n v="2014"/>
    <x v="2"/>
    <n v="6.5525461364709248"/>
    <x v="2"/>
    <n v="2900"/>
    <n v="44474.742564298867"/>
    <n v="17511.352680649339"/>
    <n v="12500"/>
    <n v="74486.095244948199"/>
    <n v="36000"/>
    <n v="110486.0952449482"/>
  </r>
  <r>
    <s v="Gandhi Nager"/>
    <s v="GNCB1"/>
    <x v="3"/>
    <s v="Mahindra"/>
    <s v="EMI"/>
    <n v="2019"/>
    <x v="3"/>
    <n v="16.829787347508621"/>
    <x v="3"/>
    <n v="2700"/>
    <n v="18194.528820724201"/>
    <n v="11420.447400423482"/>
    <n v="8200"/>
    <n v="37814.976221147685"/>
    <n v="36000"/>
    <n v="73814.976221147692"/>
  </r>
  <r>
    <s v="Rampura Branch"/>
    <s v="AMDBP"/>
    <x v="4"/>
    <s v="AL Dost"/>
    <s v="EMI"/>
    <n v="2016"/>
    <x v="4"/>
    <n v="15.340744990271009"/>
    <x v="4"/>
    <n v="2600"/>
    <n v="13701.339883206299"/>
    <n v="7613.6316002823205"/>
    <n v="11400"/>
    <n v="32714.971483488618"/>
    <n v="36000"/>
    <n v="68714.971483488625"/>
  </r>
  <r>
    <s v="Rampura Branch"/>
    <s v="AMDBP"/>
    <x v="5"/>
    <s v="Tata Ace"/>
    <s v="EMI"/>
    <n v="2012"/>
    <x v="1"/>
    <n v="7.7853868200690899"/>
    <x v="5"/>
    <n v="2600"/>
    <n v="26997.857143266792"/>
    <n v="6090.9052802258566"/>
    <n v="6900"/>
    <n v="39988.762423492648"/>
    <n v="36000"/>
    <n v="75988.762423492648"/>
  </r>
  <r>
    <s v="Jamnager"/>
    <s v="JGAB1"/>
    <x v="6"/>
    <s v="Tata Ace"/>
    <s v="EMI"/>
    <n v="2019"/>
    <x v="1"/>
    <n v="17.527489465012966"/>
    <x v="6"/>
    <n v="1900"/>
    <n v="10865.739812694012"/>
    <n v="6090.9052802258566"/>
    <n v="10700"/>
    <n v="27656.645092919869"/>
    <n v="36000"/>
    <n v="63656.645092919869"/>
  </r>
  <r>
    <s v="Surat"/>
    <s v="STVT1"/>
    <x v="7"/>
    <s v="14 ft"/>
    <s v="EMI"/>
    <n v="2016"/>
    <x v="0"/>
    <n v="13.044642984582476"/>
    <x v="7"/>
    <n v="2900"/>
    <n v="22100.936769178697"/>
    <n v="11420.447400423482"/>
    <n v="18700"/>
    <n v="52221.384169602177"/>
    <n v="36000"/>
    <n v="88221.384169602185"/>
  </r>
  <r>
    <s v="Surat"/>
    <s v="STVT1"/>
    <x v="7"/>
    <s v="17 ft"/>
    <s v="EMI"/>
    <n v="2017"/>
    <x v="2"/>
    <n v="7.7766332599738792"/>
    <x v="8"/>
    <n v="2900"/>
    <n v="37072.44769566723"/>
    <n v="17511.352680649339"/>
    <n v="15600"/>
    <n v="70183.800376316562"/>
    <n v="36000"/>
    <n v="106183.80037631656"/>
  </r>
  <r>
    <s v="Surat"/>
    <s v="STVT1"/>
    <x v="7"/>
    <s v="22 ft"/>
    <s v="Market"/>
    <s v="NA"/>
    <x v="5"/>
    <n v="6.653749290515103"/>
    <x v="9"/>
    <n v="2900"/>
    <n v="43328.778586493601"/>
    <n v="21318.1684807905"/>
    <n v="22100"/>
    <n v="86746.947067284098"/>
    <n v="36000"/>
    <n v="122746.9470672841"/>
  </r>
  <r>
    <s v="Vadodara"/>
    <s v="BDQT1"/>
    <x v="8"/>
    <s v="Tata Ace"/>
    <s v="Owned"/>
    <n v="2016"/>
    <x v="1"/>
    <n v="18.889971546597494"/>
    <x v="10"/>
    <n v="3000"/>
    <n v="12476.910857713416"/>
    <n v="6090.9052802258566"/>
    <n v="10700"/>
    <n v="29267.816137939273"/>
    <n v="36000"/>
    <n v="65267.81613793927"/>
  </r>
  <r>
    <s v="Ahmmedabad City"/>
    <s v="AMDBL"/>
    <x v="9"/>
    <s v="14 ft"/>
    <s v="EMI"/>
    <n v="2013"/>
    <x v="0"/>
    <n v="9.095012736983012"/>
    <x v="11"/>
    <n v="1800"/>
    <n v="18718.663328438746"/>
    <n v="11420.447400423482"/>
    <n v="12000"/>
    <n v="42139.11072886223"/>
    <n v="36000"/>
    <n v="78139.11072886223"/>
  </r>
  <r>
    <s v="Ahmmedabad City"/>
    <s v="AMDBL"/>
    <x v="9"/>
    <s v="19 ft"/>
    <s v="Market"/>
    <s v="NA"/>
    <x v="6"/>
    <n v="3.5462174548919334"/>
    <x v="12"/>
    <n v="1800"/>
    <n v="48007.908019457667"/>
    <n v="17511.352680649339"/>
    <n v="19000"/>
    <n v="84519.260700106999"/>
    <n v="36000"/>
    <n v="120519.260700107"/>
  </r>
  <r>
    <s v="Sanand"/>
    <s v="AMDBC"/>
    <x v="10"/>
    <s v="Tata Ace"/>
    <s v="EMI"/>
    <n v="2020"/>
    <x v="1"/>
    <n v="17.157710528177709"/>
    <x v="13"/>
    <n v="3100"/>
    <n v="16815.46394439719"/>
    <n v="6090.9052802258566"/>
    <n v="11800"/>
    <n v="34706.369224623049"/>
    <n v="36000"/>
    <n v="70706.369224623049"/>
  </r>
  <r>
    <s v="Vapi"/>
    <s v="VAPT1"/>
    <x v="11"/>
    <s v="Tata Ace"/>
    <s v="EMI"/>
    <n v="2010"/>
    <x v="1"/>
    <n v="14"/>
    <x v="1"/>
    <n v="1600"/>
    <n v="10548.571428571429"/>
    <n v="6090.9052802258566"/>
    <n v="5880"/>
    <n v="22519.476708797287"/>
    <n v="36000"/>
    <n v="58519.476708797287"/>
  </r>
  <r>
    <s v="Rajkot"/>
    <s v="RAJB1"/>
    <x v="12"/>
    <s v="Super ace"/>
    <s v="Owned"/>
    <n v="2019"/>
    <x v="7"/>
    <n v="17.582051377297987"/>
    <x v="14"/>
    <n v="1800"/>
    <n v="9285.0019192570508"/>
    <n v="8374.9947603105538"/>
    <n v="9900"/>
    <n v="27559.996679567605"/>
    <n v="36000"/>
    <n v="63559.996679567601"/>
  </r>
  <r>
    <s v="Gandhi Nager"/>
    <s v="GNCB1"/>
    <x v="13"/>
    <s v="Mahindra"/>
    <s v="EMI"/>
    <n v="2019"/>
    <x v="3"/>
    <n v="16.829787347508621"/>
    <x v="3"/>
    <n v="2700"/>
    <n v="18194.528820724201"/>
    <n v="11420.447400423482"/>
    <n v="8200"/>
    <n v="37814.976221147685"/>
    <n v="36000"/>
    <n v="73814.976221147692"/>
  </r>
  <r>
    <s v="Bhavnager"/>
    <s v="BVCB1"/>
    <x v="14"/>
    <s v="Mahindra"/>
    <s v="Owned"/>
    <n v="2020"/>
    <x v="3"/>
    <n v="9.8332980589745791"/>
    <x v="15"/>
    <n v="2500"/>
    <n v="24433.001229891568"/>
    <n v="11420.447400423482"/>
    <n v="10200"/>
    <n v="46053.448630315048"/>
    <n v="36000"/>
    <n v="82053.448630315048"/>
  </r>
  <r>
    <s v="Ahmedabad Branch"/>
    <s v="AMDT1"/>
    <x v="15"/>
    <s v="17 ft"/>
    <s v="Owned"/>
    <n v="2012"/>
    <x v="2"/>
    <n v="6.5525461364709248"/>
    <x v="2"/>
    <n v="2900"/>
    <n v="44474.742564298867"/>
    <n v="17511.352680649339"/>
    <n v="12500"/>
    <n v="74486.095244948199"/>
    <n v="36000"/>
    <n v="110486.0952449482"/>
  </r>
  <r>
    <s v="Ahmedabad Branch"/>
    <s v="AMDT1"/>
    <x v="16"/>
    <s v="19 ft"/>
    <s v="Market"/>
    <s v="NA"/>
    <x v="6"/>
    <n v="6.9433969910850388"/>
    <x v="16"/>
    <n v="2900"/>
    <n v="41971.214224738593"/>
    <n v="17511.352680649339"/>
    <n v="11400"/>
    <n v="70882.566905387939"/>
    <n v="36000"/>
    <n v="106882.56690538794"/>
  </r>
  <r>
    <s v="Jamnager"/>
    <s v="JGAB1"/>
    <x v="17"/>
    <s v="14 ft"/>
    <s v="EMI"/>
    <n v="2020"/>
    <x v="0"/>
    <n v="8.5572888357740542"/>
    <x v="17"/>
    <n v="1900"/>
    <n v="22255.780277088084"/>
    <n v="11420.447400423482"/>
    <n v="11900"/>
    <n v="45576.227677511568"/>
    <n v="36000"/>
    <n v="81576.227677511575"/>
  </r>
  <r>
    <s v="Jamnager"/>
    <s v="JGAB1"/>
    <x v="17"/>
    <s v="Tata Ace"/>
    <s v="Owned"/>
    <n v="2018"/>
    <x v="1"/>
    <n v="17.527489465012966"/>
    <x v="6"/>
    <n v="1900"/>
    <n v="10865.739812694012"/>
    <n v="6090.9052802258566"/>
    <n v="10700"/>
    <n v="27656.645092919869"/>
    <n v="36000"/>
    <n v="63656.645092919869"/>
  </r>
  <r>
    <s v="Rajkot"/>
    <s v="RAJB1"/>
    <x v="18"/>
    <s v="Mahindra"/>
    <s v="Owned"/>
    <n v="2013"/>
    <x v="3"/>
    <n v="9.8850325042295175"/>
    <x v="18"/>
    <n v="1800"/>
    <n v="16514.804651662827"/>
    <n v="11420.447400423482"/>
    <n v="8600"/>
    <n v="36535.252052086311"/>
    <n v="36000"/>
    <n v="72535.252052086318"/>
  </r>
  <r>
    <s v="Vadodara"/>
    <s v="BDQT1"/>
    <x v="19"/>
    <s v="14 ft"/>
    <s v="Market"/>
    <s v="NA"/>
    <x v="0"/>
    <n v="12.597885435760045"/>
    <x v="19"/>
    <n v="3000"/>
    <n v="18708.575521938008"/>
    <n v="11420.447400423482"/>
    <n v="15100"/>
    <n v="45229.022922361488"/>
    <n v="36000"/>
    <n v="81229.022922361488"/>
  </r>
  <r>
    <s v="Vadodara"/>
    <s v="BDQT1"/>
    <x v="19"/>
    <s v="AL Dost"/>
    <s v="EMI"/>
    <n v="2019"/>
    <x v="4"/>
    <n v="16.206961290646341"/>
    <x v="20"/>
    <n v="3000"/>
    <n v="14542.423275093808"/>
    <n v="7613.6316002823205"/>
    <n v="10200"/>
    <n v="32356.054875376129"/>
    <n v="36000"/>
    <n v="68356.054875376125"/>
  </r>
  <r>
    <s v="Vadodara"/>
    <s v="BDQT1"/>
    <x v="19"/>
    <s v="Super ace"/>
    <s v="EMI"/>
    <n v="2018"/>
    <x v="7"/>
    <n v="9.9226528824228826"/>
    <x v="21"/>
    <n v="3000"/>
    <n v="23752.568379081509"/>
    <n v="8374.9947603105538"/>
    <n v="10500"/>
    <n v="42627.563139392063"/>
    <n v="36000"/>
    <n v="78627.563139392063"/>
  </r>
  <r>
    <s v="Vadodara"/>
    <s v="BDQT1"/>
    <x v="20"/>
    <s v="Tata Ace"/>
    <s v="EMI"/>
    <n v="2013"/>
    <x v="1"/>
    <n v="18.889971546597494"/>
    <x v="10"/>
    <n v="3000"/>
    <n v="12476.910857713416"/>
    <n v="6090.9052802258566"/>
    <n v="10700"/>
    <n v="29267.816137939273"/>
    <n v="36000"/>
    <n v="65267.81613793927"/>
  </r>
  <r>
    <s v="Vadodara"/>
    <s v="BDQT1"/>
    <x v="20"/>
    <s v="Super ace"/>
    <s v="Owned"/>
    <n v="2015"/>
    <x v="7"/>
    <n v="9.9226528824228826"/>
    <x v="21"/>
    <n v="3000"/>
    <n v="23752.568379081509"/>
    <n v="8374.9947603105538"/>
    <n v="10500"/>
    <n v="42627.563139392063"/>
    <n v="36000"/>
    <n v="78627.563139392063"/>
  </r>
  <r>
    <s v="Ahmedabad Branch"/>
    <s v="AMDT1"/>
    <x v="21"/>
    <s v="AL Dost"/>
    <s v="EMI"/>
    <n v="2013"/>
    <x v="4"/>
    <n v="13.451738176402987"/>
    <x v="22"/>
    <n v="2900"/>
    <n v="21664.323133455633"/>
    <n v="7613.6316002823205"/>
    <n v="7600"/>
    <n v="36877.954733737955"/>
    <n v="36000"/>
    <n v="72877.954733737948"/>
  </r>
  <r>
    <s v="Amreli"/>
    <s v="AKVB1"/>
    <x v="22"/>
    <s v="AL Dost"/>
    <s v="Owned"/>
    <n v="2011"/>
    <x v="4"/>
    <n v="12.342261159350826"/>
    <x v="23"/>
    <n v="2400"/>
    <n v="19100.862449123269"/>
    <n v="7613.6316002823205"/>
    <n v="6500"/>
    <n v="33214.494049405592"/>
    <n v="36000"/>
    <n v="69214.494049405592"/>
  </r>
  <r>
    <s v="Surat"/>
    <s v="STVT1"/>
    <x v="23"/>
    <s v="14 ft"/>
    <s v="Market"/>
    <s v="NA"/>
    <x v="0"/>
    <n v="13.044642984582476"/>
    <x v="7"/>
    <n v="2900"/>
    <n v="22100.936769178697"/>
    <n v="11420.447400423482"/>
    <n v="18700"/>
    <n v="52221.384169602177"/>
    <n v="36000"/>
    <n v="88221.384169602185"/>
  </r>
  <r>
    <s v="Surat"/>
    <s v="STVT1"/>
    <x v="23"/>
    <s v="Tata Ace"/>
    <s v="Owned"/>
    <n v="2013"/>
    <x v="1"/>
    <n v="17.294647938760768"/>
    <x v="24"/>
    <n v="2900"/>
    <n v="16669.829348340325"/>
    <n v="6090.9052802258566"/>
    <n v="11500"/>
    <n v="34260.734628566177"/>
    <n v="36000"/>
    <n v="70260.734628566177"/>
  </r>
  <r>
    <s v="Vadodara"/>
    <s v="BDQT1"/>
    <x v="24"/>
    <s v="AL Dost"/>
    <s v="Owned"/>
    <n v="2015"/>
    <x v="4"/>
    <n v="16.206961290646341"/>
    <x v="20"/>
    <n v="3000"/>
    <n v="14542.423275093808"/>
    <n v="7613.6316002823205"/>
    <n v="10200"/>
    <n v="32356.054875376129"/>
    <n v="36000"/>
    <n v="68356.054875376125"/>
  </r>
  <r>
    <s v="Surat"/>
    <s v="STVT1"/>
    <x v="25"/>
    <s v="AL Dost"/>
    <s v="Owned"/>
    <n v="2014"/>
    <x v="4"/>
    <n v="6.5028597954101208"/>
    <x v="25"/>
    <n v="2900"/>
    <n v="44334.160484631124"/>
    <n v="7613.6316002823205"/>
    <n v="11200"/>
    <n v="63147.792084913446"/>
    <n v="36000"/>
    <n v="99147.792084913439"/>
  </r>
  <r>
    <s v="Gandhi Nager"/>
    <s v="GNCB1"/>
    <x v="26"/>
    <s v="Tata Ace"/>
    <s v="EMI"/>
    <n v="2012"/>
    <x v="1"/>
    <n v="9.3641429387747763"/>
    <x v="26"/>
    <n v="2700"/>
    <n v="32700.275181934616"/>
    <n v="6090.9052802258566"/>
    <n v="7800"/>
    <n v="46591.180462160475"/>
    <n v="36000"/>
    <n v="82591.180462160468"/>
  </r>
  <r>
    <s v="Rampura Branch"/>
    <s v="AMDBP"/>
    <x v="27"/>
    <s v="Mahindra"/>
    <s v="EMI"/>
    <n v="2015"/>
    <x v="3"/>
    <n v="11.216814907083885"/>
    <x v="27"/>
    <n v="2600"/>
    <n v="18738.720654163106"/>
    <n v="11420.447400423482"/>
    <n v="11200"/>
    <n v="41359.168054586589"/>
    <n v="36000"/>
    <n v="77359.168054586597"/>
  </r>
  <r>
    <s v="Ahmedabad Branch"/>
    <s v="AMDT1"/>
    <x v="28"/>
    <s v="17 ft"/>
    <s v="Market"/>
    <s v="NA"/>
    <x v="2"/>
    <n v="6.5525461364709248"/>
    <x v="2"/>
    <n v="2900"/>
    <n v="44474.742564298867"/>
    <n v="17511.352680649339"/>
    <n v="12500"/>
    <n v="74486.095244948199"/>
    <n v="36000"/>
    <n v="110486.0952449482"/>
  </r>
  <r>
    <s v="Vadodara"/>
    <s v="BDQT1"/>
    <x v="29"/>
    <s v="AL Dost"/>
    <s v="Owned"/>
    <n v="2014"/>
    <x v="4"/>
    <n v="16.206961290646341"/>
    <x v="20"/>
    <n v="3000"/>
    <n v="14542.423275093808"/>
    <n v="7613.6316002823205"/>
    <n v="10200"/>
    <n v="32356.054875376129"/>
    <n v="36000"/>
    <n v="68356.054875376125"/>
  </r>
  <r>
    <s v="Rajkot"/>
    <s v="RAJB1"/>
    <x v="30"/>
    <s v="Pickup"/>
    <s v="Owned"/>
    <n v="2014"/>
    <x v="8"/>
    <n v="13.840671454814565"/>
    <x v="28"/>
    <n v="1800"/>
    <n v="11794.903254198736"/>
    <n v="9897.7210803670168"/>
    <n v="9300"/>
    <n v="30992.624334565753"/>
    <n v="36000"/>
    <n v="66992.624334565757"/>
  </r>
  <r>
    <s v="Rajkot"/>
    <s v="RAJB1"/>
    <x v="30"/>
    <s v="Tata Ace"/>
    <s v="Owned"/>
    <n v="2020"/>
    <x v="1"/>
    <n v="15.252132362435546"/>
    <x v="29"/>
    <n v="1800"/>
    <n v="10703.38080626382"/>
    <n v="6090.9052802258566"/>
    <n v="6200"/>
    <n v="22994.286086489676"/>
    <n v="36000"/>
    <n v="58994.286086489679"/>
  </r>
  <r>
    <s v="Rampura Branch"/>
    <s v="AMDBC"/>
    <x v="31"/>
    <s v="Tata Ace"/>
    <s v="EMI"/>
    <n v="2012"/>
    <x v="1"/>
    <n v="17.157710528177709"/>
    <x v="13"/>
    <n v="3100"/>
    <n v="16815.46394439719"/>
    <n v="6090.9052802258566"/>
    <n v="11800"/>
    <n v="34706.369224623049"/>
    <n v="36000"/>
    <n v="70706.369224623049"/>
  </r>
  <r>
    <s v="Surat"/>
    <s v="STVT1"/>
    <x v="32"/>
    <s v="Tata Ace"/>
    <s v="Owned"/>
    <n v="2019"/>
    <x v="1"/>
    <n v="17.294647938760768"/>
    <x v="24"/>
    <n v="2900"/>
    <n v="16669.829348340325"/>
    <n v="6090.9052802258566"/>
    <n v="11500"/>
    <n v="34260.734628566177"/>
    <n v="36000"/>
    <n v="70260.734628566177"/>
  </r>
  <r>
    <s v="Ahmedabad Branch"/>
    <s v="AMDT1"/>
    <x v="33"/>
    <s v="17 ft"/>
    <s v="Market"/>
    <s v="NA"/>
    <x v="2"/>
    <n v="6.5525461364709248"/>
    <x v="2"/>
    <n v="2900"/>
    <n v="44474.742564298867"/>
    <n v="17511.352680649339"/>
    <n v="12500"/>
    <n v="74486.095244948199"/>
    <n v="36000"/>
    <n v="110486.0952449482"/>
  </r>
  <r>
    <s v="Gandhi Nager"/>
    <s v="GNCB1"/>
    <x v="34"/>
    <s v="Tata Ace"/>
    <s v="Owned"/>
    <n v="2020"/>
    <x v="1"/>
    <n v="9.3641429387747763"/>
    <x v="26"/>
    <n v="2700"/>
    <n v="32700.275181934616"/>
    <n v="6090.9052802258566"/>
    <n v="7800"/>
    <n v="46591.180462160475"/>
    <n v="36000"/>
    <n v="82591.180462160468"/>
  </r>
  <r>
    <s v="Vadodara"/>
    <s v="BDQT1"/>
    <x v="35"/>
    <s v="Super ace"/>
    <s v="Owned"/>
    <n v="2014"/>
    <x v="7"/>
    <n v="9.9226528824228826"/>
    <x v="21"/>
    <n v="3000"/>
    <n v="23752.568379081509"/>
    <n v="8374.9947603105538"/>
    <n v="10500"/>
    <n v="42627.563139392063"/>
    <n v="36000"/>
    <n v="78627.563139392063"/>
  </r>
  <r>
    <s v="Vadodara"/>
    <s v="BDQT1"/>
    <x v="35"/>
    <s v="AL Dost"/>
    <s v="Owned"/>
    <n v="2018"/>
    <x v="4"/>
    <n v="16.206961290646341"/>
    <x v="20"/>
    <n v="3000"/>
    <n v="14542.423275093808"/>
    <n v="7613.6316002823205"/>
    <n v="10200"/>
    <n v="32356.054875376129"/>
    <n v="36000"/>
    <n v="68356.054875376125"/>
  </r>
  <r>
    <s v="Junagarh"/>
    <s v="JNDB1"/>
    <x v="36"/>
    <s v="Tata Ace"/>
    <s v="Owned"/>
    <n v="2015"/>
    <x v="1"/>
    <n v="10.173410042173559"/>
    <x v="30"/>
    <n v="1800"/>
    <n v="14495.51069292958"/>
    <n v="6090.9052802258566"/>
    <n v="9700"/>
    <n v="30286.415973155435"/>
    <n v="36000"/>
    <n v="66286.415973155439"/>
  </r>
  <r>
    <s v="Mehsana"/>
    <s v="MSHB1"/>
    <x v="37"/>
    <s v="Mahindra"/>
    <s v="EMI"/>
    <n v="2019"/>
    <x v="3"/>
    <n v="8.6217992604575731"/>
    <x v="31"/>
    <n v="2000"/>
    <n v="23052.631423483541"/>
    <n v="11420.447400423482"/>
    <n v="10200"/>
    <n v="44673.078823907024"/>
    <n v="36000"/>
    <n v="80673.078823907024"/>
  </r>
  <r>
    <s v="Mehsana"/>
    <s v="MSHB1"/>
    <x v="37"/>
    <s v="Mahindra"/>
    <s v="Owned"/>
    <n v="2018"/>
    <x v="3"/>
    <n v="8.6217992604575731"/>
    <x v="31"/>
    <n v="2000"/>
    <n v="23052.631423483541"/>
    <n v="11420.447400423482"/>
    <n v="10200"/>
    <n v="44673.078823907024"/>
    <n v="36000"/>
    <n v="80673.078823907024"/>
  </r>
  <r>
    <s v="Ahmedabad Branch"/>
    <s v="AMDT1"/>
    <x v="38"/>
    <s v="17 ft"/>
    <s v="Market"/>
    <s v="NA"/>
    <x v="2"/>
    <n v="6.5525461364709248"/>
    <x v="2"/>
    <n v="2900"/>
    <n v="44474.742564298867"/>
    <n v="17511.352680649339"/>
    <n v="12500"/>
    <n v="74486.095244948199"/>
    <n v="36000"/>
    <n v="110486.0952449482"/>
  </r>
  <r>
    <s v="Rampura Branch"/>
    <s v="AMDBP"/>
    <x v="39"/>
    <s v="Mahindra"/>
    <s v="EMI"/>
    <n v="2011"/>
    <x v="3"/>
    <n v="11.216814907083885"/>
    <x v="27"/>
    <n v="2600"/>
    <n v="18738.720654163106"/>
    <n v="11420.447400423482"/>
    <n v="11200"/>
    <n v="41359.168054586589"/>
    <n v="36000"/>
    <n v="77359.168054586597"/>
  </r>
  <r>
    <s v="Vadodara"/>
    <s v="BDQT1"/>
    <x v="40"/>
    <s v="AL Dost"/>
    <s v="Owned"/>
    <n v="2015"/>
    <x v="4"/>
    <n v="16.206961290646341"/>
    <x v="20"/>
    <n v="3000"/>
    <n v="14542.423275093808"/>
    <n v="7613.6316002823205"/>
    <n v="10200"/>
    <n v="32356.054875376129"/>
    <n v="36000"/>
    <n v="68356.054875376125"/>
  </r>
  <r>
    <s v="Surat"/>
    <s v="STVT1"/>
    <x v="41"/>
    <s v="Tata Ace"/>
    <s v="Owned"/>
    <n v="2019"/>
    <x v="1"/>
    <n v="17.294647938760768"/>
    <x v="24"/>
    <n v="2900"/>
    <n v="16669.829348340325"/>
    <n v="6090.9052802258566"/>
    <n v="11500"/>
    <n v="34260.734628566177"/>
    <n v="36000"/>
    <n v="70260.734628566177"/>
  </r>
  <r>
    <s v="Rampura Branch"/>
    <s v="AMDBP"/>
    <x v="42"/>
    <s v="17 ft"/>
    <s v="Market"/>
    <s v="NA"/>
    <x v="2"/>
    <n v="4.6995094079618678"/>
    <x v="32"/>
    <n v="2600"/>
    <n v="44725.681539693796"/>
    <n v="17511.352680649339"/>
    <n v="11200"/>
    <n v="73437.034220343136"/>
    <n v="36000"/>
    <n v="109437.03422034314"/>
  </r>
  <r>
    <s v="Rampura Branch"/>
    <s v="AMDBP"/>
    <x v="42"/>
    <s v="Mahindra"/>
    <s v="EMI"/>
    <n v="2018"/>
    <x v="3"/>
    <n v="11.216814907083885"/>
    <x v="27"/>
    <n v="2600"/>
    <n v="18738.720654163106"/>
    <n v="11420.447400423482"/>
    <n v="11200"/>
    <n v="41359.168054586589"/>
    <n v="36000"/>
    <n v="77359.168054586597"/>
  </r>
  <r>
    <s v="Rampura Branch"/>
    <s v="AMDBP"/>
    <x v="42"/>
    <s v="Pickup"/>
    <s v="EMI"/>
    <n v="2018"/>
    <x v="8"/>
    <n v="8.0856008470429561"/>
    <x v="33"/>
    <n v="2600"/>
    <n v="25995.441173696705"/>
    <n v="9897.7210803670168"/>
    <n v="9800"/>
    <n v="45693.162254063718"/>
    <n v="36000"/>
    <n v="81693.162254063718"/>
  </r>
  <r>
    <s v="Rampura Branch"/>
    <s v="AMDBP"/>
    <x v="42"/>
    <s v="Tata Ace"/>
    <s v="EMI"/>
    <n v="2014"/>
    <x v="1"/>
    <n v="7.7853868200690899"/>
    <x v="5"/>
    <n v="2600"/>
    <n v="26997.857143266792"/>
    <n v="6090.9052802258566"/>
    <n v="6900"/>
    <n v="39988.762423492648"/>
    <n v="36000"/>
    <n v="75988.762423492648"/>
  </r>
  <r>
    <s v="Ahmmedabad City"/>
    <s v="AMDBL"/>
    <x v="43"/>
    <s v="Mahindra"/>
    <s v="EMI"/>
    <n v="2019"/>
    <x v="3"/>
    <n v="12.660297306770655"/>
    <x v="34"/>
    <n v="1800"/>
    <n v="13447.273572351289"/>
    <n v="11420.447400423482"/>
    <n v="11800"/>
    <n v="36667.720972774769"/>
    <n v="36000"/>
    <n v="72667.720972774769"/>
  </r>
  <r>
    <s v="Vapi"/>
    <s v="VAPT1"/>
    <x v="44"/>
    <s v="20 ft"/>
    <s v="Market"/>
    <s v="NA"/>
    <x v="9"/>
    <n v="7"/>
    <x v="35"/>
    <n v="1600"/>
    <n v="21097.142857142859"/>
    <n v="19034.079000705802"/>
    <n v="11080"/>
    <n v="51211.221857848665"/>
    <n v="36000"/>
    <n v="87211.221857848665"/>
  </r>
  <r>
    <s v="Sanand"/>
    <s v="AMDT1"/>
    <x v="45"/>
    <s v="AL Dost"/>
    <s v="EMI"/>
    <n v="2010"/>
    <x v="4"/>
    <n v="13.451738176402987"/>
    <x v="22"/>
    <n v="2900"/>
    <n v="21664.323133455633"/>
    <n v="7613.6316002823205"/>
    <n v="7600"/>
    <n v="36877.954733737955"/>
    <n v="36000"/>
    <n v="72877.954733737948"/>
  </r>
  <r>
    <s v="Sanand"/>
    <s v="AMDBC"/>
    <x v="46"/>
    <s v="AL Dost"/>
    <s v="EMI"/>
    <n v="2015"/>
    <x v="4"/>
    <n v="17.133678707427691"/>
    <x v="36"/>
    <n v="3100"/>
    <n v="16839.049434836263"/>
    <n v="7613.6316002823205"/>
    <n v="11700"/>
    <n v="36152.681035118585"/>
    <n v="36000"/>
    <n v="72152.681035118585"/>
  </r>
  <r>
    <s v="Vadodara"/>
    <s v="BDQT1"/>
    <x v="47"/>
    <s v="14 ft"/>
    <s v="EMI"/>
    <n v="2015"/>
    <x v="0"/>
    <n v="12.597885435760045"/>
    <x v="19"/>
    <n v="3000"/>
    <n v="18708.575521938008"/>
    <n v="11420.447400423482"/>
    <n v="15100"/>
    <n v="45229.022922361488"/>
    <n v="36000"/>
    <n v="81229.022922361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0" firstHeaderRow="1" firstDataRow="1" firstDataCol="1"/>
  <pivotFields count="16">
    <pivotField showAll="0"/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numFmtId="1" showAll="0"/>
    <pivotField numFmtId="169" showAll="0"/>
    <pivotField numFmtId="1" showAll="0"/>
    <pivotField numFmtId="171" showAll="0"/>
    <pivotField numFmtId="171" showAll="0"/>
    <pivotField numFmtId="171" showAll="0"/>
    <pivotField numFmtId="171" showAll="0"/>
    <pivotField numFmtId="171" showAll="0"/>
    <pivotField dataField="1" numFmtId="171"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Total cost " fld="15" baseField="0" baseItem="0" numFmtId="171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50" totalsRowShown="0" headerRowDxfId="5" headerRowBorderDxfId="4" tableBorderDxfId="3" totalsRowBorderDxfId="2">
  <autoFilter ref="A1:B50"/>
  <tableColumns count="2">
    <tableColumn id="1" name="BP Name" dataDxfId="1"/>
    <tableColumn id="2" name="Profit Margi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12.7109375" defaultRowHeight="15" x14ac:dyDescent="0.25"/>
  <cols>
    <col min="1" max="1" width="32.5703125" style="5" bestFit="1" customWidth="1"/>
    <col min="2" max="2" width="11.5703125" style="5" customWidth="1"/>
    <col min="3" max="3" width="12.5703125" style="5" customWidth="1"/>
    <col min="4" max="4" width="14.7109375" style="5" customWidth="1"/>
    <col min="5" max="5" width="10.7109375" style="5" bestFit="1" customWidth="1"/>
    <col min="6" max="6" width="11" style="5" customWidth="1"/>
    <col min="7" max="7" width="13.140625" style="5" bestFit="1" customWidth="1"/>
    <col min="8" max="8" width="14.5703125" style="5" customWidth="1"/>
    <col min="9" max="9" width="10.42578125" style="5" bestFit="1" customWidth="1"/>
    <col min="10" max="10" width="14.7109375" style="6" customWidth="1"/>
    <col min="11" max="11" width="12.85546875" style="6" customWidth="1"/>
    <col min="12" max="12" width="9.140625" style="5" customWidth="1"/>
    <col min="13" max="13" width="13.7109375" style="6" customWidth="1"/>
    <col min="14" max="14" width="9.28515625" style="5" customWidth="1"/>
    <col min="15" max="15" width="35.7109375" style="5" bestFit="1" customWidth="1"/>
    <col min="16" max="21" width="9.28515625" style="5" customWidth="1"/>
    <col min="22" max="22" width="13.7109375" style="5" customWidth="1"/>
    <col min="23" max="29" width="9.28515625" style="5" customWidth="1"/>
    <col min="30" max="16384" width="12.7109375" style="5"/>
  </cols>
  <sheetData>
    <row r="1" spans="1:22" x14ac:dyDescent="0.25">
      <c r="A1" s="89" t="s">
        <v>0</v>
      </c>
      <c r="B1" s="89" t="s">
        <v>52</v>
      </c>
      <c r="C1" s="89" t="s">
        <v>142</v>
      </c>
      <c r="D1" s="89" t="s">
        <v>146</v>
      </c>
      <c r="E1" s="89" t="s">
        <v>144</v>
      </c>
      <c r="F1" s="89" t="s">
        <v>145</v>
      </c>
      <c r="G1" s="89" t="s">
        <v>143</v>
      </c>
      <c r="H1" s="89" t="s">
        <v>147</v>
      </c>
      <c r="I1" s="89" t="s">
        <v>148</v>
      </c>
      <c r="J1" s="89" t="s">
        <v>149</v>
      </c>
      <c r="K1" s="89" t="s">
        <v>150</v>
      </c>
      <c r="L1" s="89" t="s">
        <v>151</v>
      </c>
      <c r="M1" s="89" t="s">
        <v>152</v>
      </c>
    </row>
    <row r="2" spans="1:22" x14ac:dyDescent="0.25">
      <c r="A2" s="87" t="s">
        <v>37</v>
      </c>
      <c r="B2" s="84">
        <f>VLOOKUP(A2,'Pivot Table Cost Base'!$A$1:$B$49,2,FALSE)</f>
        <v>131928.81299810967</v>
      </c>
      <c r="C2" s="56">
        <f>VLOOKUP(A2,payouts_table_AMD!$B$1:$E$52,3,FALSE)</f>
        <v>5</v>
      </c>
      <c r="D2" s="78">
        <f>VLOOKUP(A2,payouts_table_AMD!$B$1:$E$52,4,FALSE)</f>
        <v>16347.6</v>
      </c>
      <c r="E2" s="84">
        <f>VLOOKUP(A2,Payout!$B$2:$F$64,4,FALSE)</f>
        <v>81737.72</v>
      </c>
      <c r="F2" s="84">
        <f>VLOOKUP(A2,Payout!$B$2:$F$64,5,FALSE)</f>
        <v>67307.695444082405</v>
      </c>
      <c r="G2" s="84">
        <f>E2-F2</f>
        <v>14430.024555917596</v>
      </c>
      <c r="H2" s="85">
        <f>G2/F2</f>
        <v>0.21438892626929576</v>
      </c>
      <c r="I2" s="84">
        <f>E2-B2</f>
        <v>-50191.092998109671</v>
      </c>
      <c r="J2" s="85">
        <f>I2/E2</f>
        <v>-0.61405056316850615</v>
      </c>
      <c r="K2" s="86">
        <f>B2/D2</f>
        <v>8.0702251705516197</v>
      </c>
      <c r="L2" s="87" t="str">
        <f>IF(H2&gt;0,"overpaid","under budget")</f>
        <v>overpaid</v>
      </c>
      <c r="M2" s="87" t="str">
        <f>IF(J2&gt;0, "profitable", "in loss")</f>
        <v>in loss</v>
      </c>
    </row>
    <row r="3" spans="1:22" x14ac:dyDescent="0.25">
      <c r="A3" s="27" t="s">
        <v>7</v>
      </c>
      <c r="B3" s="84">
        <f>VLOOKUP(A3,'Pivot Table Cost Base'!$A$1:$B$49,2,FALSE)</f>
        <v>73409.33628931237</v>
      </c>
      <c r="C3" s="56">
        <f>VLOOKUP(A3,payouts_table_AMD!$B$1:$E$52,3,FALSE)</f>
        <v>5</v>
      </c>
      <c r="D3" s="78">
        <f>VLOOKUP(A3,payouts_table_AMD!$B$1:$E$52,4,FALSE)</f>
        <v>36413.599999999999</v>
      </c>
      <c r="E3" s="84">
        <f>VLOOKUP(A3,Payout!$B$2:$F$64,4,FALSE)</f>
        <v>182068.2471119999</v>
      </c>
      <c r="F3" s="84">
        <f>VLOOKUP(A3,Payout!$B$2:$F$64,5,FALSE)</f>
        <v>151594.20238356592</v>
      </c>
      <c r="G3" s="84">
        <f t="shared" ref="G3:G49" si="0">E3-F3</f>
        <v>30474.044728433975</v>
      </c>
      <c r="H3" s="85">
        <f t="shared" ref="H3:H49" si="1">G3/F3</f>
        <v>0.20102381390106261</v>
      </c>
      <c r="I3" s="84">
        <f t="shared" ref="I3:I49" si="2">E3-B3</f>
        <v>108658.91082268753</v>
      </c>
      <c r="J3" s="85">
        <f t="shared" ref="J3:J49" si="3">I3/E3</f>
        <v>0.59680319081583533</v>
      </c>
      <c r="K3" s="86">
        <f t="shared" ref="K3:K49" si="4">B3/D3</f>
        <v>2.0159867821174609</v>
      </c>
      <c r="L3" s="87" t="str">
        <f t="shared" ref="L3:L49" si="5">IF(H3&gt;0,"overpaid","under budget")</f>
        <v>overpaid</v>
      </c>
      <c r="M3" s="87" t="str">
        <f t="shared" ref="M3:M49" si="6">IF(J3&gt;0, "profitable", "in loss")</f>
        <v>profitable</v>
      </c>
      <c r="O3" t="s">
        <v>105</v>
      </c>
      <c r="P3" s="83">
        <f>CORREL(E1:E49,K1:K49)</f>
        <v>-0.30620120844978982</v>
      </c>
    </row>
    <row r="4" spans="1:22" x14ac:dyDescent="0.25">
      <c r="A4" s="87" t="s">
        <v>6</v>
      </c>
      <c r="B4" s="84">
        <f>VLOOKUP(A4,'Pivot Table Cost Base'!$A$1:$B$49,2,FALSE)</f>
        <v>110486.0952449482</v>
      </c>
      <c r="C4" s="56">
        <f>VLOOKUP(A4,payouts_table_AMD!$B$1:$E$52,3,FALSE)</f>
        <v>5</v>
      </c>
      <c r="D4" s="78">
        <f>VLOOKUP(A4,payouts_table_AMD!$B$1:$E$52,4,FALSE)</f>
        <v>29269</v>
      </c>
      <c r="E4" s="84">
        <f>VLOOKUP(A4,Payout!$B$2:$F$64,4,FALSE)</f>
        <v>146345.40696000005</v>
      </c>
      <c r="F4" s="84">
        <f>VLOOKUP(A4,Payout!$B$2:$F$64,5,FALSE)</f>
        <v>27180.821150192936</v>
      </c>
      <c r="G4" s="84">
        <f t="shared" si="0"/>
        <v>119164.58580980712</v>
      </c>
      <c r="H4" s="85">
        <f t="shared" si="1"/>
        <v>4.3841422284978044</v>
      </c>
      <c r="I4" s="84">
        <f t="shared" si="2"/>
        <v>35859.311715051852</v>
      </c>
      <c r="J4" s="85">
        <f t="shared" si="3"/>
        <v>0.24503202703760371</v>
      </c>
      <c r="K4" s="86">
        <f t="shared" si="4"/>
        <v>3.7748503619853153</v>
      </c>
      <c r="L4" s="87" t="str">
        <f t="shared" si="5"/>
        <v>overpaid</v>
      </c>
      <c r="M4" s="87" t="str">
        <f t="shared" si="6"/>
        <v>profitable</v>
      </c>
      <c r="O4"/>
      <c r="P4"/>
    </row>
    <row r="5" spans="1:22" x14ac:dyDescent="0.25">
      <c r="A5" s="27" t="s">
        <v>46</v>
      </c>
      <c r="B5" s="84">
        <f>VLOOKUP(A5,'Pivot Table Cost Base'!$A$1:$B$49,2,FALSE)</f>
        <v>73814.976221147692</v>
      </c>
      <c r="C5" s="56">
        <f>VLOOKUP(A5,payouts_table_AMD!$B$1:$E$52,3,FALSE)</f>
        <v>19</v>
      </c>
      <c r="D5" s="78">
        <f>VLOOKUP(A5,payouts_table_AMD!$B$1:$E$52,4,FALSE)</f>
        <v>6740.5789473684208</v>
      </c>
      <c r="E5" s="84">
        <f>VLOOKUP(A5,Payout!$B$2:$F$64,4,FALSE)</f>
        <v>128071</v>
      </c>
      <c r="F5" s="84">
        <f>VLOOKUP(A5,Payout!$B$2:$F$64,5,FALSE)</f>
        <v>23560.66190357352</v>
      </c>
      <c r="G5" s="84">
        <f t="shared" si="0"/>
        <v>104510.33809642648</v>
      </c>
      <c r="H5" s="85">
        <f t="shared" si="1"/>
        <v>4.4357980486352577</v>
      </c>
      <c r="I5" s="84">
        <f t="shared" si="2"/>
        <v>54256.023778852308</v>
      </c>
      <c r="J5" s="85">
        <f t="shared" si="3"/>
        <v>0.4236401978500387</v>
      </c>
      <c r="K5" s="86">
        <f t="shared" si="4"/>
        <v>10.950836240849265</v>
      </c>
      <c r="L5" s="87" t="str">
        <f t="shared" si="5"/>
        <v>overpaid</v>
      </c>
      <c r="M5" s="87" t="str">
        <f t="shared" si="6"/>
        <v>profitable</v>
      </c>
      <c r="O5"/>
      <c r="P5"/>
    </row>
    <row r="6" spans="1:22" x14ac:dyDescent="0.25">
      <c r="A6" s="87" t="s">
        <v>25</v>
      </c>
      <c r="B6" s="84">
        <f>VLOOKUP(A6,'Pivot Table Cost Base'!$A$1:$B$49,2,FALSE)</f>
        <v>68714.971483488625</v>
      </c>
      <c r="C6" s="56">
        <f>VLOOKUP(A6,payouts_table_AMD!$B$1:$E$52,3,FALSE)</f>
        <v>9</v>
      </c>
      <c r="D6" s="78">
        <f>VLOOKUP(A6,payouts_table_AMD!$B$1:$E$52,4,FALSE)</f>
        <v>2553.3333333333335</v>
      </c>
      <c r="E6" s="84">
        <f>VLOOKUP(A6,Payout!$B$2:$F$64,4,FALSE)</f>
        <v>22979.535200000002</v>
      </c>
      <c r="F6" s="84">
        <f>VLOOKUP(A6,Payout!$B$2:$F$64,5,FALSE)</f>
        <v>14574.070793404973</v>
      </c>
      <c r="G6" s="84">
        <f t="shared" si="0"/>
        <v>8405.4644065950288</v>
      </c>
      <c r="H6" s="85">
        <f t="shared" si="1"/>
        <v>0.57674101668276867</v>
      </c>
      <c r="I6" s="84">
        <f t="shared" si="2"/>
        <v>-45735.436283488627</v>
      </c>
      <c r="J6" s="85">
        <f t="shared" si="3"/>
        <v>-1.9902681183685831</v>
      </c>
      <c r="K6" s="86">
        <f t="shared" si="4"/>
        <v>26.911868727214866</v>
      </c>
      <c r="L6" s="87" t="str">
        <f t="shared" si="5"/>
        <v>overpaid</v>
      </c>
      <c r="M6" s="87" t="str">
        <f t="shared" si="6"/>
        <v>in loss</v>
      </c>
      <c r="O6"/>
      <c r="P6"/>
    </row>
    <row r="7" spans="1:22" x14ac:dyDescent="0.25">
      <c r="A7" s="27" t="s">
        <v>32</v>
      </c>
      <c r="B7" s="84">
        <f>VLOOKUP(A7,'Pivot Table Cost Base'!$A$1:$B$49,2,FALSE)</f>
        <v>75988.762423492648</v>
      </c>
      <c r="C7" s="56">
        <f>VLOOKUP(A7,payouts_table_AMD!$B$1:$E$52,3,FALSE)</f>
        <v>9</v>
      </c>
      <c r="D7" s="78">
        <f>VLOOKUP(A7,payouts_table_AMD!$B$1:$E$52,4,FALSE)</f>
        <v>4069</v>
      </c>
      <c r="E7" s="84">
        <f>VLOOKUP(A7,Payout!$B$2:$F$64,4,FALSE)</f>
        <v>36620.83728</v>
      </c>
      <c r="F7" s="84">
        <f>VLOOKUP(A7,Payout!$B$2:$F$64,5,FALSE)</f>
        <v>11610.612907422201</v>
      </c>
      <c r="G7" s="84">
        <f t="shared" si="0"/>
        <v>25010.224372577799</v>
      </c>
      <c r="H7" s="85">
        <f t="shared" si="1"/>
        <v>2.1540830421268944</v>
      </c>
      <c r="I7" s="84">
        <f t="shared" si="2"/>
        <v>-39367.925143492648</v>
      </c>
      <c r="J7" s="85">
        <f t="shared" si="3"/>
        <v>-1.0750143379434127</v>
      </c>
      <c r="K7" s="86">
        <f t="shared" si="4"/>
        <v>18.67504606131547</v>
      </c>
      <c r="L7" s="87" t="str">
        <f t="shared" si="5"/>
        <v>overpaid</v>
      </c>
      <c r="M7" s="87" t="str">
        <f t="shared" si="6"/>
        <v>in loss</v>
      </c>
      <c r="O7" t="s">
        <v>53</v>
      </c>
      <c r="P7">
        <f>COUNTA(A2:A49)</f>
        <v>48</v>
      </c>
      <c r="R7" s="4"/>
      <c r="S7" s="1"/>
      <c r="T7" s="4"/>
      <c r="U7" s="4"/>
      <c r="V7" s="1"/>
    </row>
    <row r="8" spans="1:22" x14ac:dyDescent="0.25">
      <c r="A8" s="87" t="s">
        <v>40</v>
      </c>
      <c r="B8" s="84">
        <f>VLOOKUP(A8,'Pivot Table Cost Base'!$A$1:$B$49,2,FALSE)</f>
        <v>63656.645092919869</v>
      </c>
      <c r="C8" s="56">
        <f>VLOOKUP(A8,payouts_table_AMD!$B$1:$E$52,3,FALSE)</f>
        <v>8.5</v>
      </c>
      <c r="D8" s="78">
        <f>VLOOKUP(A8,payouts_table_AMD!$B$1:$E$52,4,FALSE)</f>
        <v>14256.470588235294</v>
      </c>
      <c r="E8" s="84">
        <f>VLOOKUP(A8,Payout!$B$2:$F$64,4,FALSE)</f>
        <v>121180</v>
      </c>
      <c r="F8" s="84">
        <f>VLOOKUP(A8,Payout!$B$2:$F$64,5,FALSE)</f>
        <v>73367.308383054638</v>
      </c>
      <c r="G8" s="84">
        <f t="shared" si="0"/>
        <v>47812.691616945362</v>
      </c>
      <c r="H8" s="85">
        <f t="shared" si="1"/>
        <v>0.6516893241784576</v>
      </c>
      <c r="I8" s="84">
        <f t="shared" si="2"/>
        <v>57523.354907080131</v>
      </c>
      <c r="J8" s="85">
        <f t="shared" si="3"/>
        <v>0.47469347175342574</v>
      </c>
      <c r="K8" s="86">
        <f t="shared" si="4"/>
        <v>4.4651054900958815</v>
      </c>
      <c r="L8" s="87" t="str">
        <f t="shared" si="5"/>
        <v>overpaid</v>
      </c>
      <c r="M8" s="87" t="str">
        <f t="shared" si="6"/>
        <v>profitable</v>
      </c>
      <c r="O8" t="s">
        <v>54</v>
      </c>
      <c r="P8">
        <f>COUNTIF(M2:M49,"profitable")</f>
        <v>14</v>
      </c>
      <c r="R8" s="4"/>
      <c r="S8" s="2"/>
      <c r="T8" s="4"/>
      <c r="U8" s="4"/>
      <c r="V8" s="3"/>
    </row>
    <row r="9" spans="1:22" x14ac:dyDescent="0.25">
      <c r="A9" s="27" t="s">
        <v>11</v>
      </c>
      <c r="B9" s="84">
        <f>VLOOKUP(A9,'Pivot Table Cost Base'!$A$1:$B$49,2,FALSE)</f>
        <v>317152.13161320286</v>
      </c>
      <c r="C9" s="56">
        <f>VLOOKUP(A9,payouts_table_AMD!$B$1:$E$52,3,FALSE)</f>
        <v>5</v>
      </c>
      <c r="D9" s="78">
        <f>VLOOKUP(A9,payouts_table_AMD!$B$1:$E$52,4,FALSE)</f>
        <v>14851.2</v>
      </c>
      <c r="E9" s="84">
        <f>VLOOKUP(A9,Payout!$B$2:$F$64,4,FALSE)</f>
        <v>74255.524200000014</v>
      </c>
      <c r="F9" s="84">
        <f>VLOOKUP(A9,Payout!$B$2:$F$64,5,FALSE)</f>
        <v>44310.062860390266</v>
      </c>
      <c r="G9" s="84">
        <f t="shared" si="0"/>
        <v>29945.461339609748</v>
      </c>
      <c r="H9" s="85">
        <f t="shared" si="1"/>
        <v>0.67581626850677867</v>
      </c>
      <c r="I9" s="84">
        <f t="shared" si="2"/>
        <v>-242896.60741320284</v>
      </c>
      <c r="J9" s="85">
        <f t="shared" si="3"/>
        <v>-3.2710914107748335</v>
      </c>
      <c r="K9" s="86">
        <f t="shared" si="4"/>
        <v>21.355320217437168</v>
      </c>
      <c r="L9" s="87" t="str">
        <f t="shared" si="5"/>
        <v>overpaid</v>
      </c>
      <c r="M9" s="87" t="str">
        <f t="shared" si="6"/>
        <v>in loss</v>
      </c>
      <c r="O9" t="s">
        <v>55</v>
      </c>
      <c r="P9" s="26">
        <f>P8/P7</f>
        <v>0.29166666666666669</v>
      </c>
      <c r="R9" s="4"/>
      <c r="S9" s="2"/>
      <c r="T9" s="4"/>
      <c r="U9" s="4"/>
      <c r="V9" s="4"/>
    </row>
    <row r="10" spans="1:22" x14ac:dyDescent="0.25">
      <c r="A10" s="87" t="s">
        <v>30</v>
      </c>
      <c r="B10" s="84">
        <f>VLOOKUP(A10,'Pivot Table Cost Base'!$A$1:$B$49,2,FALSE)</f>
        <v>65267.81613793927</v>
      </c>
      <c r="C10" s="56">
        <f>VLOOKUP(A10,payouts_table_AMD!$B$1:$E$52,3,FALSE)</f>
        <v>10</v>
      </c>
      <c r="D10" s="78">
        <f>VLOOKUP(A10,payouts_table_AMD!$B$1:$E$52,4,FALSE)</f>
        <v>13628.4</v>
      </c>
      <c r="E10" s="84">
        <f>VLOOKUP(A10,Payout!$B$2:$F$64,4,FALSE)</f>
        <v>136284</v>
      </c>
      <c r="F10" s="84">
        <f>VLOOKUP(A10,Payout!$B$2:$F$64,5,FALSE)</f>
        <v>61680.103608114805</v>
      </c>
      <c r="G10" s="84">
        <f t="shared" si="0"/>
        <v>74603.896391885195</v>
      </c>
      <c r="H10" s="85">
        <f t="shared" si="1"/>
        <v>1.2095293624323631</v>
      </c>
      <c r="I10" s="84">
        <f t="shared" si="2"/>
        <v>71016.18386206073</v>
      </c>
      <c r="J10" s="85">
        <f t="shared" si="3"/>
        <v>0.5210896646859553</v>
      </c>
      <c r="K10" s="86">
        <f t="shared" si="4"/>
        <v>4.7891033531404474</v>
      </c>
      <c r="L10" s="87" t="str">
        <f t="shared" si="5"/>
        <v>overpaid</v>
      </c>
      <c r="M10" s="87" t="str">
        <f t="shared" si="6"/>
        <v>profitable</v>
      </c>
      <c r="R10" s="4"/>
      <c r="S10" s="4"/>
      <c r="T10" s="4"/>
      <c r="U10" s="4"/>
      <c r="V10" s="4"/>
    </row>
    <row r="11" spans="1:22" x14ac:dyDescent="0.25">
      <c r="A11" s="27" t="s">
        <v>5</v>
      </c>
      <c r="B11" s="84">
        <f>VLOOKUP(A11,'Pivot Table Cost Base'!$A$1:$B$49,2,FALSE)</f>
        <v>198658.37142896923</v>
      </c>
      <c r="C11" s="56">
        <f>VLOOKUP(A11,payouts_table_AMD!$B$1:$E$52,3,FALSE)</f>
        <v>3</v>
      </c>
      <c r="D11" s="78">
        <f>VLOOKUP(A11,payouts_table_AMD!$B$1:$E$52,4,FALSE)</f>
        <v>34688.666666666664</v>
      </c>
      <c r="E11" s="84">
        <f>VLOOKUP(A11,Payout!$B$2:$F$64,4,FALSE)</f>
        <v>104066.15040000004</v>
      </c>
      <c r="F11" s="84">
        <f>VLOOKUP(A11,Payout!$B$2:$F$64,5,FALSE)</f>
        <v>91629.307316704435</v>
      </c>
      <c r="G11" s="84">
        <f t="shared" si="0"/>
        <v>12436.843083295607</v>
      </c>
      <c r="H11" s="85">
        <f t="shared" si="1"/>
        <v>0.13572996945518015</v>
      </c>
      <c r="I11" s="84">
        <f t="shared" si="2"/>
        <v>-94592.221028969187</v>
      </c>
      <c r="J11" s="85">
        <f t="shared" si="3"/>
        <v>-0.90896243077488859</v>
      </c>
      <c r="K11" s="86">
        <f t="shared" si="4"/>
        <v>5.7268955690322265</v>
      </c>
      <c r="L11" s="87" t="str">
        <f t="shared" si="5"/>
        <v>overpaid</v>
      </c>
      <c r="M11" s="87" t="str">
        <f t="shared" si="6"/>
        <v>in loss</v>
      </c>
      <c r="O11" s="5" t="s">
        <v>244</v>
      </c>
      <c r="P11" s="5">
        <f>COUNTIF(M2:M49,"in loss")</f>
        <v>34</v>
      </c>
      <c r="R11" s="4"/>
      <c r="S11" s="2"/>
      <c r="T11" s="4"/>
      <c r="U11" s="4"/>
      <c r="V11" s="3"/>
    </row>
    <row r="12" spans="1:22" x14ac:dyDescent="0.25">
      <c r="A12" s="87" t="s">
        <v>23</v>
      </c>
      <c r="B12" s="84">
        <f>VLOOKUP(A12,'Pivot Table Cost Base'!$A$1:$B$49,2,FALSE)</f>
        <v>70706.369224623049</v>
      </c>
      <c r="C12" s="56">
        <f>VLOOKUP(A12,payouts_table_AMD!$B$1:$E$52,3,FALSE)</f>
        <v>5</v>
      </c>
      <c r="D12" s="78">
        <f>VLOOKUP(A12,payouts_table_AMD!$B$1:$E$52,4,FALSE)</f>
        <v>162.47999999999999</v>
      </c>
      <c r="E12" s="84">
        <f>VLOOKUP(A12,Payout!$B$2:$F$64,4,FALSE)</f>
        <v>812.4</v>
      </c>
      <c r="F12" s="84">
        <f>VLOOKUP(A12,Payout!$B$2:$F$64,5,FALSE)</f>
        <v>744.30830420710652</v>
      </c>
      <c r="G12" s="84">
        <f t="shared" si="0"/>
        <v>68.091695792893461</v>
      </c>
      <c r="H12" s="85">
        <f t="shared" si="1"/>
        <v>9.1483187018086387E-2</v>
      </c>
      <c r="I12" s="84">
        <f t="shared" si="2"/>
        <v>-69893.969224623055</v>
      </c>
      <c r="J12" s="85">
        <f t="shared" si="3"/>
        <v>-86.033935530062848</v>
      </c>
      <c r="K12" s="86">
        <f t="shared" si="4"/>
        <v>435.16967765031421</v>
      </c>
      <c r="L12" s="87" t="str">
        <f t="shared" si="5"/>
        <v>overpaid</v>
      </c>
      <c r="M12" s="87" t="str">
        <f t="shared" si="6"/>
        <v>in loss</v>
      </c>
      <c r="O12" s="5" t="s">
        <v>55</v>
      </c>
      <c r="P12" s="105">
        <f>P11/P7</f>
        <v>0.70833333333333337</v>
      </c>
      <c r="R12" s="4"/>
      <c r="S12" s="2"/>
      <c r="T12" s="4"/>
      <c r="U12" s="4"/>
      <c r="V12" s="3"/>
    </row>
    <row r="13" spans="1:22" x14ac:dyDescent="0.25">
      <c r="A13" s="27" t="s">
        <v>42</v>
      </c>
      <c r="B13" s="84">
        <f>VLOOKUP(A13,'Pivot Table Cost Base'!$A$1:$B$49,2,FALSE)</f>
        <v>58519.476708797287</v>
      </c>
      <c r="C13" s="56">
        <f>VLOOKUP(A13,payouts_table_AMD!$B$1:$E$52,3,FALSE)</f>
        <v>5</v>
      </c>
      <c r="D13" s="78">
        <f>VLOOKUP(A13,payouts_table_AMD!$B$1:$E$52,4,FALSE)</f>
        <v>6016.6</v>
      </c>
      <c r="E13" s="84">
        <f>VLOOKUP(A13,Payout!$B$2:$F$64,4,FALSE)</f>
        <v>30083.262999999999</v>
      </c>
      <c r="F13" s="84">
        <f>VLOOKUP(A13,Payout!$B$2:$F$64,5,FALSE)</f>
        <v>6448.8527245637169</v>
      </c>
      <c r="G13" s="84">
        <f t="shared" si="0"/>
        <v>23634.410275436283</v>
      </c>
      <c r="H13" s="85">
        <f t="shared" si="1"/>
        <v>3.6649015390617743</v>
      </c>
      <c r="I13" s="84">
        <f t="shared" si="2"/>
        <v>-28436.213708797288</v>
      </c>
      <c r="J13" s="85">
        <f t="shared" si="3"/>
        <v>-0.94525031107155122</v>
      </c>
      <c r="K13" s="86">
        <f t="shared" si="4"/>
        <v>9.726336586909099</v>
      </c>
      <c r="L13" s="87" t="str">
        <f t="shared" si="5"/>
        <v>overpaid</v>
      </c>
      <c r="M13" s="87" t="str">
        <f t="shared" si="6"/>
        <v>in loss</v>
      </c>
      <c r="R13" s="4"/>
      <c r="S13" s="2"/>
      <c r="T13" s="4"/>
      <c r="U13" s="4"/>
      <c r="V13" s="4"/>
    </row>
    <row r="14" spans="1:22" x14ac:dyDescent="0.25">
      <c r="A14" s="87" t="s">
        <v>38</v>
      </c>
      <c r="B14" s="84">
        <f>VLOOKUP(A14,'Pivot Table Cost Base'!$A$1:$B$49,2,FALSE)</f>
        <v>63559.996679567601</v>
      </c>
      <c r="C14" s="56">
        <f>VLOOKUP(A14,payouts_table_AMD!$B$1:$E$52,3,FALSE)</f>
        <v>7</v>
      </c>
      <c r="D14" s="78">
        <f>VLOOKUP(A14,payouts_table_AMD!$B$1:$E$52,4,FALSE)</f>
        <v>4040.4285714285716</v>
      </c>
      <c r="E14" s="84">
        <f>VLOOKUP(A14,Payout!$B$2:$F$64,4,FALSE)</f>
        <v>28283.360000000001</v>
      </c>
      <c r="F14" s="84">
        <f>VLOOKUP(A14,Payout!$B$2:$F$64,5,FALSE)</f>
        <v>6489.8369612275828</v>
      </c>
      <c r="G14" s="84">
        <f t="shared" si="0"/>
        <v>21793.523038772419</v>
      </c>
      <c r="H14" s="85">
        <f t="shared" si="1"/>
        <v>3.3581002371822408</v>
      </c>
      <c r="I14" s="84">
        <f t="shared" si="2"/>
        <v>-35276.6366795676</v>
      </c>
      <c r="J14" s="85">
        <f t="shared" si="3"/>
        <v>-1.2472576341554751</v>
      </c>
      <c r="K14" s="86">
        <f t="shared" si="4"/>
        <v>15.731003668527851</v>
      </c>
      <c r="L14" s="87" t="str">
        <f t="shared" si="5"/>
        <v>overpaid</v>
      </c>
      <c r="M14" s="87" t="str">
        <f t="shared" si="6"/>
        <v>in loss</v>
      </c>
      <c r="R14" s="4"/>
      <c r="S14" s="2"/>
      <c r="T14" s="4"/>
      <c r="U14" s="4"/>
      <c r="V14" s="3"/>
    </row>
    <row r="15" spans="1:22" x14ac:dyDescent="0.25">
      <c r="A15" s="27" t="s">
        <v>49</v>
      </c>
      <c r="B15" s="84">
        <f>VLOOKUP(A15,'Pivot Table Cost Base'!$A$1:$B$49,2,FALSE)</f>
        <v>73814.976221147692</v>
      </c>
      <c r="C15" s="56">
        <f>VLOOKUP(A15,payouts_table_AMD!$B$1:$E$52,3,FALSE)</f>
        <v>19</v>
      </c>
      <c r="D15" s="78">
        <f>VLOOKUP(A15,payouts_table_AMD!$B$1:$E$52,4,FALSE)</f>
        <v>3100</v>
      </c>
      <c r="E15" s="84">
        <f>VLOOKUP(A15,Payout!$B$2:$F$64,4,FALSE)</f>
        <v>58899.704799999992</v>
      </c>
      <c r="F15" s="84">
        <f>VLOOKUP(A15,Payout!$B$2:$F$64,5,FALSE)</f>
        <v>17011.759078401352</v>
      </c>
      <c r="G15" s="84">
        <f t="shared" si="0"/>
        <v>41887.94572159864</v>
      </c>
      <c r="H15" s="85">
        <f t="shared" si="1"/>
        <v>2.4622936128210782</v>
      </c>
      <c r="I15" s="84">
        <f t="shared" si="2"/>
        <v>-14915.2714211477</v>
      </c>
      <c r="J15" s="85">
        <f t="shared" si="3"/>
        <v>-0.25323168378846783</v>
      </c>
      <c r="K15" s="86">
        <f t="shared" si="4"/>
        <v>23.811282651983127</v>
      </c>
      <c r="L15" s="87" t="str">
        <f t="shared" si="5"/>
        <v>overpaid</v>
      </c>
      <c r="M15" s="87" t="str">
        <f t="shared" si="6"/>
        <v>in loss</v>
      </c>
      <c r="R15" s="4"/>
      <c r="S15" s="2"/>
      <c r="T15" s="4"/>
      <c r="U15" s="4"/>
      <c r="V15" s="3"/>
    </row>
    <row r="16" spans="1:22" x14ac:dyDescent="0.25">
      <c r="A16" s="87" t="s">
        <v>16</v>
      </c>
      <c r="B16" s="84">
        <f>VLOOKUP(A16,'Pivot Table Cost Base'!$A$1:$B$49,2,FALSE)</f>
        <v>82053.448630315048</v>
      </c>
      <c r="C16" s="56">
        <f>VLOOKUP(A16,payouts_table_AMD!$B$1:$E$52,3,FALSE)</f>
        <v>7</v>
      </c>
      <c r="D16" s="78">
        <f>VLOOKUP(A16,payouts_table_AMD!$B$1:$E$52,4,FALSE)</f>
        <v>2739.4285714285716</v>
      </c>
      <c r="E16" s="84">
        <f>VLOOKUP(A16,Payout!$B$2:$F$64,4,FALSE)</f>
        <v>19176.379000000001</v>
      </c>
      <c r="F16" s="84">
        <f>VLOOKUP(A16,Payout!$B$2:$F$64,5,FALSE)</f>
        <v>5958.8762529929299</v>
      </c>
      <c r="G16" s="84">
        <f t="shared" si="0"/>
        <v>13217.502747007071</v>
      </c>
      <c r="H16" s="85">
        <f t="shared" si="1"/>
        <v>2.2181200256287239</v>
      </c>
      <c r="I16" s="84">
        <f t="shared" si="2"/>
        <v>-62877.069630315047</v>
      </c>
      <c r="J16" s="85">
        <f t="shared" si="3"/>
        <v>-3.2788812543971435</v>
      </c>
      <c r="K16" s="86">
        <f t="shared" si="4"/>
        <v>29.952760764090808</v>
      </c>
      <c r="L16" s="87" t="str">
        <f t="shared" si="5"/>
        <v>overpaid</v>
      </c>
      <c r="M16" s="87" t="str">
        <f t="shared" si="6"/>
        <v>in loss</v>
      </c>
      <c r="R16" s="4"/>
      <c r="S16" s="2"/>
      <c r="T16" s="4"/>
      <c r="U16" s="4"/>
      <c r="V16" s="4"/>
    </row>
    <row r="17" spans="1:22" x14ac:dyDescent="0.25">
      <c r="A17" s="27" t="s">
        <v>12</v>
      </c>
      <c r="B17" s="84">
        <f>VLOOKUP(A17,'Pivot Table Cost Base'!$A$1:$B$49,2,FALSE)</f>
        <v>110486.0952449482</v>
      </c>
      <c r="C17" s="56">
        <f>VLOOKUP(A17,payouts_table_AMD!$B$1:$E$52,3,FALSE)</f>
        <v>5</v>
      </c>
      <c r="D17" s="78">
        <f>VLOOKUP(A17,payouts_table_AMD!$B$1:$E$52,4,FALSE)</f>
        <v>30367.4</v>
      </c>
      <c r="E17" s="84">
        <f>VLOOKUP(A17,Payout!$B$2:$F$64,4,FALSE)</f>
        <v>151837.35529599997</v>
      </c>
      <c r="F17" s="84">
        <f>VLOOKUP(A17,Payout!$B$2:$F$64,5,FALSE)</f>
        <v>32793.876250880952</v>
      </c>
      <c r="G17" s="84">
        <f t="shared" si="0"/>
        <v>119043.47904511902</v>
      </c>
      <c r="H17" s="85">
        <f t="shared" si="1"/>
        <v>3.6300520906527822</v>
      </c>
      <c r="I17" s="84">
        <f t="shared" si="2"/>
        <v>41351.260051051766</v>
      </c>
      <c r="J17" s="85">
        <f t="shared" si="3"/>
        <v>0.2723391748390202</v>
      </c>
      <c r="K17" s="86">
        <f t="shared" si="4"/>
        <v>3.6383126393747305</v>
      </c>
      <c r="L17" s="87" t="str">
        <f t="shared" si="5"/>
        <v>overpaid</v>
      </c>
      <c r="M17" s="87" t="str">
        <f t="shared" si="6"/>
        <v>profitable</v>
      </c>
      <c r="R17" s="4"/>
      <c r="S17" s="2"/>
      <c r="T17" s="4"/>
      <c r="U17" s="4"/>
      <c r="V17" s="4"/>
    </row>
    <row r="18" spans="1:22" x14ac:dyDescent="0.25">
      <c r="A18" s="87" t="s">
        <v>22</v>
      </c>
      <c r="B18" s="84">
        <f>VLOOKUP(A18,'Pivot Table Cost Base'!$A$1:$B$49,2,FALSE)</f>
        <v>106882.56690538794</v>
      </c>
      <c r="C18" s="56">
        <f>VLOOKUP(A18,payouts_table_AMD!$B$1:$E$52,3,FALSE)</f>
        <v>5</v>
      </c>
      <c r="D18" s="78">
        <f>VLOOKUP(A18,payouts_table_AMD!$B$1:$E$52,4,FALSE)</f>
        <v>8948.2000000000007</v>
      </c>
      <c r="E18" s="84">
        <f>VLOOKUP(A18,Payout!$B$2:$F$64,4,FALSE)</f>
        <v>44740.833599999998</v>
      </c>
      <c r="F18" s="84">
        <f>VLOOKUP(A18,Payout!$B$2:$F$64,5,FALSE)</f>
        <v>7103.2057058461787</v>
      </c>
      <c r="G18" s="84">
        <f t="shared" si="0"/>
        <v>37637.627894153818</v>
      </c>
      <c r="H18" s="85">
        <f t="shared" si="1"/>
        <v>5.2986819547090942</v>
      </c>
      <c r="I18" s="84">
        <f t="shared" si="2"/>
        <v>-62141.733305387941</v>
      </c>
      <c r="J18" s="85">
        <f t="shared" si="3"/>
        <v>-1.3889265868615364</v>
      </c>
      <c r="K18" s="86">
        <f t="shared" si="4"/>
        <v>11.944588510023014</v>
      </c>
      <c r="L18" s="87" t="str">
        <f t="shared" si="5"/>
        <v>overpaid</v>
      </c>
      <c r="M18" s="87" t="str">
        <f t="shared" si="6"/>
        <v>in loss</v>
      </c>
      <c r="R18" s="4"/>
      <c r="S18" s="2"/>
      <c r="T18" s="4"/>
      <c r="U18" s="4"/>
      <c r="V18" s="4"/>
    </row>
    <row r="19" spans="1:22" x14ac:dyDescent="0.25">
      <c r="A19" s="27" t="s">
        <v>2</v>
      </c>
      <c r="B19" s="84">
        <f>VLOOKUP(A19,'Pivot Table Cost Base'!$A$1:$B$49,2,FALSE)</f>
        <v>145232.87277043145</v>
      </c>
      <c r="C19" s="56">
        <f>VLOOKUP(A19,payouts_table_AMD!$B$1:$E$52,3,FALSE)</f>
        <v>4</v>
      </c>
      <c r="D19" s="78">
        <f>VLOOKUP(A19,payouts_table_AMD!$B$1:$E$52,4,FALSE)</f>
        <v>66343</v>
      </c>
      <c r="E19" s="84">
        <f>VLOOKUP(A19,Payout!$B$2:$F$64,4,FALSE)</f>
        <v>265372.02880000015</v>
      </c>
      <c r="F19" s="84">
        <f>VLOOKUP(A19,Payout!$B$2:$F$64,5,FALSE)</f>
        <v>171703.4978070069</v>
      </c>
      <c r="G19" s="84">
        <f t="shared" si="0"/>
        <v>93668.530992993241</v>
      </c>
      <c r="H19" s="85">
        <f t="shared" si="1"/>
        <v>0.54552488556916745</v>
      </c>
      <c r="I19" s="84">
        <f t="shared" si="2"/>
        <v>120139.15602956869</v>
      </c>
      <c r="J19" s="85">
        <f t="shared" si="3"/>
        <v>0.45271974055755732</v>
      </c>
      <c r="K19" s="86">
        <f t="shared" si="4"/>
        <v>2.1891212753482878</v>
      </c>
      <c r="L19" s="87" t="str">
        <f t="shared" si="5"/>
        <v>overpaid</v>
      </c>
      <c r="M19" s="87" t="str">
        <f t="shared" si="6"/>
        <v>profitable</v>
      </c>
      <c r="R19" s="4"/>
      <c r="S19" s="4"/>
      <c r="T19" s="4"/>
      <c r="U19" s="4"/>
      <c r="V19" s="4"/>
    </row>
    <row r="20" spans="1:22" x14ac:dyDescent="0.25">
      <c r="A20" s="87" t="s">
        <v>17</v>
      </c>
      <c r="B20" s="84">
        <f>VLOOKUP(A20,'Pivot Table Cost Base'!$A$1:$B$49,2,FALSE)</f>
        <v>72535.252052086318</v>
      </c>
      <c r="C20" s="56">
        <f>VLOOKUP(A20,payouts_table_AMD!$B$1:$E$52,3,FALSE)</f>
        <v>7</v>
      </c>
      <c r="D20" s="78">
        <f>VLOOKUP(A20,payouts_table_AMD!$B$1:$E$52,4,FALSE)</f>
        <v>11221.857142857143</v>
      </c>
      <c r="E20" s="84">
        <f>VLOOKUP(A20,Payout!$B$2:$F$64,4,FALSE)</f>
        <v>78553.013183999996</v>
      </c>
      <c r="F20" s="84">
        <f>VLOOKUP(A20,Payout!$B$2:$F$64,5,FALSE)</f>
        <v>11737.89370301184</v>
      </c>
      <c r="G20" s="84">
        <f t="shared" si="0"/>
        <v>66815.119480988156</v>
      </c>
      <c r="H20" s="85">
        <f t="shared" si="1"/>
        <v>5.692258012512414</v>
      </c>
      <c r="I20" s="84">
        <f t="shared" si="2"/>
        <v>6017.7611319136777</v>
      </c>
      <c r="J20" s="85">
        <f t="shared" si="3"/>
        <v>7.6607642253236949E-2</v>
      </c>
      <c r="K20" s="86">
        <f t="shared" si="4"/>
        <v>6.4637475890749458</v>
      </c>
      <c r="L20" s="87" t="str">
        <f t="shared" si="5"/>
        <v>overpaid</v>
      </c>
      <c r="M20" s="87" t="str">
        <f t="shared" si="6"/>
        <v>profitable</v>
      </c>
    </row>
    <row r="21" spans="1:22" x14ac:dyDescent="0.25">
      <c r="A21" s="27" t="s">
        <v>18</v>
      </c>
      <c r="B21" s="84">
        <f>VLOOKUP(A21,'Pivot Table Cost Base'!$A$1:$B$49,2,FALSE)</f>
        <v>228212.64093712968</v>
      </c>
      <c r="C21" s="56">
        <f>VLOOKUP(A21,payouts_table_AMD!$B$1:$E$52,3,FALSE)</f>
        <v>5</v>
      </c>
      <c r="D21" s="78">
        <f>VLOOKUP(A21,payouts_table_AMD!$B$1:$E$52,4,FALSE)</f>
        <v>37402.800000000003</v>
      </c>
      <c r="E21" s="84">
        <f>VLOOKUP(A21,Payout!$B$2:$F$64,4,FALSE)</f>
        <v>187014.09524600004</v>
      </c>
      <c r="F21" s="84">
        <f>VLOOKUP(A21,Payout!$B$2:$F$64,5,FALSE)</f>
        <v>92225.256194979564</v>
      </c>
      <c r="G21" s="84">
        <f t="shared" si="0"/>
        <v>94788.839051020477</v>
      </c>
      <c r="H21" s="85">
        <f t="shared" si="1"/>
        <v>1.0277969719121307</v>
      </c>
      <c r="I21" s="84">
        <f t="shared" si="2"/>
        <v>-41198.545691129635</v>
      </c>
      <c r="J21" s="85">
        <f t="shared" si="3"/>
        <v>-0.22029647357295018</v>
      </c>
      <c r="K21" s="86">
        <f t="shared" si="4"/>
        <v>6.1014854753422112</v>
      </c>
      <c r="L21" s="87" t="str">
        <f t="shared" si="5"/>
        <v>overpaid</v>
      </c>
      <c r="M21" s="87" t="str">
        <f t="shared" si="6"/>
        <v>in loss</v>
      </c>
    </row>
    <row r="22" spans="1:22" x14ac:dyDescent="0.25">
      <c r="A22" s="87" t="s">
        <v>8</v>
      </c>
      <c r="B22" s="84">
        <f>VLOOKUP(A22,'Pivot Table Cost Base'!$A$1:$B$49,2,FALSE)</f>
        <v>143895.37927733135</v>
      </c>
      <c r="C22" s="56">
        <f>VLOOKUP(A22,payouts_table_AMD!$B$1:$E$52,3,FALSE)</f>
        <v>10</v>
      </c>
      <c r="D22" s="78">
        <f>VLOOKUP(A22,payouts_table_AMD!$B$1:$E$52,4,FALSE)</f>
        <v>17853.400000000001</v>
      </c>
      <c r="E22" s="84">
        <f>VLOOKUP(A22,Payout!$B$2:$F$64,4,FALSE)</f>
        <v>178534</v>
      </c>
      <c r="F22" s="84">
        <f>VLOOKUP(A22,Payout!$B$2:$F$64,5,FALSE)</f>
        <v>79369.259316286232</v>
      </c>
      <c r="G22" s="84">
        <f t="shared" si="0"/>
        <v>99164.740683713768</v>
      </c>
      <c r="H22" s="85">
        <f t="shared" si="1"/>
        <v>1.2494099294607577</v>
      </c>
      <c r="I22" s="84">
        <f t="shared" si="2"/>
        <v>34638.620722668653</v>
      </c>
      <c r="J22" s="85">
        <f t="shared" si="3"/>
        <v>0.19401694199798725</v>
      </c>
      <c r="K22" s="86">
        <f t="shared" si="4"/>
        <v>8.0598305800201278</v>
      </c>
      <c r="L22" s="87" t="str">
        <f t="shared" si="5"/>
        <v>overpaid</v>
      </c>
      <c r="M22" s="87" t="str">
        <f t="shared" si="6"/>
        <v>profitable</v>
      </c>
    </row>
    <row r="23" spans="1:22" x14ac:dyDescent="0.25">
      <c r="A23" s="27" t="s">
        <v>31</v>
      </c>
      <c r="B23" s="84">
        <f>VLOOKUP(A23,'Pivot Table Cost Base'!$A$1:$B$49,2,FALSE)</f>
        <v>72877.954733737948</v>
      </c>
      <c r="C23" s="56">
        <f>VLOOKUP(A23,payouts_table_AMD!$B$1:$E$52,3,FALSE)</f>
        <v>5</v>
      </c>
      <c r="D23" s="78">
        <f>VLOOKUP(A23,payouts_table_AMD!$B$1:$E$52,4,FALSE)</f>
        <v>30552.2</v>
      </c>
      <c r="E23" s="84">
        <f>VLOOKUP(A23,Payout!$B$2:$F$64,4,FALSE)</f>
        <v>152761</v>
      </c>
      <c r="F23" s="84">
        <f>VLOOKUP(A23,Payout!$B$2:$F$64,5,FALSE)</f>
        <v>86832.960867592148</v>
      </c>
      <c r="G23" s="84">
        <f t="shared" si="0"/>
        <v>65928.039132407852</v>
      </c>
      <c r="H23" s="85">
        <f t="shared" si="1"/>
        <v>0.75925130818628528</v>
      </c>
      <c r="I23" s="84">
        <f t="shared" si="2"/>
        <v>79883.045266262052</v>
      </c>
      <c r="J23" s="85">
        <f t="shared" si="3"/>
        <v>0.52292826877450427</v>
      </c>
      <c r="K23" s="86">
        <f t="shared" si="4"/>
        <v>2.3853586561274782</v>
      </c>
      <c r="L23" s="87" t="str">
        <f t="shared" si="5"/>
        <v>overpaid</v>
      </c>
      <c r="M23" s="87" t="str">
        <f t="shared" si="6"/>
        <v>profitable</v>
      </c>
      <c r="S23" s="1"/>
    </row>
    <row r="24" spans="1:22" x14ac:dyDescent="0.25">
      <c r="A24" s="87" t="s">
        <v>26</v>
      </c>
      <c r="B24" s="84">
        <f>VLOOKUP(A24,'Pivot Table Cost Base'!$A$1:$B$49,2,FALSE)</f>
        <v>69214.494049405592</v>
      </c>
      <c r="C24" s="56">
        <f>VLOOKUP(A24,payouts_table_AMD!$B$1:$E$52,3,FALSE)</f>
        <v>4</v>
      </c>
      <c r="D24" s="78">
        <f>VLOOKUP(A24,payouts_table_AMD!$B$1:$E$52,4,FALSE)</f>
        <v>15837.5</v>
      </c>
      <c r="E24" s="84">
        <f>VLOOKUP(A24,Payout!$B$2:$F$64,4,FALSE)</f>
        <v>63350.243199999997</v>
      </c>
      <c r="F24" s="84">
        <f>VLOOKUP(A24,Payout!$B$2:$F$64,5,FALSE)</f>
        <v>23340.920231854023</v>
      </c>
      <c r="G24" s="84">
        <f t="shared" si="0"/>
        <v>40009.322968145978</v>
      </c>
      <c r="H24" s="85">
        <f t="shared" si="1"/>
        <v>1.7141279165824879</v>
      </c>
      <c r="I24" s="84">
        <f t="shared" si="2"/>
        <v>-5864.2508494055946</v>
      </c>
      <c r="J24" s="85">
        <f t="shared" si="3"/>
        <v>-9.2568718811257777E-2</v>
      </c>
      <c r="K24" s="86">
        <f t="shared" si="4"/>
        <v>4.3702916526854363</v>
      </c>
      <c r="L24" s="87" t="str">
        <f t="shared" si="5"/>
        <v>overpaid</v>
      </c>
      <c r="M24" s="87" t="str">
        <f t="shared" si="6"/>
        <v>in loss</v>
      </c>
    </row>
    <row r="25" spans="1:22" x14ac:dyDescent="0.25">
      <c r="A25" s="27" t="s">
        <v>13</v>
      </c>
      <c r="B25" s="84">
        <f>VLOOKUP(A25,'Pivot Table Cost Base'!$A$1:$B$49,2,FALSE)</f>
        <v>158482.11879816838</v>
      </c>
      <c r="C25" s="56">
        <f>VLOOKUP(A25,payouts_table_AMD!$B$1:$E$52,3,FALSE)</f>
        <v>5</v>
      </c>
      <c r="D25" s="78">
        <f>VLOOKUP(A25,payouts_table_AMD!$B$1:$E$52,4,FALSE)</f>
        <v>15057.4</v>
      </c>
      <c r="E25" s="84">
        <f>VLOOKUP(A25,Payout!$B$2:$F$64,4,FALSE)</f>
        <v>75287.279999999955</v>
      </c>
      <c r="F25" s="84">
        <f>VLOOKUP(A25,Payout!$B$2:$F$64,5,FALSE)</f>
        <v>32247.584676247403</v>
      </c>
      <c r="G25" s="84">
        <f t="shared" si="0"/>
        <v>43039.695323752552</v>
      </c>
      <c r="H25" s="85">
        <f t="shared" si="1"/>
        <v>1.334664154101882</v>
      </c>
      <c r="I25" s="84">
        <f t="shared" si="2"/>
        <v>-83194.838798168421</v>
      </c>
      <c r="J25" s="85">
        <f t="shared" si="3"/>
        <v>-1.1050318034888293</v>
      </c>
      <c r="K25" s="86">
        <f t="shared" si="4"/>
        <v>10.525198161579581</v>
      </c>
      <c r="L25" s="87" t="str">
        <f t="shared" si="5"/>
        <v>overpaid</v>
      </c>
      <c r="M25" s="87" t="str">
        <f t="shared" si="6"/>
        <v>in loss</v>
      </c>
      <c r="S25" s="1"/>
    </row>
    <row r="26" spans="1:22" x14ac:dyDescent="0.25">
      <c r="A26" s="87" t="s">
        <v>43</v>
      </c>
      <c r="B26" s="84">
        <f>VLOOKUP(A26,'Pivot Table Cost Base'!$A$1:$B$49,2,FALSE)</f>
        <v>68356.054875376125</v>
      </c>
      <c r="C26" s="56">
        <f>VLOOKUP(A26,payouts_table_AMD!$B$1:$E$52,3,FALSE)</f>
        <v>5</v>
      </c>
      <c r="D26" s="78">
        <f>VLOOKUP(A26,payouts_table_AMD!$B$1:$E$52,4,FALSE)</f>
        <v>5699.6</v>
      </c>
      <c r="E26" s="84">
        <f>VLOOKUP(A26,Payout!$B$2:$F$64,4,FALSE)</f>
        <v>28498</v>
      </c>
      <c r="F26" s="84">
        <f>VLOOKUP(A26,Payout!$B$2:$F$64,5,FALSE)</f>
        <v>26302.187589666148</v>
      </c>
      <c r="G26" s="84">
        <f t="shared" si="0"/>
        <v>2195.8124103338523</v>
      </c>
      <c r="H26" s="85">
        <f t="shared" si="1"/>
        <v>8.348402211215937E-2</v>
      </c>
      <c r="I26" s="84">
        <f t="shared" si="2"/>
        <v>-39858.054875376125</v>
      </c>
      <c r="J26" s="85">
        <f t="shared" si="3"/>
        <v>-1.3986263904616507</v>
      </c>
      <c r="K26" s="86">
        <f t="shared" si="4"/>
        <v>11.993131952308254</v>
      </c>
      <c r="L26" s="87" t="str">
        <f t="shared" si="5"/>
        <v>overpaid</v>
      </c>
      <c r="M26" s="87" t="str">
        <f t="shared" si="6"/>
        <v>in loss</v>
      </c>
      <c r="S26" s="1"/>
    </row>
    <row r="27" spans="1:22" x14ac:dyDescent="0.25">
      <c r="A27" s="27" t="s">
        <v>29</v>
      </c>
      <c r="B27" s="84">
        <f>VLOOKUP(A27,'Pivot Table Cost Base'!$A$1:$B$49,2,FALSE)</f>
        <v>99147.792084913439</v>
      </c>
      <c r="C27" s="56">
        <f>VLOOKUP(A27,payouts_table_AMD!$B$1:$E$52,3,FALSE)</f>
        <v>5</v>
      </c>
      <c r="D27" s="78">
        <f>VLOOKUP(A27,payouts_table_AMD!$B$1:$E$52,4,FALSE)</f>
        <v>4544.8</v>
      </c>
      <c r="E27" s="84">
        <f>VLOOKUP(A27,Payout!$B$2:$F$64,4,FALSE)</f>
        <v>22724</v>
      </c>
      <c r="F27" s="84">
        <f>VLOOKUP(A27,Payout!$B$2:$F$64,5,FALSE)</f>
        <v>4466.0790200396841</v>
      </c>
      <c r="G27" s="84">
        <f t="shared" si="0"/>
        <v>18257.920979960316</v>
      </c>
      <c r="H27" s="85">
        <f t="shared" si="1"/>
        <v>4.088132094849966</v>
      </c>
      <c r="I27" s="84">
        <f t="shared" si="2"/>
        <v>-76423.792084913439</v>
      </c>
      <c r="J27" s="85">
        <f t="shared" si="3"/>
        <v>-3.3631311426207287</v>
      </c>
      <c r="K27" s="86">
        <f t="shared" si="4"/>
        <v>21.815655713103641</v>
      </c>
      <c r="L27" s="87" t="str">
        <f t="shared" si="5"/>
        <v>overpaid</v>
      </c>
      <c r="M27" s="87" t="str">
        <f t="shared" si="6"/>
        <v>in loss</v>
      </c>
    </row>
    <row r="28" spans="1:22" x14ac:dyDescent="0.25">
      <c r="A28" s="87" t="s">
        <v>47</v>
      </c>
      <c r="B28" s="84">
        <f>VLOOKUP(A28,'Pivot Table Cost Base'!$A$1:$B$49,2,FALSE)</f>
        <v>82591.180462160468</v>
      </c>
      <c r="C28" s="56">
        <f>VLOOKUP(A28,payouts_table_AMD!$B$1:$E$52,3,FALSE)</f>
        <v>19</v>
      </c>
      <c r="D28" s="78">
        <f>VLOOKUP(A28,payouts_table_AMD!$B$1:$E$52,4,FALSE)</f>
        <v>1351.2631578947369</v>
      </c>
      <c r="E28" s="84">
        <f>VLOOKUP(A28,Payout!$B$2:$F$64,4,FALSE)</f>
        <v>25674</v>
      </c>
      <c r="F28" s="84">
        <f>VLOOKUP(A28,Payout!$B$2:$F$64,5,FALSE)</f>
        <v>4075.4628127403316</v>
      </c>
      <c r="G28" s="84">
        <f t="shared" si="0"/>
        <v>21598.53718725967</v>
      </c>
      <c r="H28" s="85">
        <f t="shared" si="1"/>
        <v>5.2996526234371073</v>
      </c>
      <c r="I28" s="84">
        <f t="shared" si="2"/>
        <v>-56917.180462160468</v>
      </c>
      <c r="J28" s="85">
        <f t="shared" si="3"/>
        <v>-2.216919080087266</v>
      </c>
      <c r="K28" s="86">
        <f t="shared" si="4"/>
        <v>61.121462521658053</v>
      </c>
      <c r="L28" s="87" t="str">
        <f t="shared" si="5"/>
        <v>overpaid</v>
      </c>
      <c r="M28" s="87" t="str">
        <f t="shared" si="6"/>
        <v>in loss</v>
      </c>
    </row>
    <row r="29" spans="1:22" x14ac:dyDescent="0.25">
      <c r="A29" s="27" t="s">
        <v>39</v>
      </c>
      <c r="B29" s="84">
        <f>VLOOKUP(A29,'Pivot Table Cost Base'!$A$1:$B$49,2,FALSE)</f>
        <v>77359.168054586597</v>
      </c>
      <c r="C29" s="56">
        <f>VLOOKUP(A29,payouts_table_AMD!$B$1:$E$52,3,FALSE)</f>
        <v>9</v>
      </c>
      <c r="D29" s="78">
        <f>VLOOKUP(A29,payouts_table_AMD!$B$1:$E$52,4,FALSE)</f>
        <v>9502.6666666666661</v>
      </c>
      <c r="E29" s="84">
        <f>VLOOKUP(A29,Payout!$B$2:$F$64,4,FALSE)</f>
        <v>85524.036800000002</v>
      </c>
      <c r="F29" s="84">
        <f>VLOOKUP(A29,Payout!$B$2:$F$64,5,FALSE)</f>
        <v>57868.480364122479</v>
      </c>
      <c r="G29" s="84">
        <f t="shared" si="0"/>
        <v>27655.556435877523</v>
      </c>
      <c r="H29" s="85">
        <f t="shared" si="1"/>
        <v>0.47790362321357105</v>
      </c>
      <c r="I29" s="84">
        <f t="shared" si="2"/>
        <v>8164.8687454134051</v>
      </c>
      <c r="J29" s="85">
        <f t="shared" si="3"/>
        <v>9.5468701559389038E-2</v>
      </c>
      <c r="K29" s="86">
        <f t="shared" si="4"/>
        <v>8.1407851888508418</v>
      </c>
      <c r="L29" s="87" t="str">
        <f t="shared" si="5"/>
        <v>overpaid</v>
      </c>
      <c r="M29" s="87" t="str">
        <f t="shared" si="6"/>
        <v>profitable</v>
      </c>
    </row>
    <row r="30" spans="1:22" x14ac:dyDescent="0.25">
      <c r="A30" s="87" t="s">
        <v>24</v>
      </c>
      <c r="B30" s="84">
        <f>VLOOKUP(A30,'Pivot Table Cost Base'!$A$1:$B$49,2,FALSE)</f>
        <v>110486.0952449482</v>
      </c>
      <c r="C30" s="56">
        <f>VLOOKUP(A30,payouts_table_AMD!$B$1:$E$52,3,FALSE)</f>
        <v>5</v>
      </c>
      <c r="D30" s="78">
        <f>VLOOKUP(A30,payouts_table_AMD!$B$1:$E$52,4,FALSE)</f>
        <v>25992</v>
      </c>
      <c r="E30" s="84">
        <f>VLOOKUP(A30,Payout!$B$2:$F$64,4,FALSE)</f>
        <v>129959.92400000003</v>
      </c>
      <c r="F30" s="84">
        <f>VLOOKUP(A30,Payout!$B$2:$F$64,5,FALSE)</f>
        <v>75155.343453675232</v>
      </c>
      <c r="G30" s="84">
        <f t="shared" si="0"/>
        <v>54804.580546324796</v>
      </c>
      <c r="H30" s="85">
        <f t="shared" si="1"/>
        <v>0.72921735205834859</v>
      </c>
      <c r="I30" s="84">
        <f t="shared" si="2"/>
        <v>19473.828755051829</v>
      </c>
      <c r="J30" s="85">
        <f t="shared" si="3"/>
        <v>0.1498448764486183</v>
      </c>
      <c r="K30" s="86">
        <f t="shared" si="4"/>
        <v>4.2507731319232152</v>
      </c>
      <c r="L30" s="87" t="str">
        <f t="shared" si="5"/>
        <v>overpaid</v>
      </c>
      <c r="M30" s="87" t="str">
        <f t="shared" si="6"/>
        <v>profitable</v>
      </c>
    </row>
    <row r="31" spans="1:22" x14ac:dyDescent="0.25">
      <c r="A31" s="27" t="s">
        <v>33</v>
      </c>
      <c r="B31" s="84">
        <f>VLOOKUP(A31,'Pivot Table Cost Base'!$A$1:$B$49,2,FALSE)</f>
        <v>68356.054875376125</v>
      </c>
      <c r="C31" s="56">
        <f>VLOOKUP(A31,payouts_table_AMD!$B$1:$E$52,3,FALSE)</f>
        <v>5</v>
      </c>
      <c r="D31" s="78">
        <f>VLOOKUP(A31,payouts_table_AMD!$B$1:$E$52,4,FALSE)</f>
        <v>4279.8</v>
      </c>
      <c r="E31" s="84">
        <f>VLOOKUP(A31,Payout!$B$2:$F$64,4,FALSE)</f>
        <v>21399</v>
      </c>
      <c r="F31" s="84">
        <f>VLOOKUP(A31,Payout!$B$2:$F$64,5,FALSE)</f>
        <v>17570.84919894964</v>
      </c>
      <c r="G31" s="84">
        <f t="shared" si="0"/>
        <v>3828.1508010503603</v>
      </c>
      <c r="H31" s="85">
        <f t="shared" si="1"/>
        <v>0.21786942439180468</v>
      </c>
      <c r="I31" s="84">
        <f t="shared" si="2"/>
        <v>-46957.054875376125</v>
      </c>
      <c r="J31" s="85">
        <f t="shared" si="3"/>
        <v>-2.1943574407858368</v>
      </c>
      <c r="K31" s="86">
        <f t="shared" si="4"/>
        <v>15.971787203929184</v>
      </c>
      <c r="L31" s="87" t="str">
        <f t="shared" si="5"/>
        <v>overpaid</v>
      </c>
      <c r="M31" s="87" t="str">
        <f t="shared" si="6"/>
        <v>in loss</v>
      </c>
    </row>
    <row r="32" spans="1:22" x14ac:dyDescent="0.25">
      <c r="A32" s="87" t="s">
        <v>4</v>
      </c>
      <c r="B32" s="84">
        <f>VLOOKUP(A32,'Pivot Table Cost Base'!$A$1:$B$49,2,FALSE)</f>
        <v>125986.91042105544</v>
      </c>
      <c r="C32" s="56">
        <f>VLOOKUP(A32,payouts_table_AMD!$B$1:$E$52,3,FALSE)</f>
        <v>7</v>
      </c>
      <c r="D32" s="78">
        <f>VLOOKUP(A32,payouts_table_AMD!$B$1:$E$52,4,FALSE)</f>
        <v>3512.4285714285716</v>
      </c>
      <c r="E32" s="84">
        <f>VLOOKUP(A32,Payout!$B$2:$F$64,4,FALSE)</f>
        <v>24587</v>
      </c>
      <c r="F32" s="84">
        <f>VLOOKUP(A32,Payout!$B$2:$F$64,5,FALSE)</f>
        <v>6656.7476169818319</v>
      </c>
      <c r="G32" s="84">
        <f t="shared" si="0"/>
        <v>17930.252383018167</v>
      </c>
      <c r="H32" s="85">
        <f t="shared" si="1"/>
        <v>2.6935454691532588</v>
      </c>
      <c r="I32" s="84">
        <f t="shared" si="2"/>
        <v>-101399.91042105544</v>
      </c>
      <c r="J32" s="85">
        <f t="shared" si="3"/>
        <v>-4.1241269947962511</v>
      </c>
      <c r="K32" s="86">
        <f t="shared" si="4"/>
        <v>35.86888896357376</v>
      </c>
      <c r="L32" s="87" t="str">
        <f t="shared" si="5"/>
        <v>overpaid</v>
      </c>
      <c r="M32" s="87" t="str">
        <f t="shared" si="6"/>
        <v>in loss</v>
      </c>
    </row>
    <row r="33" spans="1:13" x14ac:dyDescent="0.25">
      <c r="A33" s="27" t="s">
        <v>28</v>
      </c>
      <c r="B33" s="84">
        <f>VLOOKUP(A33,'Pivot Table Cost Base'!$A$1:$B$49,2,FALSE)</f>
        <v>70706.369224623049</v>
      </c>
      <c r="C33" s="56">
        <f>VLOOKUP(A33,payouts_table_AMD!$B$1:$E$52,3,FALSE)</f>
        <v>9</v>
      </c>
      <c r="D33" s="78">
        <f>VLOOKUP(A33,payouts_table_AMD!$B$1:$E$52,4,FALSE)</f>
        <v>7681.4444444444443</v>
      </c>
      <c r="E33" s="84">
        <f>VLOOKUP(A33,Payout!$B$2:$F$64,4,FALSE)</f>
        <v>69132.501231999981</v>
      </c>
      <c r="F33" s="84">
        <f>VLOOKUP(A33,Payout!$B$2:$F$64,5,FALSE)</f>
        <v>52203.104997488474</v>
      </c>
      <c r="G33" s="84">
        <f t="shared" si="0"/>
        <v>16929.396234511507</v>
      </c>
      <c r="H33" s="85">
        <f t="shared" si="1"/>
        <v>0.32429864536460029</v>
      </c>
      <c r="I33" s="84">
        <f t="shared" si="2"/>
        <v>-1573.8679926230689</v>
      </c>
      <c r="J33" s="85">
        <f t="shared" si="3"/>
        <v>-2.2765963397467216E-2</v>
      </c>
      <c r="K33" s="86">
        <f t="shared" si="4"/>
        <v>9.2048272608104291</v>
      </c>
      <c r="L33" s="87" t="str">
        <f t="shared" si="5"/>
        <v>overpaid</v>
      </c>
      <c r="M33" s="87" t="str">
        <f t="shared" si="6"/>
        <v>in loss</v>
      </c>
    </row>
    <row r="34" spans="1:13" x14ac:dyDescent="0.25">
      <c r="A34" s="87" t="s">
        <v>19</v>
      </c>
      <c r="B34" s="84">
        <f>VLOOKUP(A34,'Pivot Table Cost Base'!$A$1:$B$49,2,FALSE)</f>
        <v>70260.734628566177</v>
      </c>
      <c r="C34" s="56">
        <f>VLOOKUP(A34,payouts_table_AMD!$B$1:$E$52,3,FALSE)</f>
        <v>14</v>
      </c>
      <c r="D34" s="78">
        <f>VLOOKUP(A34,payouts_table_AMD!$B$1:$E$52,4,FALSE)</f>
        <v>17967.571428571428</v>
      </c>
      <c r="E34" s="84">
        <f>VLOOKUP(A34,Payout!$B$2:$F$64,4,FALSE)</f>
        <v>251545.7062500001</v>
      </c>
      <c r="F34" s="84">
        <f>VLOOKUP(A34,Payout!$B$2:$F$64,5,FALSE)</f>
        <v>19214.75062867544</v>
      </c>
      <c r="G34" s="84">
        <f t="shared" si="0"/>
        <v>232330.95562132465</v>
      </c>
      <c r="H34" s="85">
        <f t="shared" si="1"/>
        <v>12.09128133438286</v>
      </c>
      <c r="I34" s="84">
        <f t="shared" si="2"/>
        <v>181284.97162143391</v>
      </c>
      <c r="J34" s="85">
        <f t="shared" si="3"/>
        <v>0.72068402328944081</v>
      </c>
      <c r="K34" s="86">
        <f t="shared" si="4"/>
        <v>3.9104191074393015</v>
      </c>
      <c r="L34" s="87" t="str">
        <f t="shared" si="5"/>
        <v>overpaid</v>
      </c>
      <c r="M34" s="87" t="str">
        <f t="shared" si="6"/>
        <v>profitable</v>
      </c>
    </row>
    <row r="35" spans="1:13" x14ac:dyDescent="0.25">
      <c r="A35" s="27" t="s">
        <v>3</v>
      </c>
      <c r="B35" s="84">
        <f>VLOOKUP(A35,'Pivot Table Cost Base'!$A$1:$B$49,2,FALSE)</f>
        <v>110486.0952449482</v>
      </c>
      <c r="C35" s="56">
        <f>VLOOKUP(A35,payouts_table_AMD!$B$1:$E$52,3,FALSE)</f>
        <v>5</v>
      </c>
      <c r="D35" s="78">
        <f>VLOOKUP(A35,payouts_table_AMD!$B$1:$E$52,4,FALSE)</f>
        <v>5234.2</v>
      </c>
      <c r="E35" s="84">
        <f>VLOOKUP(A35,Payout!$B$2:$F$64,4,FALSE)</f>
        <v>26171</v>
      </c>
      <c r="F35" s="84">
        <f>VLOOKUP(A35,Payout!$B$2:$F$64,5,FALSE)</f>
        <v>13791.290165725788</v>
      </c>
      <c r="G35" s="84">
        <f t="shared" si="0"/>
        <v>12379.709834274212</v>
      </c>
      <c r="H35" s="85">
        <f t="shared" si="1"/>
        <v>0.89764697033496943</v>
      </c>
      <c r="I35" s="84">
        <f t="shared" si="2"/>
        <v>-84315.095244948199</v>
      </c>
      <c r="J35" s="85">
        <f t="shared" si="3"/>
        <v>-3.2216994094588745</v>
      </c>
      <c r="K35" s="86">
        <f t="shared" si="4"/>
        <v>21.108497047294371</v>
      </c>
      <c r="L35" s="87" t="str">
        <f t="shared" si="5"/>
        <v>overpaid</v>
      </c>
      <c r="M35" s="87" t="str">
        <f t="shared" si="6"/>
        <v>in loss</v>
      </c>
    </row>
    <row r="36" spans="1:13" x14ac:dyDescent="0.25">
      <c r="A36" s="87" t="s">
        <v>45</v>
      </c>
      <c r="B36" s="84">
        <f>VLOOKUP(A36,'Pivot Table Cost Base'!$A$1:$B$49,2,FALSE)</f>
        <v>82591.180462160468</v>
      </c>
      <c r="C36" s="56">
        <f>VLOOKUP(A36,payouts_table_AMD!$B$1:$E$52,3,FALSE)</f>
        <v>19</v>
      </c>
      <c r="D36" s="78">
        <f>VLOOKUP(A36,payouts_table_AMD!$B$1:$E$52,4,FALSE)</f>
        <v>1308.8421052631579</v>
      </c>
      <c r="E36" s="84">
        <f>VLOOKUP(A36,Payout!$B$2:$F$64,4,FALSE)</f>
        <v>24867.994599999998</v>
      </c>
      <c r="F36" s="84">
        <f>VLOOKUP(A36,Payout!$B$2:$F$64,5,FALSE)</f>
        <v>12643.490413589292</v>
      </c>
      <c r="G36" s="84">
        <f t="shared" si="0"/>
        <v>12224.504186410706</v>
      </c>
      <c r="H36" s="85">
        <f t="shared" si="1"/>
        <v>0.96686150631883605</v>
      </c>
      <c r="I36" s="84">
        <f t="shared" si="2"/>
        <v>-57723.18586216047</v>
      </c>
      <c r="J36" s="85">
        <f t="shared" si="3"/>
        <v>-2.3211837862535356</v>
      </c>
      <c r="K36" s="86">
        <f t="shared" si="4"/>
        <v>63.102478236329773</v>
      </c>
      <c r="L36" s="87" t="str">
        <f t="shared" si="5"/>
        <v>overpaid</v>
      </c>
      <c r="M36" s="87" t="str">
        <f t="shared" si="6"/>
        <v>in loss</v>
      </c>
    </row>
    <row r="37" spans="1:13" x14ac:dyDescent="0.25">
      <c r="A37" s="27" t="s">
        <v>34</v>
      </c>
      <c r="B37" s="84">
        <f>VLOOKUP(A37,'Pivot Table Cost Base'!$A$1:$B$49,2,FALSE)</f>
        <v>146983.61801476817</v>
      </c>
      <c r="C37" s="56">
        <f>VLOOKUP(A37,payouts_table_AMD!$B$1:$E$52,3,FALSE)</f>
        <v>8</v>
      </c>
      <c r="D37" s="78">
        <f>VLOOKUP(A37,payouts_table_AMD!$B$1:$E$52,4,FALSE)</f>
        <v>19592.125</v>
      </c>
      <c r="E37" s="84">
        <f>VLOOKUP(A37,Payout!$B$2:$F$64,4,FALSE)</f>
        <v>156737</v>
      </c>
      <c r="F37" s="84">
        <f>VLOOKUP(A37,Payout!$B$2:$F$64,5,FALSE)</f>
        <v>123213.64071313376</v>
      </c>
      <c r="G37" s="84">
        <f t="shared" si="0"/>
        <v>33523.359286866238</v>
      </c>
      <c r="H37" s="85">
        <f t="shared" si="1"/>
        <v>0.27207506484542071</v>
      </c>
      <c r="I37" s="84">
        <f t="shared" si="2"/>
        <v>9753.3819852318265</v>
      </c>
      <c r="J37" s="85">
        <f t="shared" si="3"/>
        <v>6.2227693430599196E-2</v>
      </c>
      <c r="K37" s="86">
        <f t="shared" si="4"/>
        <v>7.5021784525552064</v>
      </c>
      <c r="L37" s="87" t="str">
        <f t="shared" si="5"/>
        <v>overpaid</v>
      </c>
      <c r="M37" s="87" t="str">
        <f t="shared" si="6"/>
        <v>profitable</v>
      </c>
    </row>
    <row r="38" spans="1:13" x14ac:dyDescent="0.25">
      <c r="A38" s="87" t="s">
        <v>44</v>
      </c>
      <c r="B38" s="84">
        <f>VLOOKUP(A38,'Pivot Table Cost Base'!$A$1:$B$49,2,FALSE)</f>
        <v>66286.415973155439</v>
      </c>
      <c r="C38" s="56">
        <f>VLOOKUP(A38,payouts_table_AMD!$B$1:$E$52,3,FALSE)</f>
        <v>6</v>
      </c>
      <c r="D38" s="78">
        <f>VLOOKUP(A38,payouts_table_AMD!$B$1:$E$52,4,FALSE)</f>
        <v>3031.3333333333335</v>
      </c>
      <c r="E38" s="84">
        <f>VLOOKUP(A38,Payout!$B$2:$F$64,4,FALSE)</f>
        <v>18188.14</v>
      </c>
      <c r="F38" s="84">
        <f>VLOOKUP(A38,Payout!$B$2:$F$64,5,FALSE)</f>
        <v>5989.241978045161</v>
      </c>
      <c r="G38" s="84">
        <f t="shared" si="0"/>
        <v>12198.898021954839</v>
      </c>
      <c r="H38" s="85">
        <f t="shared" si="1"/>
        <v>2.0368016631607961</v>
      </c>
      <c r="I38" s="84">
        <f t="shared" si="2"/>
        <v>-48098.27597315544</v>
      </c>
      <c r="J38" s="85">
        <f t="shared" si="3"/>
        <v>-2.6444856908488412</v>
      </c>
      <c r="K38" s="86">
        <f t="shared" si="4"/>
        <v>21.867082463103838</v>
      </c>
      <c r="L38" s="87" t="str">
        <f t="shared" si="5"/>
        <v>overpaid</v>
      </c>
      <c r="M38" s="87" t="str">
        <f t="shared" si="6"/>
        <v>in loss</v>
      </c>
    </row>
    <row r="39" spans="1:13" x14ac:dyDescent="0.25">
      <c r="A39" s="27" t="s">
        <v>21</v>
      </c>
      <c r="B39" s="84">
        <f>VLOOKUP(A39,'Pivot Table Cost Base'!$A$1:$B$49,2,FALSE)</f>
        <v>161346.15764781405</v>
      </c>
      <c r="C39" s="56">
        <f>VLOOKUP(A39,payouts_table_AMD!$B$1:$E$52,3,FALSE)</f>
        <v>7</v>
      </c>
      <c r="D39" s="78">
        <f>VLOOKUP(A39,payouts_table_AMD!$B$1:$E$52,4,FALSE)</f>
        <v>1583.1428571428571</v>
      </c>
      <c r="E39" s="84">
        <f>VLOOKUP(A39,Payout!$B$2:$F$64,4,FALSE)</f>
        <v>11082.454</v>
      </c>
      <c r="F39" s="84">
        <f>VLOOKUP(A39,Payout!$B$2:$F$64,5,FALSE)</f>
        <v>1041.6164535348087</v>
      </c>
      <c r="G39" s="84">
        <f t="shared" si="0"/>
        <v>10040.837546465191</v>
      </c>
      <c r="H39" s="85">
        <f t="shared" si="1"/>
        <v>9.6396687210448775</v>
      </c>
      <c r="I39" s="84">
        <f t="shared" si="2"/>
        <v>-150263.70364781405</v>
      </c>
      <c r="J39" s="85">
        <f t="shared" si="3"/>
        <v>-13.558703121873013</v>
      </c>
      <c r="K39" s="86">
        <f t="shared" si="4"/>
        <v>101.9150968719273</v>
      </c>
      <c r="L39" s="87" t="str">
        <f t="shared" si="5"/>
        <v>overpaid</v>
      </c>
      <c r="M39" s="87" t="str">
        <f t="shared" si="6"/>
        <v>in loss</v>
      </c>
    </row>
    <row r="40" spans="1:13" x14ac:dyDescent="0.25">
      <c r="A40" s="87" t="s">
        <v>20</v>
      </c>
      <c r="B40" s="84">
        <f>VLOOKUP(A40,'Pivot Table Cost Base'!$A$1:$B$49,2,FALSE)</f>
        <v>110486.0952449482</v>
      </c>
      <c r="C40" s="56">
        <f>VLOOKUP(A40,payouts_table_AMD!$B$1:$E$52,3,FALSE)</f>
        <v>5</v>
      </c>
      <c r="D40" s="78">
        <f>VLOOKUP(A40,payouts_table_AMD!$B$1:$E$52,4,FALSE)</f>
        <v>12357.2</v>
      </c>
      <c r="E40" s="84">
        <f>VLOOKUP(A40,Payout!$B$2:$F$64,4,FALSE)</f>
        <v>61786.355999999992</v>
      </c>
      <c r="F40" s="84">
        <f>VLOOKUP(A40,Payout!$B$2:$F$64,5,FALSE)</f>
        <v>39833.290219168477</v>
      </c>
      <c r="G40" s="84">
        <f t="shared" si="0"/>
        <v>21953.065780831515</v>
      </c>
      <c r="H40" s="85">
        <f t="shared" si="1"/>
        <v>0.55112358683007601</v>
      </c>
      <c r="I40" s="84">
        <f t="shared" si="2"/>
        <v>-48699.739244948207</v>
      </c>
      <c r="J40" s="85">
        <f t="shared" si="3"/>
        <v>-0.78819568587194577</v>
      </c>
      <c r="K40" s="86">
        <f t="shared" si="4"/>
        <v>8.9410299456954814</v>
      </c>
      <c r="L40" s="87" t="str">
        <f t="shared" si="5"/>
        <v>overpaid</v>
      </c>
      <c r="M40" s="87" t="str">
        <f t="shared" si="6"/>
        <v>in loss</v>
      </c>
    </row>
    <row r="41" spans="1:13" x14ac:dyDescent="0.25">
      <c r="A41" s="27" t="s">
        <v>41</v>
      </c>
      <c r="B41" s="84">
        <f>VLOOKUP(A41,'Pivot Table Cost Base'!$A$1:$B$49,2,FALSE)</f>
        <v>77359.168054586597</v>
      </c>
      <c r="C41" s="56">
        <f>VLOOKUP(A41,payouts_table_AMD!$B$1:$E$52,3,FALSE)</f>
        <v>9</v>
      </c>
      <c r="D41" s="78">
        <f>VLOOKUP(A41,payouts_table_AMD!$B$1:$E$52,4,FALSE)</f>
        <v>4789</v>
      </c>
      <c r="E41" s="84">
        <f>VLOOKUP(A41,Payout!$B$2:$F$64,4,FALSE)</f>
        <v>43101.428800000009</v>
      </c>
      <c r="F41" s="84">
        <f>VLOOKUP(A41,Payout!$B$2:$F$64,5,FALSE)</f>
        <v>14793.643655087924</v>
      </c>
      <c r="G41" s="84">
        <f t="shared" si="0"/>
        <v>28307.785144912086</v>
      </c>
      <c r="H41" s="85">
        <f t="shared" si="1"/>
        <v>1.9135100050335667</v>
      </c>
      <c r="I41" s="84">
        <f t="shared" si="2"/>
        <v>-34257.739254586588</v>
      </c>
      <c r="J41" s="85">
        <f t="shared" si="3"/>
        <v>-0.79481678933545197</v>
      </c>
      <c r="K41" s="86">
        <f t="shared" si="4"/>
        <v>16.153511809268448</v>
      </c>
      <c r="L41" s="87" t="str">
        <f t="shared" si="5"/>
        <v>overpaid</v>
      </c>
      <c r="M41" s="87" t="str">
        <f t="shared" si="6"/>
        <v>in loss</v>
      </c>
    </row>
    <row r="42" spans="1:13" x14ac:dyDescent="0.25">
      <c r="A42" s="87" t="s">
        <v>48</v>
      </c>
      <c r="B42" s="84">
        <f>VLOOKUP(A42,'Pivot Table Cost Base'!$A$1:$B$49,2,FALSE)</f>
        <v>68356.054875376125</v>
      </c>
      <c r="C42" s="56">
        <f>VLOOKUP(A42,payouts_table_AMD!$B$1:$E$52,3,FALSE)</f>
        <v>5</v>
      </c>
      <c r="D42" s="78">
        <f>VLOOKUP(A42,payouts_table_AMD!$B$1:$E$52,4,FALSE)</f>
        <v>8847.4</v>
      </c>
      <c r="E42" s="84">
        <f>VLOOKUP(A42,Payout!$B$2:$F$64,4,FALSE)</f>
        <v>44237</v>
      </c>
      <c r="F42" s="84">
        <f>VLOOKUP(A42,Payout!$B$2:$F$64,5,FALSE)</f>
        <v>31992.051864244233</v>
      </c>
      <c r="G42" s="84">
        <f t="shared" si="0"/>
        <v>12244.948135755767</v>
      </c>
      <c r="H42" s="85">
        <f t="shared" si="1"/>
        <v>0.38274969632195666</v>
      </c>
      <c r="I42" s="84">
        <f t="shared" si="2"/>
        <v>-24119.054875376125</v>
      </c>
      <c r="J42" s="85">
        <f t="shared" si="3"/>
        <v>-0.54522356568881536</v>
      </c>
      <c r="K42" s="86">
        <f t="shared" si="4"/>
        <v>7.7261178284440772</v>
      </c>
      <c r="L42" s="87" t="str">
        <f t="shared" si="5"/>
        <v>overpaid</v>
      </c>
      <c r="M42" s="87" t="str">
        <f t="shared" si="6"/>
        <v>in loss</v>
      </c>
    </row>
    <row r="43" spans="1:13" x14ac:dyDescent="0.25">
      <c r="A43" s="27" t="s">
        <v>27</v>
      </c>
      <c r="B43" s="84">
        <f>VLOOKUP(A43,'Pivot Table Cost Base'!$A$1:$B$49,2,FALSE)</f>
        <v>70260.734628566177</v>
      </c>
      <c r="C43" s="56">
        <f>VLOOKUP(A43,payouts_table_AMD!$B$1:$E$52,3,FALSE)</f>
        <v>5</v>
      </c>
      <c r="D43" s="78">
        <f>VLOOKUP(A43,payouts_table_AMD!$B$1:$E$52,4,FALSE)</f>
        <v>9403.6</v>
      </c>
      <c r="E43" s="84">
        <f>VLOOKUP(A43,Payout!$B$2:$F$64,4,FALSE)</f>
        <v>47018.001600000003</v>
      </c>
      <c r="F43" s="84">
        <f>VLOOKUP(A43,Payout!$B$2:$F$64,5,FALSE)</f>
        <v>36462.95362853499</v>
      </c>
      <c r="G43" s="84">
        <f t="shared" si="0"/>
        <v>10555.047971465014</v>
      </c>
      <c r="H43" s="85">
        <f t="shared" si="1"/>
        <v>0.28947320282921069</v>
      </c>
      <c r="I43" s="84">
        <f t="shared" si="2"/>
        <v>-23242.733028566174</v>
      </c>
      <c r="J43" s="85">
        <f t="shared" si="3"/>
        <v>-0.49433689730799135</v>
      </c>
      <c r="K43" s="86">
        <f t="shared" si="4"/>
        <v>7.471684740797798</v>
      </c>
      <c r="L43" s="87" t="str">
        <f t="shared" si="5"/>
        <v>overpaid</v>
      </c>
      <c r="M43" s="87" t="str">
        <f t="shared" si="6"/>
        <v>in loss</v>
      </c>
    </row>
    <row r="44" spans="1:13" x14ac:dyDescent="0.25">
      <c r="A44" s="87" t="s">
        <v>35</v>
      </c>
      <c r="B44" s="84">
        <f>VLOOKUP(A44,'Pivot Table Cost Base'!$A$1:$B$49,2,FALSE)</f>
        <v>344478.12695248611</v>
      </c>
      <c r="C44" s="56">
        <f>VLOOKUP(A44,payouts_table_AMD!$B$1:$E$52,3,FALSE)</f>
        <v>9</v>
      </c>
      <c r="D44" s="78">
        <f>VLOOKUP(A44,payouts_table_AMD!$B$1:$E$52,4,FALSE)</f>
        <v>11325</v>
      </c>
      <c r="E44" s="84">
        <f>VLOOKUP(A44,Payout!$B$2:$F$64,4,FALSE)</f>
        <v>101924.88160000001</v>
      </c>
      <c r="F44" s="84">
        <f>VLOOKUP(A44,Payout!$B$2:$F$64,5,FALSE)</f>
        <v>68251.613256207391</v>
      </c>
      <c r="G44" s="84">
        <f t="shared" si="0"/>
        <v>33673.268343792617</v>
      </c>
      <c r="H44" s="85">
        <f t="shared" si="1"/>
        <v>0.49336955915441427</v>
      </c>
      <c r="I44" s="84">
        <f t="shared" si="2"/>
        <v>-242553.24535248609</v>
      </c>
      <c r="J44" s="85">
        <f t="shared" si="3"/>
        <v>-2.3797255542015372</v>
      </c>
      <c r="K44" s="86">
        <f t="shared" si="4"/>
        <v>30.417494653641157</v>
      </c>
      <c r="L44" s="87" t="str">
        <f t="shared" si="5"/>
        <v>overpaid</v>
      </c>
      <c r="M44" s="87" t="str">
        <f t="shared" si="6"/>
        <v>in loss</v>
      </c>
    </row>
    <row r="45" spans="1:13" x14ac:dyDescent="0.25">
      <c r="A45" s="27" t="s">
        <v>36</v>
      </c>
      <c r="B45" s="84">
        <f>VLOOKUP(A45,'Pivot Table Cost Base'!$A$1:$B$49,2,FALSE)</f>
        <v>72667.720972774769</v>
      </c>
      <c r="C45" s="56">
        <f>VLOOKUP(A45,payouts_table_AMD!$B$1:$E$52,3,FALSE)</f>
        <v>3</v>
      </c>
      <c r="D45" s="78">
        <f>VLOOKUP(A45,payouts_table_AMD!$B$1:$E$52,4,FALSE)</f>
        <v>20175</v>
      </c>
      <c r="E45" s="84">
        <f>VLOOKUP(A45,Payout!$B$2:$F$64,4,FALSE)</f>
        <v>60525.494399999996</v>
      </c>
      <c r="F45" s="84">
        <f>VLOOKUP(A45,Payout!$B$2:$F$64,5,FALSE)</f>
        <v>5138.849705816694</v>
      </c>
      <c r="G45" s="84">
        <f t="shared" si="0"/>
        <v>55386.644694183298</v>
      </c>
      <c r="H45" s="85">
        <f t="shared" si="1"/>
        <v>10.778023850647127</v>
      </c>
      <c r="I45" s="84">
        <f t="shared" si="2"/>
        <v>-12142.226572774773</v>
      </c>
      <c r="J45" s="85">
        <f t="shared" si="3"/>
        <v>-0.20061342237916149</v>
      </c>
      <c r="K45" s="86">
        <f t="shared" si="4"/>
        <v>3.601869688861203</v>
      </c>
      <c r="L45" s="87" t="str">
        <f t="shared" si="5"/>
        <v>overpaid</v>
      </c>
      <c r="M45" s="87" t="str">
        <f t="shared" si="6"/>
        <v>in loss</v>
      </c>
    </row>
    <row r="46" spans="1:13" x14ac:dyDescent="0.25">
      <c r="A46" s="87" t="s">
        <v>10</v>
      </c>
      <c r="B46" s="84">
        <f>VLOOKUP(A46,'Pivot Table Cost Base'!$A$1:$B$49,2,FALSE)</f>
        <v>87211.221857848665</v>
      </c>
      <c r="C46" s="56">
        <f>VLOOKUP(A46,payouts_table_AMD!$B$1:$E$52,3,FALSE)</f>
        <v>5</v>
      </c>
      <c r="D46" s="78">
        <f>VLOOKUP(A46,payouts_table_AMD!$B$1:$E$52,4,FALSE)</f>
        <v>12176.6</v>
      </c>
      <c r="E46" s="84">
        <f>VLOOKUP(A46,Payout!$B$2:$F$64,4,FALSE)</f>
        <v>60882.838983999995</v>
      </c>
      <c r="F46" s="84">
        <f>VLOOKUP(A46,Payout!$B$2:$F$64,5,FALSE)</f>
        <v>60573.277525875877</v>
      </c>
      <c r="G46" s="84">
        <f t="shared" si="0"/>
        <v>309.56145812411705</v>
      </c>
      <c r="H46" s="85">
        <f t="shared" si="1"/>
        <v>5.1105284503034799E-3</v>
      </c>
      <c r="I46" s="84">
        <f t="shared" si="2"/>
        <v>-26328.38287384867</v>
      </c>
      <c r="J46" s="85">
        <f t="shared" si="3"/>
        <v>-0.43244341612860343</v>
      </c>
      <c r="K46" s="86">
        <f t="shared" si="4"/>
        <v>7.1621981388769163</v>
      </c>
      <c r="L46" s="87" t="str">
        <f t="shared" si="5"/>
        <v>overpaid</v>
      </c>
      <c r="M46" s="87" t="str">
        <f t="shared" si="6"/>
        <v>in loss</v>
      </c>
    </row>
    <row r="47" spans="1:13" x14ac:dyDescent="0.25">
      <c r="A47" s="27" t="s">
        <v>9</v>
      </c>
      <c r="B47" s="84">
        <f>VLOOKUP(A47,'Pivot Table Cost Base'!$A$1:$B$49,2,FALSE)</f>
        <v>72877.954733737948</v>
      </c>
      <c r="C47" s="56">
        <f>VLOOKUP(A47,payouts_table_AMD!$B$1:$E$52,3,FALSE)</f>
        <v>5</v>
      </c>
      <c r="D47" s="78">
        <f>VLOOKUP(A47,payouts_table_AMD!$B$1:$E$52,4,FALSE)</f>
        <v>5479.6</v>
      </c>
      <c r="E47" s="84">
        <f>VLOOKUP(A47,Payout!$B$2:$F$64,4,FALSE)</f>
        <v>27397.922015999997</v>
      </c>
      <c r="F47" s="84">
        <f>VLOOKUP(A47,Payout!$B$2:$F$64,5,FALSE)</f>
        <v>9412.3100994900014</v>
      </c>
      <c r="G47" s="84">
        <f t="shared" si="0"/>
        <v>17985.611916509995</v>
      </c>
      <c r="H47" s="85">
        <f t="shared" si="1"/>
        <v>1.9108605354475658</v>
      </c>
      <c r="I47" s="84">
        <f t="shared" si="2"/>
        <v>-45480.032717737951</v>
      </c>
      <c r="J47" s="85">
        <f t="shared" si="3"/>
        <v>-1.6599810997045052</v>
      </c>
      <c r="K47" s="86">
        <f t="shared" si="4"/>
        <v>13.299867642480828</v>
      </c>
      <c r="L47" s="87" t="str">
        <f t="shared" si="5"/>
        <v>overpaid</v>
      </c>
      <c r="M47" s="87" t="str">
        <f t="shared" si="6"/>
        <v>in loss</v>
      </c>
    </row>
    <row r="48" spans="1:13" x14ac:dyDescent="0.25">
      <c r="A48" s="87" t="s">
        <v>15</v>
      </c>
      <c r="B48" s="84">
        <f>VLOOKUP(A48,'Pivot Table Cost Base'!$A$1:$B$49,2,FALSE)</f>
        <v>72152.681035118585</v>
      </c>
      <c r="C48" s="56">
        <f>VLOOKUP(A48,payouts_table_AMD!$B$1:$E$52,3,FALSE)</f>
        <v>5</v>
      </c>
      <c r="D48" s="78">
        <f>VLOOKUP(A48,payouts_table_AMD!$B$1:$E$52,4,FALSE)</f>
        <v>5290.4</v>
      </c>
      <c r="E48" s="84">
        <f>VLOOKUP(A48,Payout!$B$2:$F$64,4,FALSE)</f>
        <v>26452</v>
      </c>
      <c r="F48" s="84">
        <f>VLOOKUP(A48,Payout!$B$2:$F$64,5,FALSE)</f>
        <v>10107.177123675472</v>
      </c>
      <c r="G48" s="84">
        <f t="shared" si="0"/>
        <v>16344.822876324528</v>
      </c>
      <c r="H48" s="85">
        <f t="shared" si="1"/>
        <v>1.6171501376024899</v>
      </c>
      <c r="I48" s="84">
        <f t="shared" si="2"/>
        <v>-45700.681035118585</v>
      </c>
      <c r="J48" s="85">
        <f t="shared" si="3"/>
        <v>-1.7276833901073108</v>
      </c>
      <c r="K48" s="86">
        <f t="shared" si="4"/>
        <v>13.638416950536556</v>
      </c>
      <c r="L48" s="87" t="str">
        <f t="shared" si="5"/>
        <v>overpaid</v>
      </c>
      <c r="M48" s="87" t="str">
        <f t="shared" si="6"/>
        <v>in loss</v>
      </c>
    </row>
    <row r="49" spans="1:13" s="88" customFormat="1" x14ac:dyDescent="0.25">
      <c r="A49" s="27" t="s">
        <v>14</v>
      </c>
      <c r="B49" s="84">
        <f>VLOOKUP(A49,'Pivot Table Cost Base'!$A$1:$B$49,2,FALSE)</f>
        <v>81229.022922361488</v>
      </c>
      <c r="C49" s="56">
        <f>VLOOKUP(A49,payouts_table_AMD!$B$1:$E$52,3,FALSE)</f>
        <v>5</v>
      </c>
      <c r="D49" s="78">
        <f>VLOOKUP(A49,payouts_table_AMD!$B$1:$E$52,4,FALSE)</f>
        <v>7018.8</v>
      </c>
      <c r="E49" s="84">
        <f>VLOOKUP(A49,Payout!$B$2:$F$64,4,FALSE)</f>
        <v>35094</v>
      </c>
      <c r="F49" s="84">
        <f>VLOOKUP(A49,Payout!$B$2:$F$64,5,FALSE)</f>
        <v>5041.5172774335551</v>
      </c>
      <c r="G49" s="84">
        <f t="shared" si="0"/>
        <v>30052.482722566445</v>
      </c>
      <c r="H49" s="85">
        <f t="shared" si="1"/>
        <v>5.9609996492692812</v>
      </c>
      <c r="I49" s="84">
        <f t="shared" si="2"/>
        <v>-46135.022922361488</v>
      </c>
      <c r="J49" s="85">
        <f t="shared" si="3"/>
        <v>-1.314612837589374</v>
      </c>
      <c r="K49" s="86">
        <f t="shared" si="4"/>
        <v>11.573064187946869</v>
      </c>
      <c r="L49" s="87" t="str">
        <f t="shared" si="5"/>
        <v>overpaid</v>
      </c>
      <c r="M49" s="87" t="str">
        <f t="shared" si="6"/>
        <v>in loss</v>
      </c>
    </row>
  </sheetData>
  <autoFilter ref="A1:M49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C1" zoomScale="85" zoomScaleNormal="85" workbookViewId="0">
      <pane ySplit="1" topLeftCell="A2" activePane="bottomLeft" state="frozen"/>
      <selection activeCell="E1" sqref="E1"/>
      <selection pane="bottomLeft" activeCell="G48" sqref="G48"/>
    </sheetView>
  </sheetViews>
  <sheetFormatPr defaultRowHeight="15" x14ac:dyDescent="0.25"/>
  <cols>
    <col min="1" max="1" width="8.140625" customWidth="1"/>
    <col min="2" max="2" width="18.42578125" bestFit="1" customWidth="1"/>
    <col min="3" max="3" width="11" customWidth="1"/>
    <col min="4" max="4" width="32.5703125" bestFit="1" customWidth="1"/>
    <col min="5" max="5" width="9.85546875" style="36" customWidth="1"/>
    <col min="6" max="6" width="12.85546875" style="36" customWidth="1"/>
    <col min="7" max="7" width="15.5703125" style="51" customWidth="1"/>
    <col min="8" max="8" width="15.5703125" style="36" customWidth="1"/>
    <col min="9" max="9" width="10.42578125" style="55" customWidth="1"/>
    <col min="10" max="10" width="17.7109375" style="53" customWidth="1"/>
    <col min="11" max="11" width="14.85546875" style="55" customWidth="1"/>
    <col min="12" max="12" width="11.28515625" style="66" customWidth="1"/>
    <col min="13" max="13" width="10.7109375" style="66" bestFit="1" customWidth="1"/>
    <col min="14" max="14" width="14.85546875" style="66" customWidth="1"/>
    <col min="15" max="15" width="13.85546875" style="66" customWidth="1"/>
    <col min="16" max="16" width="12.42578125" style="66" customWidth="1"/>
    <col min="17" max="17" width="12.28515625" style="66" bestFit="1" customWidth="1"/>
    <col min="18" max="18" width="12" bestFit="1" customWidth="1"/>
    <col min="21" max="21" width="10.7109375" bestFit="1" customWidth="1"/>
  </cols>
  <sheetData>
    <row r="1" spans="1:21" x14ac:dyDescent="0.25">
      <c r="A1" s="28" t="s">
        <v>56</v>
      </c>
      <c r="B1" s="28" t="s">
        <v>50</v>
      </c>
      <c r="C1" s="28" t="s">
        <v>57</v>
      </c>
      <c r="D1" s="28" t="s">
        <v>106</v>
      </c>
      <c r="E1" s="32" t="s">
        <v>58</v>
      </c>
      <c r="F1" s="32" t="s">
        <v>59</v>
      </c>
      <c r="G1" s="46" t="s">
        <v>60</v>
      </c>
      <c r="H1" s="32" t="s">
        <v>107</v>
      </c>
      <c r="I1" s="54" t="s">
        <v>61</v>
      </c>
      <c r="J1" s="52" t="s">
        <v>62</v>
      </c>
      <c r="K1" s="54" t="s">
        <v>108</v>
      </c>
      <c r="L1" s="57" t="s">
        <v>1</v>
      </c>
      <c r="M1" s="57" t="s">
        <v>63</v>
      </c>
      <c r="N1" s="57" t="s">
        <v>64</v>
      </c>
      <c r="O1" s="57" t="s">
        <v>51</v>
      </c>
      <c r="P1" s="57" t="s">
        <v>109</v>
      </c>
      <c r="Q1" s="58" t="s">
        <v>110</v>
      </c>
    </row>
    <row r="2" spans="1:21" x14ac:dyDescent="0.25">
      <c r="A2" s="29">
        <v>1</v>
      </c>
      <c r="B2" s="29" t="s">
        <v>65</v>
      </c>
      <c r="C2" s="29" t="s">
        <v>111</v>
      </c>
      <c r="D2" s="29" t="s">
        <v>37</v>
      </c>
      <c r="E2" s="33" t="s">
        <v>112</v>
      </c>
      <c r="F2" s="33" t="s">
        <v>63</v>
      </c>
      <c r="G2" s="47">
        <v>2018</v>
      </c>
      <c r="H2" s="33" t="s">
        <v>113</v>
      </c>
      <c r="I2" s="43">
        <v>9</v>
      </c>
      <c r="J2" s="39">
        <v>2.5</v>
      </c>
      <c r="K2" s="43">
        <v>1600</v>
      </c>
      <c r="L2" s="59">
        <v>16408.888888888887</v>
      </c>
      <c r="M2" s="59">
        <v>11420.447400423482</v>
      </c>
      <c r="N2" s="59">
        <v>9580</v>
      </c>
      <c r="O2" s="59">
        <v>37409.33628931237</v>
      </c>
      <c r="P2" s="59">
        <v>36000</v>
      </c>
      <c r="Q2" s="60">
        <v>73409.33628931237</v>
      </c>
    </row>
    <row r="3" spans="1:21" x14ac:dyDescent="0.25">
      <c r="A3" s="30">
        <v>2</v>
      </c>
      <c r="B3" s="30" t="s">
        <v>65</v>
      </c>
      <c r="C3" s="30" t="s">
        <v>111</v>
      </c>
      <c r="D3" s="30" t="s">
        <v>37</v>
      </c>
      <c r="E3" s="34" t="s">
        <v>114</v>
      </c>
      <c r="F3" s="34" t="s">
        <v>63</v>
      </c>
      <c r="G3" s="48">
        <v>2017</v>
      </c>
      <c r="H3" s="34" t="s">
        <v>114</v>
      </c>
      <c r="I3" s="42">
        <v>14</v>
      </c>
      <c r="J3" s="38">
        <v>0.75</v>
      </c>
      <c r="K3" s="42">
        <v>1600</v>
      </c>
      <c r="L3" s="61">
        <v>10548.571428571429</v>
      </c>
      <c r="M3" s="61">
        <v>6090.9052802258566</v>
      </c>
      <c r="N3" s="61">
        <v>5880</v>
      </c>
      <c r="O3" s="61">
        <v>22519.476708797287</v>
      </c>
      <c r="P3" s="61">
        <v>36000</v>
      </c>
      <c r="Q3" s="62">
        <v>58519.476708797287</v>
      </c>
    </row>
    <row r="4" spans="1:21" x14ac:dyDescent="0.25">
      <c r="A4" s="29">
        <v>3</v>
      </c>
      <c r="B4" s="29" t="s">
        <v>65</v>
      </c>
      <c r="C4" s="29" t="s">
        <v>111</v>
      </c>
      <c r="D4" s="29" t="s">
        <v>7</v>
      </c>
      <c r="E4" s="33" t="s">
        <v>112</v>
      </c>
      <c r="F4" s="33" t="s">
        <v>115</v>
      </c>
      <c r="G4" s="47" t="s">
        <v>116</v>
      </c>
      <c r="H4" s="33" t="s">
        <v>113</v>
      </c>
      <c r="I4" s="43">
        <v>9</v>
      </c>
      <c r="J4" s="39">
        <v>2.5</v>
      </c>
      <c r="K4" s="43">
        <v>1600</v>
      </c>
      <c r="L4" s="59">
        <v>16408.888888888887</v>
      </c>
      <c r="M4" s="59">
        <v>11420.447400423482</v>
      </c>
      <c r="N4" s="59">
        <v>9580</v>
      </c>
      <c r="O4" s="59">
        <v>37409.33628931237</v>
      </c>
      <c r="P4" s="59">
        <v>36000</v>
      </c>
      <c r="Q4" s="60">
        <v>73409.33628931237</v>
      </c>
    </row>
    <row r="5" spans="1:21" x14ac:dyDescent="0.25">
      <c r="A5" s="30">
        <v>4</v>
      </c>
      <c r="B5" s="30" t="s">
        <v>66</v>
      </c>
      <c r="C5" s="30" t="s">
        <v>117</v>
      </c>
      <c r="D5" s="30" t="s">
        <v>6</v>
      </c>
      <c r="E5" s="34" t="s">
        <v>118</v>
      </c>
      <c r="F5" s="34" t="s">
        <v>63</v>
      </c>
      <c r="G5" s="48">
        <v>2014</v>
      </c>
      <c r="H5" s="34" t="s">
        <v>119</v>
      </c>
      <c r="I5" s="42">
        <v>6.5525461364709248</v>
      </c>
      <c r="J5" s="38">
        <v>6.5900268382448797</v>
      </c>
      <c r="K5" s="42">
        <v>2900</v>
      </c>
      <c r="L5" s="61">
        <v>44474.742564298867</v>
      </c>
      <c r="M5" s="61">
        <v>17511.352680649339</v>
      </c>
      <c r="N5" s="61">
        <v>12500</v>
      </c>
      <c r="O5" s="61">
        <v>74486.095244948199</v>
      </c>
      <c r="P5" s="61">
        <v>36000</v>
      </c>
      <c r="Q5" s="62">
        <v>110486.0952449482</v>
      </c>
    </row>
    <row r="6" spans="1:21" x14ac:dyDescent="0.25">
      <c r="A6" s="29">
        <v>5</v>
      </c>
      <c r="B6" s="29" t="s">
        <v>67</v>
      </c>
      <c r="C6" s="29" t="s">
        <v>120</v>
      </c>
      <c r="D6" s="29" t="s">
        <v>46</v>
      </c>
      <c r="E6" s="33" t="s">
        <v>121</v>
      </c>
      <c r="F6" s="33" t="s">
        <v>63</v>
      </c>
      <c r="G6" s="47">
        <v>2019</v>
      </c>
      <c r="H6" s="33" t="s">
        <v>121</v>
      </c>
      <c r="I6" s="43">
        <v>16.829787347508621</v>
      </c>
      <c r="J6" s="39">
        <v>1.3894248629666022</v>
      </c>
      <c r="K6" s="43">
        <v>2700</v>
      </c>
      <c r="L6" s="59">
        <v>18194.528820724201</v>
      </c>
      <c r="M6" s="59">
        <v>11420.447400423482</v>
      </c>
      <c r="N6" s="59">
        <v>8200</v>
      </c>
      <c r="O6" s="59">
        <v>37814.976221147685</v>
      </c>
      <c r="P6" s="59">
        <v>36000</v>
      </c>
      <c r="Q6" s="60">
        <v>73814.976221147692</v>
      </c>
    </row>
    <row r="7" spans="1:21" x14ac:dyDescent="0.25">
      <c r="A7" s="30">
        <v>6</v>
      </c>
      <c r="B7" s="30" t="s">
        <v>68</v>
      </c>
      <c r="C7" s="30" t="s">
        <v>122</v>
      </c>
      <c r="D7" s="30" t="s">
        <v>25</v>
      </c>
      <c r="E7" s="34" t="s">
        <v>123</v>
      </c>
      <c r="F7" s="34" t="s">
        <v>63</v>
      </c>
      <c r="G7" s="48">
        <v>2016</v>
      </c>
      <c r="H7" s="34" t="s">
        <v>123</v>
      </c>
      <c r="I7" s="42">
        <v>15.340744990271009</v>
      </c>
      <c r="J7" s="38">
        <v>1.5806763812306639</v>
      </c>
      <c r="K7" s="42">
        <v>2600</v>
      </c>
      <c r="L7" s="61">
        <v>13701.339883206299</v>
      </c>
      <c r="M7" s="61">
        <v>7613.6316002823205</v>
      </c>
      <c r="N7" s="61">
        <v>11400</v>
      </c>
      <c r="O7" s="61">
        <v>32714.971483488618</v>
      </c>
      <c r="P7" s="61">
        <v>36000</v>
      </c>
      <c r="Q7" s="62">
        <v>68714.971483488625</v>
      </c>
    </row>
    <row r="8" spans="1:21" x14ac:dyDescent="0.25">
      <c r="A8" s="29">
        <v>7</v>
      </c>
      <c r="B8" s="29" t="s">
        <v>68</v>
      </c>
      <c r="C8" s="29" t="s">
        <v>122</v>
      </c>
      <c r="D8" s="29" t="s">
        <v>32</v>
      </c>
      <c r="E8" s="33" t="s">
        <v>114</v>
      </c>
      <c r="F8" s="33" t="s">
        <v>63</v>
      </c>
      <c r="G8" s="47">
        <v>2012</v>
      </c>
      <c r="H8" s="33" t="s">
        <v>114</v>
      </c>
      <c r="I8" s="43">
        <v>7.7853868200690899</v>
      </c>
      <c r="J8" s="39">
        <v>0.75264980525332092</v>
      </c>
      <c r="K8" s="43">
        <v>2600</v>
      </c>
      <c r="L8" s="59">
        <v>26997.857143266792</v>
      </c>
      <c r="M8" s="59">
        <v>6090.9052802258566</v>
      </c>
      <c r="N8" s="59">
        <v>6900</v>
      </c>
      <c r="O8" s="59">
        <v>39988.762423492648</v>
      </c>
      <c r="P8" s="59">
        <v>36000</v>
      </c>
      <c r="Q8" s="60">
        <v>75988.762423492648</v>
      </c>
    </row>
    <row r="9" spans="1:21" x14ac:dyDescent="0.25">
      <c r="A9" s="30">
        <v>8</v>
      </c>
      <c r="B9" s="30" t="s">
        <v>69</v>
      </c>
      <c r="C9" s="30" t="s">
        <v>124</v>
      </c>
      <c r="D9" s="30" t="s">
        <v>40</v>
      </c>
      <c r="E9" s="34" t="s">
        <v>114</v>
      </c>
      <c r="F9" s="34" t="s">
        <v>63</v>
      </c>
      <c r="G9" s="48">
        <v>2019</v>
      </c>
      <c r="H9" s="34" t="s">
        <v>114</v>
      </c>
      <c r="I9" s="42">
        <v>17.527489465012966</v>
      </c>
      <c r="J9" s="38">
        <v>0.78423707313208679</v>
      </c>
      <c r="K9" s="42">
        <v>1900</v>
      </c>
      <c r="L9" s="61">
        <v>10865.739812694012</v>
      </c>
      <c r="M9" s="61">
        <v>6090.9052802258566</v>
      </c>
      <c r="N9" s="61">
        <v>10700</v>
      </c>
      <c r="O9" s="61">
        <v>27656.645092919869</v>
      </c>
      <c r="P9" s="61">
        <v>36000</v>
      </c>
      <c r="Q9" s="62">
        <v>63656.645092919869</v>
      </c>
    </row>
    <row r="10" spans="1:21" x14ac:dyDescent="0.25">
      <c r="A10" s="29">
        <v>9</v>
      </c>
      <c r="B10" s="29" t="s">
        <v>70</v>
      </c>
      <c r="C10" s="29" t="s">
        <v>125</v>
      </c>
      <c r="D10" s="29" t="s">
        <v>11</v>
      </c>
      <c r="E10" s="33" t="s">
        <v>112</v>
      </c>
      <c r="F10" s="33" t="s">
        <v>63</v>
      </c>
      <c r="G10" s="47">
        <v>2016</v>
      </c>
      <c r="H10" s="33" t="s">
        <v>113</v>
      </c>
      <c r="I10" s="43">
        <v>13.044642984582476</v>
      </c>
      <c r="J10" s="39">
        <v>2.042136553081618</v>
      </c>
      <c r="K10" s="43">
        <v>2900</v>
      </c>
      <c r="L10" s="59">
        <v>22100.936769178697</v>
      </c>
      <c r="M10" s="59">
        <v>11420.447400423482</v>
      </c>
      <c r="N10" s="59">
        <v>18700</v>
      </c>
      <c r="O10" s="59">
        <v>52221.384169602177</v>
      </c>
      <c r="P10" s="59">
        <v>36000</v>
      </c>
      <c r="Q10" s="60">
        <v>88221.384169602185</v>
      </c>
    </row>
    <row r="11" spans="1:21" x14ac:dyDescent="0.25">
      <c r="A11" s="30">
        <v>10</v>
      </c>
      <c r="B11" s="30" t="s">
        <v>70</v>
      </c>
      <c r="C11" s="30" t="s">
        <v>125</v>
      </c>
      <c r="D11" s="30" t="s">
        <v>11</v>
      </c>
      <c r="E11" s="34" t="s">
        <v>118</v>
      </c>
      <c r="F11" s="34" t="s">
        <v>63</v>
      </c>
      <c r="G11" s="48">
        <v>2017</v>
      </c>
      <c r="H11" s="34" t="s">
        <v>119</v>
      </c>
      <c r="I11" s="42">
        <v>7.7766332599738792</v>
      </c>
      <c r="J11" s="38">
        <v>5.1635046388777424</v>
      </c>
      <c r="K11" s="42">
        <v>2900</v>
      </c>
      <c r="L11" s="61">
        <v>37072.44769566723</v>
      </c>
      <c r="M11" s="61">
        <v>17511.352680649339</v>
      </c>
      <c r="N11" s="61">
        <v>15600</v>
      </c>
      <c r="O11" s="61">
        <v>70183.800376316562</v>
      </c>
      <c r="P11" s="61">
        <v>36000</v>
      </c>
      <c r="Q11" s="62">
        <v>106183.80037631656</v>
      </c>
      <c r="U11" s="66"/>
    </row>
    <row r="12" spans="1:21" x14ac:dyDescent="0.25">
      <c r="A12" s="29">
        <v>11</v>
      </c>
      <c r="B12" s="29" t="s">
        <v>70</v>
      </c>
      <c r="C12" s="29" t="s">
        <v>125</v>
      </c>
      <c r="D12" s="29" t="s">
        <v>11</v>
      </c>
      <c r="E12" s="33" t="s">
        <v>126</v>
      </c>
      <c r="F12" s="33" t="s">
        <v>115</v>
      </c>
      <c r="G12" s="47" t="s">
        <v>116</v>
      </c>
      <c r="H12" s="33" t="s">
        <v>126</v>
      </c>
      <c r="I12" s="43">
        <v>6.653749290515103</v>
      </c>
      <c r="J12" s="39">
        <v>8.2407106661901022</v>
      </c>
      <c r="K12" s="43">
        <v>2900</v>
      </c>
      <c r="L12" s="59">
        <v>43328.778586493601</v>
      </c>
      <c r="M12" s="59">
        <v>21318.1684807905</v>
      </c>
      <c r="N12" s="59">
        <v>22100</v>
      </c>
      <c r="O12" s="59">
        <v>86746.947067284098</v>
      </c>
      <c r="P12" s="59">
        <v>36000</v>
      </c>
      <c r="Q12" s="60">
        <v>122746.9470672841</v>
      </c>
    </row>
    <row r="13" spans="1:21" x14ac:dyDescent="0.25">
      <c r="A13" s="30">
        <v>12</v>
      </c>
      <c r="B13" s="30" t="s">
        <v>71</v>
      </c>
      <c r="C13" s="30" t="s">
        <v>127</v>
      </c>
      <c r="D13" s="30" t="s">
        <v>30</v>
      </c>
      <c r="E13" s="34" t="s">
        <v>114</v>
      </c>
      <c r="F13" s="34" t="s">
        <v>128</v>
      </c>
      <c r="G13" s="48">
        <v>2016</v>
      </c>
      <c r="H13" s="34" t="s">
        <v>114</v>
      </c>
      <c r="I13" s="42">
        <v>18.889971546597494</v>
      </c>
      <c r="J13" s="38">
        <v>0.79022382032227789</v>
      </c>
      <c r="K13" s="42">
        <v>3000</v>
      </c>
      <c r="L13" s="61">
        <v>12476.910857713416</v>
      </c>
      <c r="M13" s="61">
        <v>6090.9052802258566</v>
      </c>
      <c r="N13" s="61">
        <v>10700</v>
      </c>
      <c r="O13" s="61">
        <v>29267.816137939273</v>
      </c>
      <c r="P13" s="61">
        <v>36000</v>
      </c>
      <c r="Q13" s="62">
        <v>65267.81613793927</v>
      </c>
    </row>
    <row r="14" spans="1:21" x14ac:dyDescent="0.25">
      <c r="A14" s="29">
        <v>13</v>
      </c>
      <c r="B14" s="29" t="s">
        <v>72</v>
      </c>
      <c r="C14" s="29" t="s">
        <v>129</v>
      </c>
      <c r="D14" s="29" t="s">
        <v>5</v>
      </c>
      <c r="E14" s="33" t="s">
        <v>112</v>
      </c>
      <c r="F14" s="33" t="s">
        <v>63</v>
      </c>
      <c r="G14" s="47">
        <v>2013</v>
      </c>
      <c r="H14" s="33" t="s">
        <v>113</v>
      </c>
      <c r="I14" s="43">
        <v>9.095012736983012</v>
      </c>
      <c r="J14" s="39">
        <v>2.4855141620694923</v>
      </c>
      <c r="K14" s="43">
        <v>1800</v>
      </c>
      <c r="L14" s="59">
        <v>18718.663328438746</v>
      </c>
      <c r="M14" s="59">
        <v>11420.447400423482</v>
      </c>
      <c r="N14" s="59">
        <v>12000</v>
      </c>
      <c r="O14" s="59">
        <v>42139.11072886223</v>
      </c>
      <c r="P14" s="59">
        <v>36000</v>
      </c>
      <c r="Q14" s="60">
        <v>78139.11072886223</v>
      </c>
    </row>
    <row r="15" spans="1:21" x14ac:dyDescent="0.25">
      <c r="A15" s="30">
        <v>14</v>
      </c>
      <c r="B15" s="30" t="s">
        <v>72</v>
      </c>
      <c r="C15" s="30" t="s">
        <v>129</v>
      </c>
      <c r="D15" s="30" t="s">
        <v>5</v>
      </c>
      <c r="E15" s="34" t="s">
        <v>130</v>
      </c>
      <c r="F15" s="34" t="s">
        <v>115</v>
      </c>
      <c r="G15" s="48" t="s">
        <v>116</v>
      </c>
      <c r="H15" s="34" t="s">
        <v>131</v>
      </c>
      <c r="I15" s="42">
        <v>3.5462174548919334</v>
      </c>
      <c r="J15" s="38">
        <v>8.6536756158497194</v>
      </c>
      <c r="K15" s="42">
        <v>1800</v>
      </c>
      <c r="L15" s="61">
        <v>48007.908019457667</v>
      </c>
      <c r="M15" s="61">
        <v>17511.352680649339</v>
      </c>
      <c r="N15" s="61">
        <v>19000</v>
      </c>
      <c r="O15" s="61">
        <v>84519.260700106999</v>
      </c>
      <c r="P15" s="61">
        <v>36000</v>
      </c>
      <c r="Q15" s="62">
        <v>120519.260700107</v>
      </c>
    </row>
    <row r="16" spans="1:21" x14ac:dyDescent="0.25">
      <c r="A16" s="29">
        <v>15</v>
      </c>
      <c r="B16" s="29" t="s">
        <v>73</v>
      </c>
      <c r="C16" s="29" t="s">
        <v>132</v>
      </c>
      <c r="D16" s="29" t="s">
        <v>23</v>
      </c>
      <c r="E16" s="33" t="s">
        <v>114</v>
      </c>
      <c r="F16" s="33" t="s">
        <v>63</v>
      </c>
      <c r="G16" s="47">
        <v>2020</v>
      </c>
      <c r="H16" s="33" t="s">
        <v>114</v>
      </c>
      <c r="I16" s="43">
        <v>17.157710528177709</v>
      </c>
      <c r="J16" s="39">
        <v>1.0426350561035722</v>
      </c>
      <c r="K16" s="43">
        <v>3100</v>
      </c>
      <c r="L16" s="59">
        <v>16815.46394439719</v>
      </c>
      <c r="M16" s="59">
        <v>6090.9052802258566</v>
      </c>
      <c r="N16" s="59">
        <v>11800</v>
      </c>
      <c r="O16" s="59">
        <v>34706.369224623049</v>
      </c>
      <c r="P16" s="59">
        <v>36000</v>
      </c>
      <c r="Q16" s="60">
        <v>70706.369224623049</v>
      </c>
    </row>
    <row r="17" spans="1:17" x14ac:dyDescent="0.25">
      <c r="A17" s="30">
        <v>16</v>
      </c>
      <c r="B17" s="30" t="s">
        <v>65</v>
      </c>
      <c r="C17" s="30" t="s">
        <v>111</v>
      </c>
      <c r="D17" s="30" t="s">
        <v>42</v>
      </c>
      <c r="E17" s="34" t="s">
        <v>114</v>
      </c>
      <c r="F17" s="34" t="s">
        <v>63</v>
      </c>
      <c r="G17" s="48">
        <v>2010</v>
      </c>
      <c r="H17" s="34" t="s">
        <v>114</v>
      </c>
      <c r="I17" s="42">
        <v>14</v>
      </c>
      <c r="J17" s="38">
        <v>0.75</v>
      </c>
      <c r="K17" s="42">
        <v>1600</v>
      </c>
      <c r="L17" s="61">
        <v>10548.571428571429</v>
      </c>
      <c r="M17" s="61">
        <v>6090.9052802258566</v>
      </c>
      <c r="N17" s="61">
        <v>5880</v>
      </c>
      <c r="O17" s="61">
        <v>22519.476708797287</v>
      </c>
      <c r="P17" s="61">
        <v>36000</v>
      </c>
      <c r="Q17" s="62">
        <v>58519.476708797287</v>
      </c>
    </row>
    <row r="18" spans="1:17" x14ac:dyDescent="0.25">
      <c r="A18" s="29">
        <v>17</v>
      </c>
      <c r="B18" s="29" t="s">
        <v>74</v>
      </c>
      <c r="C18" s="29" t="s">
        <v>133</v>
      </c>
      <c r="D18" s="29" t="s">
        <v>38</v>
      </c>
      <c r="E18" s="33" t="s">
        <v>134</v>
      </c>
      <c r="F18" s="33" t="s">
        <v>128</v>
      </c>
      <c r="G18" s="47">
        <v>2019</v>
      </c>
      <c r="H18" s="33" t="s">
        <v>134</v>
      </c>
      <c r="I18" s="43">
        <v>17.582051377297987</v>
      </c>
      <c r="J18" s="39">
        <v>1.1466290648202664</v>
      </c>
      <c r="K18" s="43">
        <v>1800</v>
      </c>
      <c r="L18" s="59">
        <v>9285.0019192570508</v>
      </c>
      <c r="M18" s="59">
        <v>8374.9947603105538</v>
      </c>
      <c r="N18" s="59">
        <v>9900</v>
      </c>
      <c r="O18" s="59">
        <v>27559.996679567605</v>
      </c>
      <c r="P18" s="59">
        <v>36000</v>
      </c>
      <c r="Q18" s="60">
        <v>63559.996679567601</v>
      </c>
    </row>
    <row r="19" spans="1:17" x14ac:dyDescent="0.25">
      <c r="A19" s="30">
        <v>18</v>
      </c>
      <c r="B19" s="30" t="s">
        <v>67</v>
      </c>
      <c r="C19" s="30" t="s">
        <v>120</v>
      </c>
      <c r="D19" s="30" t="s">
        <v>49</v>
      </c>
      <c r="E19" s="34" t="s">
        <v>121</v>
      </c>
      <c r="F19" s="34" t="s">
        <v>63</v>
      </c>
      <c r="G19" s="48">
        <v>2019</v>
      </c>
      <c r="H19" s="34" t="s">
        <v>121</v>
      </c>
      <c r="I19" s="42">
        <v>16.829787347508621</v>
      </c>
      <c r="J19" s="38">
        <v>1.3894248629666022</v>
      </c>
      <c r="K19" s="42">
        <v>2700</v>
      </c>
      <c r="L19" s="61">
        <v>18194.528820724201</v>
      </c>
      <c r="M19" s="61">
        <v>11420.447400423482</v>
      </c>
      <c r="N19" s="61">
        <v>8200</v>
      </c>
      <c r="O19" s="61">
        <v>37814.976221147685</v>
      </c>
      <c r="P19" s="61">
        <v>36000</v>
      </c>
      <c r="Q19" s="62">
        <v>73814.976221147692</v>
      </c>
    </row>
    <row r="20" spans="1:17" x14ac:dyDescent="0.25">
      <c r="A20" s="29">
        <v>19</v>
      </c>
      <c r="B20" s="29" t="s">
        <v>75</v>
      </c>
      <c r="C20" s="29" t="s">
        <v>135</v>
      </c>
      <c r="D20" s="29" t="s">
        <v>16</v>
      </c>
      <c r="E20" s="33" t="s">
        <v>121</v>
      </c>
      <c r="F20" s="33" t="s">
        <v>128</v>
      </c>
      <c r="G20" s="47">
        <v>2020</v>
      </c>
      <c r="H20" s="33" t="s">
        <v>121</v>
      </c>
      <c r="I20" s="43">
        <v>9.8332980589745791</v>
      </c>
      <c r="J20" s="39">
        <v>2.1170956821339351</v>
      </c>
      <c r="K20" s="43">
        <v>2500</v>
      </c>
      <c r="L20" s="59">
        <v>24433.001229891568</v>
      </c>
      <c r="M20" s="59">
        <v>11420.447400423482</v>
      </c>
      <c r="N20" s="59">
        <v>10200</v>
      </c>
      <c r="O20" s="59">
        <v>46053.448630315048</v>
      </c>
      <c r="P20" s="59">
        <v>36000</v>
      </c>
      <c r="Q20" s="60">
        <v>82053.448630315048</v>
      </c>
    </row>
    <row r="21" spans="1:17" x14ac:dyDescent="0.25">
      <c r="A21" s="30">
        <v>20</v>
      </c>
      <c r="B21" s="30" t="s">
        <v>66</v>
      </c>
      <c r="C21" s="30" t="s">
        <v>117</v>
      </c>
      <c r="D21" s="30" t="s">
        <v>12</v>
      </c>
      <c r="E21" s="34" t="s">
        <v>118</v>
      </c>
      <c r="F21" s="34" t="s">
        <v>128</v>
      </c>
      <c r="G21" s="48">
        <v>2012</v>
      </c>
      <c r="H21" s="34" t="s">
        <v>119</v>
      </c>
      <c r="I21" s="42">
        <v>6.5525461364709248</v>
      </c>
      <c r="J21" s="38">
        <v>6.5900268382448797</v>
      </c>
      <c r="K21" s="42">
        <v>2900</v>
      </c>
      <c r="L21" s="61">
        <v>44474.742564298867</v>
      </c>
      <c r="M21" s="61">
        <v>17511.352680649339</v>
      </c>
      <c r="N21" s="61">
        <v>12500</v>
      </c>
      <c r="O21" s="61">
        <v>74486.095244948199</v>
      </c>
      <c r="P21" s="61">
        <v>36000</v>
      </c>
      <c r="Q21" s="62">
        <v>110486.0952449482</v>
      </c>
    </row>
    <row r="22" spans="1:17" x14ac:dyDescent="0.25">
      <c r="A22" s="29">
        <v>21</v>
      </c>
      <c r="B22" s="29" t="s">
        <v>66</v>
      </c>
      <c r="C22" s="29" t="s">
        <v>117</v>
      </c>
      <c r="D22" s="29" t="s">
        <v>22</v>
      </c>
      <c r="E22" s="33" t="s">
        <v>130</v>
      </c>
      <c r="F22" s="33" t="s">
        <v>115</v>
      </c>
      <c r="G22" s="47" t="s">
        <v>116</v>
      </c>
      <c r="H22" s="33" t="s">
        <v>131</v>
      </c>
      <c r="I22" s="43">
        <v>6.9433969910850388</v>
      </c>
      <c r="J22" s="39">
        <v>6.3444422201305457</v>
      </c>
      <c r="K22" s="43">
        <v>2900</v>
      </c>
      <c r="L22" s="59">
        <v>41971.214224738593</v>
      </c>
      <c r="M22" s="59">
        <v>17511.352680649339</v>
      </c>
      <c r="N22" s="59">
        <v>11400</v>
      </c>
      <c r="O22" s="59">
        <v>70882.566905387939</v>
      </c>
      <c r="P22" s="59">
        <v>36000</v>
      </c>
      <c r="Q22" s="60">
        <v>106882.56690538794</v>
      </c>
    </row>
    <row r="23" spans="1:17" x14ac:dyDescent="0.25">
      <c r="A23" s="30">
        <v>22</v>
      </c>
      <c r="B23" s="30" t="s">
        <v>69</v>
      </c>
      <c r="C23" s="30" t="s">
        <v>124</v>
      </c>
      <c r="D23" s="30" t="s">
        <v>2</v>
      </c>
      <c r="E23" s="34" t="s">
        <v>112</v>
      </c>
      <c r="F23" s="34" t="s">
        <v>63</v>
      </c>
      <c r="G23" s="48">
        <v>2020</v>
      </c>
      <c r="H23" s="34" t="s">
        <v>113</v>
      </c>
      <c r="I23" s="42">
        <v>8.5572888357740542</v>
      </c>
      <c r="J23" s="38">
        <v>3.0291773948414247</v>
      </c>
      <c r="K23" s="42">
        <v>1900</v>
      </c>
      <c r="L23" s="61">
        <v>22255.780277088084</v>
      </c>
      <c r="M23" s="61">
        <v>11420.447400423482</v>
      </c>
      <c r="N23" s="61">
        <v>11900</v>
      </c>
      <c r="O23" s="61">
        <v>45576.227677511568</v>
      </c>
      <c r="P23" s="61">
        <v>36000</v>
      </c>
      <c r="Q23" s="62">
        <v>81576.227677511575</v>
      </c>
    </row>
    <row r="24" spans="1:17" x14ac:dyDescent="0.25">
      <c r="A24" s="29">
        <v>23</v>
      </c>
      <c r="B24" s="29" t="s">
        <v>69</v>
      </c>
      <c r="C24" s="29" t="s">
        <v>124</v>
      </c>
      <c r="D24" s="29" t="s">
        <v>2</v>
      </c>
      <c r="E24" s="33" t="s">
        <v>114</v>
      </c>
      <c r="F24" s="33" t="s">
        <v>128</v>
      </c>
      <c r="G24" s="47">
        <v>2018</v>
      </c>
      <c r="H24" s="33" t="s">
        <v>114</v>
      </c>
      <c r="I24" s="43">
        <v>17.527489465012966</v>
      </c>
      <c r="J24" s="39">
        <v>0.78423707313208679</v>
      </c>
      <c r="K24" s="43">
        <v>1900</v>
      </c>
      <c r="L24" s="59">
        <v>10865.739812694012</v>
      </c>
      <c r="M24" s="59">
        <v>6090.9052802258566</v>
      </c>
      <c r="N24" s="59">
        <v>10700</v>
      </c>
      <c r="O24" s="59">
        <v>27656.645092919869</v>
      </c>
      <c r="P24" s="59">
        <v>36000</v>
      </c>
      <c r="Q24" s="60">
        <v>63656.645092919869</v>
      </c>
    </row>
    <row r="25" spans="1:17" x14ac:dyDescent="0.25">
      <c r="A25" s="30">
        <v>24</v>
      </c>
      <c r="B25" s="30" t="s">
        <v>74</v>
      </c>
      <c r="C25" s="30" t="s">
        <v>133</v>
      </c>
      <c r="D25" s="30" t="s">
        <v>17</v>
      </c>
      <c r="E25" s="34" t="s">
        <v>121</v>
      </c>
      <c r="F25" s="34" t="s">
        <v>128</v>
      </c>
      <c r="G25" s="48">
        <v>2013</v>
      </c>
      <c r="H25" s="34" t="s">
        <v>121</v>
      </c>
      <c r="I25" s="42">
        <v>9.8850325042295175</v>
      </c>
      <c r="J25" s="38">
        <v>1.3434882381767432</v>
      </c>
      <c r="K25" s="42">
        <v>1800</v>
      </c>
      <c r="L25" s="61">
        <v>16514.804651662827</v>
      </c>
      <c r="M25" s="61">
        <v>11420.447400423482</v>
      </c>
      <c r="N25" s="61">
        <v>8600</v>
      </c>
      <c r="O25" s="61">
        <v>36535.252052086311</v>
      </c>
      <c r="P25" s="61">
        <v>36000</v>
      </c>
      <c r="Q25" s="62">
        <v>72535.252052086318</v>
      </c>
    </row>
    <row r="26" spans="1:17" x14ac:dyDescent="0.25">
      <c r="A26" s="29">
        <v>25</v>
      </c>
      <c r="B26" s="29" t="s">
        <v>71</v>
      </c>
      <c r="C26" s="29" t="s">
        <v>127</v>
      </c>
      <c r="D26" s="29" t="s">
        <v>18</v>
      </c>
      <c r="E26" s="33" t="s">
        <v>112</v>
      </c>
      <c r="F26" s="33" t="s">
        <v>115</v>
      </c>
      <c r="G26" s="47" t="s">
        <v>116</v>
      </c>
      <c r="H26" s="33" t="s">
        <v>113</v>
      </c>
      <c r="I26" s="43">
        <v>12.597885435760045</v>
      </c>
      <c r="J26" s="39">
        <v>2.7317924077831095</v>
      </c>
      <c r="K26" s="43">
        <v>3000</v>
      </c>
      <c r="L26" s="59">
        <v>18708.575521938008</v>
      </c>
      <c r="M26" s="59">
        <v>11420.447400423482</v>
      </c>
      <c r="N26" s="59">
        <v>15100</v>
      </c>
      <c r="O26" s="59">
        <v>45229.022922361488</v>
      </c>
      <c r="P26" s="59">
        <v>36000</v>
      </c>
      <c r="Q26" s="60">
        <v>81229.022922361488</v>
      </c>
    </row>
    <row r="27" spans="1:17" x14ac:dyDescent="0.25">
      <c r="A27" s="30">
        <v>26</v>
      </c>
      <c r="B27" s="30" t="s">
        <v>71</v>
      </c>
      <c r="C27" s="30" t="s">
        <v>127</v>
      </c>
      <c r="D27" s="30" t="s">
        <v>18</v>
      </c>
      <c r="E27" s="34" t="s">
        <v>123</v>
      </c>
      <c r="F27" s="34" t="s">
        <v>63</v>
      </c>
      <c r="G27" s="48">
        <v>2019</v>
      </c>
      <c r="H27" s="34" t="s">
        <v>123</v>
      </c>
      <c r="I27" s="42">
        <v>16.206961290646341</v>
      </c>
      <c r="J27" s="38">
        <v>0.97146367060579686</v>
      </c>
      <c r="K27" s="42">
        <v>3000</v>
      </c>
      <c r="L27" s="61">
        <v>14542.423275093808</v>
      </c>
      <c r="M27" s="61">
        <v>7613.6316002823205</v>
      </c>
      <c r="N27" s="61">
        <v>10200</v>
      </c>
      <c r="O27" s="61">
        <v>32356.054875376129</v>
      </c>
      <c r="P27" s="61">
        <v>36000</v>
      </c>
      <c r="Q27" s="62">
        <v>68356.054875376125</v>
      </c>
    </row>
    <row r="28" spans="1:17" x14ac:dyDescent="0.25">
      <c r="A28" s="29">
        <v>27</v>
      </c>
      <c r="B28" s="29" t="s">
        <v>71</v>
      </c>
      <c r="C28" s="29" t="s">
        <v>127</v>
      </c>
      <c r="D28" s="29" t="s">
        <v>18</v>
      </c>
      <c r="E28" s="33" t="s">
        <v>134</v>
      </c>
      <c r="F28" s="33" t="s">
        <v>63</v>
      </c>
      <c r="G28" s="47">
        <v>2018</v>
      </c>
      <c r="H28" s="33" t="s">
        <v>134</v>
      </c>
      <c r="I28" s="43">
        <v>9.9226528824228826</v>
      </c>
      <c r="J28" s="39">
        <v>1.6651510049498304</v>
      </c>
      <c r="K28" s="43">
        <v>3000</v>
      </c>
      <c r="L28" s="59">
        <v>23752.568379081509</v>
      </c>
      <c r="M28" s="59">
        <v>8374.9947603105538</v>
      </c>
      <c r="N28" s="59">
        <v>10500</v>
      </c>
      <c r="O28" s="59">
        <v>42627.563139392063</v>
      </c>
      <c r="P28" s="59">
        <v>36000</v>
      </c>
      <c r="Q28" s="60">
        <v>78627.563139392063</v>
      </c>
    </row>
    <row r="29" spans="1:17" x14ac:dyDescent="0.25">
      <c r="A29" s="30">
        <v>28</v>
      </c>
      <c r="B29" s="30" t="s">
        <v>71</v>
      </c>
      <c r="C29" s="30" t="s">
        <v>127</v>
      </c>
      <c r="D29" s="30" t="s">
        <v>8</v>
      </c>
      <c r="E29" s="34" t="s">
        <v>114</v>
      </c>
      <c r="F29" s="34" t="s">
        <v>63</v>
      </c>
      <c r="G29" s="48">
        <v>2013</v>
      </c>
      <c r="H29" s="34" t="s">
        <v>114</v>
      </c>
      <c r="I29" s="42">
        <v>18.889971546597494</v>
      </c>
      <c r="J29" s="38">
        <v>0.79022382032227789</v>
      </c>
      <c r="K29" s="42">
        <v>3000</v>
      </c>
      <c r="L29" s="61">
        <v>12476.910857713416</v>
      </c>
      <c r="M29" s="61">
        <v>6090.9052802258566</v>
      </c>
      <c r="N29" s="61">
        <v>10700</v>
      </c>
      <c r="O29" s="61">
        <v>29267.816137939273</v>
      </c>
      <c r="P29" s="61">
        <v>36000</v>
      </c>
      <c r="Q29" s="62">
        <v>65267.81613793927</v>
      </c>
    </row>
    <row r="30" spans="1:17" x14ac:dyDescent="0.25">
      <c r="A30" s="29">
        <v>29</v>
      </c>
      <c r="B30" s="29" t="s">
        <v>71</v>
      </c>
      <c r="C30" s="29" t="s">
        <v>127</v>
      </c>
      <c r="D30" s="29" t="s">
        <v>8</v>
      </c>
      <c r="E30" s="33" t="s">
        <v>134</v>
      </c>
      <c r="F30" s="33" t="s">
        <v>128</v>
      </c>
      <c r="G30" s="47">
        <v>2015</v>
      </c>
      <c r="H30" s="33" t="s">
        <v>134</v>
      </c>
      <c r="I30" s="43">
        <v>9.9226528824228826</v>
      </c>
      <c r="J30" s="39">
        <v>1.6651510049498304</v>
      </c>
      <c r="K30" s="43">
        <v>3000</v>
      </c>
      <c r="L30" s="59">
        <v>23752.568379081509</v>
      </c>
      <c r="M30" s="59">
        <v>8374.9947603105538</v>
      </c>
      <c r="N30" s="59">
        <v>10500</v>
      </c>
      <c r="O30" s="59">
        <v>42627.563139392063</v>
      </c>
      <c r="P30" s="59">
        <v>36000</v>
      </c>
      <c r="Q30" s="60">
        <v>78627.563139392063</v>
      </c>
    </row>
    <row r="31" spans="1:17" x14ac:dyDescent="0.25">
      <c r="A31" s="30">
        <v>30</v>
      </c>
      <c r="B31" s="30" t="s">
        <v>66</v>
      </c>
      <c r="C31" s="30" t="s">
        <v>117</v>
      </c>
      <c r="D31" s="30" t="s">
        <v>31</v>
      </c>
      <c r="E31" s="34" t="s">
        <v>123</v>
      </c>
      <c r="F31" s="34" t="s">
        <v>63</v>
      </c>
      <c r="G31" s="48">
        <v>2013</v>
      </c>
      <c r="H31" s="34" t="s">
        <v>123</v>
      </c>
      <c r="I31" s="42">
        <v>13.451738176402987</v>
      </c>
      <c r="J31" s="38">
        <v>1.4794834103460122</v>
      </c>
      <c r="K31" s="42">
        <v>2900</v>
      </c>
      <c r="L31" s="61">
        <v>21664.323133455633</v>
      </c>
      <c r="M31" s="61">
        <v>7613.6316002823205</v>
      </c>
      <c r="N31" s="61">
        <v>7600</v>
      </c>
      <c r="O31" s="61">
        <v>36877.954733737955</v>
      </c>
      <c r="P31" s="61">
        <v>36000</v>
      </c>
      <c r="Q31" s="62">
        <v>72877.954733737948</v>
      </c>
    </row>
    <row r="32" spans="1:17" x14ac:dyDescent="0.25">
      <c r="A32" s="29">
        <v>31</v>
      </c>
      <c r="B32" s="29" t="s">
        <v>76</v>
      </c>
      <c r="C32" s="29" t="s">
        <v>136</v>
      </c>
      <c r="D32" s="29" t="s">
        <v>26</v>
      </c>
      <c r="E32" s="33" t="s">
        <v>123</v>
      </c>
      <c r="F32" s="33" t="s">
        <v>128</v>
      </c>
      <c r="G32" s="47">
        <v>2011</v>
      </c>
      <c r="H32" s="33" t="s">
        <v>123</v>
      </c>
      <c r="I32" s="43">
        <v>12.342261159350826</v>
      </c>
      <c r="J32" s="39">
        <v>1.4205369964896497</v>
      </c>
      <c r="K32" s="43">
        <v>2400</v>
      </c>
      <c r="L32" s="59">
        <v>19100.862449123269</v>
      </c>
      <c r="M32" s="59">
        <v>7613.6316002823205</v>
      </c>
      <c r="N32" s="59">
        <v>6500</v>
      </c>
      <c r="O32" s="59">
        <v>33214.494049405592</v>
      </c>
      <c r="P32" s="59">
        <v>36000</v>
      </c>
      <c r="Q32" s="60">
        <v>69214.494049405592</v>
      </c>
    </row>
    <row r="33" spans="1:17" x14ac:dyDescent="0.25">
      <c r="A33" s="30">
        <v>32</v>
      </c>
      <c r="B33" s="30" t="s">
        <v>70</v>
      </c>
      <c r="C33" s="30" t="s">
        <v>125</v>
      </c>
      <c r="D33" s="30" t="s">
        <v>13</v>
      </c>
      <c r="E33" s="34" t="s">
        <v>112</v>
      </c>
      <c r="F33" s="34" t="s">
        <v>115</v>
      </c>
      <c r="G33" s="48" t="s">
        <v>116</v>
      </c>
      <c r="H33" s="34" t="s">
        <v>113</v>
      </c>
      <c r="I33" s="42">
        <v>13.044642984582476</v>
      </c>
      <c r="J33" s="38">
        <v>2.042136553081618</v>
      </c>
      <c r="K33" s="42">
        <v>2900</v>
      </c>
      <c r="L33" s="61">
        <v>22100.936769178697</v>
      </c>
      <c r="M33" s="61">
        <v>11420.447400423482</v>
      </c>
      <c r="N33" s="61">
        <v>18700</v>
      </c>
      <c r="O33" s="61">
        <v>52221.384169602177</v>
      </c>
      <c r="P33" s="61">
        <v>36000</v>
      </c>
      <c r="Q33" s="62">
        <v>88221.384169602185</v>
      </c>
    </row>
    <row r="34" spans="1:17" x14ac:dyDescent="0.25">
      <c r="A34" s="29">
        <v>33</v>
      </c>
      <c r="B34" s="29" t="s">
        <v>70</v>
      </c>
      <c r="C34" s="29" t="s">
        <v>125</v>
      </c>
      <c r="D34" s="29" t="s">
        <v>13</v>
      </c>
      <c r="E34" s="33" t="s">
        <v>114</v>
      </c>
      <c r="F34" s="33" t="s">
        <v>128</v>
      </c>
      <c r="G34" s="47">
        <v>2013</v>
      </c>
      <c r="H34" s="33" t="s">
        <v>114</v>
      </c>
      <c r="I34" s="43">
        <v>17.294647938760768</v>
      </c>
      <c r="J34" s="39">
        <v>1.0764283836997799</v>
      </c>
      <c r="K34" s="43">
        <v>2900</v>
      </c>
      <c r="L34" s="59">
        <v>16669.829348340325</v>
      </c>
      <c r="M34" s="59">
        <v>6090.9052802258566</v>
      </c>
      <c r="N34" s="59">
        <v>11500</v>
      </c>
      <c r="O34" s="59">
        <v>34260.734628566177</v>
      </c>
      <c r="P34" s="59">
        <v>36000</v>
      </c>
      <c r="Q34" s="60">
        <v>70260.734628566177</v>
      </c>
    </row>
    <row r="35" spans="1:17" x14ac:dyDescent="0.25">
      <c r="A35" s="30">
        <v>34</v>
      </c>
      <c r="B35" s="30" t="s">
        <v>71</v>
      </c>
      <c r="C35" s="30" t="s">
        <v>127</v>
      </c>
      <c r="D35" s="30" t="s">
        <v>43</v>
      </c>
      <c r="E35" s="34" t="s">
        <v>123</v>
      </c>
      <c r="F35" s="34" t="s">
        <v>128</v>
      </c>
      <c r="G35" s="48">
        <v>2015</v>
      </c>
      <c r="H35" s="34" t="s">
        <v>123</v>
      </c>
      <c r="I35" s="42">
        <v>16.206961290646341</v>
      </c>
      <c r="J35" s="38">
        <v>0.97146367060579686</v>
      </c>
      <c r="K35" s="42">
        <v>3000</v>
      </c>
      <c r="L35" s="61">
        <v>14542.423275093808</v>
      </c>
      <c r="M35" s="61">
        <v>7613.6316002823205</v>
      </c>
      <c r="N35" s="61">
        <v>10200</v>
      </c>
      <c r="O35" s="61">
        <v>32356.054875376129</v>
      </c>
      <c r="P35" s="61">
        <v>36000</v>
      </c>
      <c r="Q35" s="62">
        <v>68356.054875376125</v>
      </c>
    </row>
    <row r="36" spans="1:17" x14ac:dyDescent="0.25">
      <c r="A36" s="29">
        <v>35</v>
      </c>
      <c r="B36" s="29" t="s">
        <v>70</v>
      </c>
      <c r="C36" s="29" t="s">
        <v>125</v>
      </c>
      <c r="D36" s="29" t="s">
        <v>29</v>
      </c>
      <c r="E36" s="33" t="s">
        <v>123</v>
      </c>
      <c r="F36" s="33" t="s">
        <v>128</v>
      </c>
      <c r="G36" s="47">
        <v>2014</v>
      </c>
      <c r="H36" s="33" t="s">
        <v>123</v>
      </c>
      <c r="I36" s="43">
        <v>6.5028597954101208</v>
      </c>
      <c r="J36" s="39">
        <v>1.2307641755925045</v>
      </c>
      <c r="K36" s="43">
        <v>2900</v>
      </c>
      <c r="L36" s="59">
        <v>44334.160484631124</v>
      </c>
      <c r="M36" s="59">
        <v>7613.6316002823205</v>
      </c>
      <c r="N36" s="59">
        <v>11200</v>
      </c>
      <c r="O36" s="59">
        <v>63147.792084913446</v>
      </c>
      <c r="P36" s="59">
        <v>36000</v>
      </c>
      <c r="Q36" s="60">
        <v>99147.792084913439</v>
      </c>
    </row>
    <row r="37" spans="1:17" x14ac:dyDescent="0.25">
      <c r="A37" s="30">
        <v>36</v>
      </c>
      <c r="B37" s="30" t="s">
        <v>67</v>
      </c>
      <c r="C37" s="30" t="s">
        <v>120</v>
      </c>
      <c r="D37" s="30" t="s">
        <v>47</v>
      </c>
      <c r="E37" s="34" t="s">
        <v>114</v>
      </c>
      <c r="F37" s="34" t="s">
        <v>63</v>
      </c>
      <c r="G37" s="48">
        <v>2012</v>
      </c>
      <c r="H37" s="34" t="s">
        <v>114</v>
      </c>
      <c r="I37" s="42">
        <v>9.3641429387747763</v>
      </c>
      <c r="J37" s="38">
        <v>0.9429848152367003</v>
      </c>
      <c r="K37" s="42">
        <v>2700</v>
      </c>
      <c r="L37" s="61">
        <v>32700.275181934616</v>
      </c>
      <c r="M37" s="61">
        <v>6090.9052802258566</v>
      </c>
      <c r="N37" s="61">
        <v>7800</v>
      </c>
      <c r="O37" s="61">
        <v>46591.180462160475</v>
      </c>
      <c r="P37" s="61">
        <v>36000</v>
      </c>
      <c r="Q37" s="62">
        <v>82591.180462160468</v>
      </c>
    </row>
    <row r="38" spans="1:17" x14ac:dyDescent="0.25">
      <c r="A38" s="29">
        <v>37</v>
      </c>
      <c r="B38" s="29" t="s">
        <v>68</v>
      </c>
      <c r="C38" s="29" t="s">
        <v>122</v>
      </c>
      <c r="D38" s="29" t="s">
        <v>39</v>
      </c>
      <c r="E38" s="33" t="s">
        <v>121</v>
      </c>
      <c r="F38" s="33" t="s">
        <v>63</v>
      </c>
      <c r="G38" s="47">
        <v>2015</v>
      </c>
      <c r="H38" s="33" t="s">
        <v>121</v>
      </c>
      <c r="I38" s="43">
        <v>11.216814907083885</v>
      </c>
      <c r="J38" s="39">
        <v>1.4849540362195355</v>
      </c>
      <c r="K38" s="43">
        <v>2600</v>
      </c>
      <c r="L38" s="59">
        <v>18738.720654163106</v>
      </c>
      <c r="M38" s="59">
        <v>11420.447400423482</v>
      </c>
      <c r="N38" s="59">
        <v>11200</v>
      </c>
      <c r="O38" s="59">
        <v>41359.168054586589</v>
      </c>
      <c r="P38" s="59">
        <v>36000</v>
      </c>
      <c r="Q38" s="60">
        <v>77359.168054586597</v>
      </c>
    </row>
    <row r="39" spans="1:17" x14ac:dyDescent="0.25">
      <c r="A39" s="30">
        <v>38</v>
      </c>
      <c r="B39" s="30" t="s">
        <v>66</v>
      </c>
      <c r="C39" s="30" t="s">
        <v>117</v>
      </c>
      <c r="D39" s="30" t="s">
        <v>24</v>
      </c>
      <c r="E39" s="34" t="s">
        <v>118</v>
      </c>
      <c r="F39" s="34" t="s">
        <v>115</v>
      </c>
      <c r="G39" s="48" t="s">
        <v>116</v>
      </c>
      <c r="H39" s="34" t="s">
        <v>119</v>
      </c>
      <c r="I39" s="42">
        <v>6.5525461364709248</v>
      </c>
      <c r="J39" s="38">
        <v>6.5900268382448797</v>
      </c>
      <c r="K39" s="42">
        <v>2900</v>
      </c>
      <c r="L39" s="61">
        <v>44474.742564298867</v>
      </c>
      <c r="M39" s="61">
        <v>17511.352680649339</v>
      </c>
      <c r="N39" s="61">
        <v>12500</v>
      </c>
      <c r="O39" s="61">
        <v>74486.095244948199</v>
      </c>
      <c r="P39" s="61">
        <v>36000</v>
      </c>
      <c r="Q39" s="62">
        <v>110486.0952449482</v>
      </c>
    </row>
    <row r="40" spans="1:17" x14ac:dyDescent="0.25">
      <c r="A40" s="29">
        <v>39</v>
      </c>
      <c r="B40" s="29" t="s">
        <v>71</v>
      </c>
      <c r="C40" s="29" t="s">
        <v>127</v>
      </c>
      <c r="D40" s="29" t="s">
        <v>33</v>
      </c>
      <c r="E40" s="33" t="s">
        <v>123</v>
      </c>
      <c r="F40" s="33" t="s">
        <v>128</v>
      </c>
      <c r="G40" s="47">
        <v>2014</v>
      </c>
      <c r="H40" s="33" t="s">
        <v>123</v>
      </c>
      <c r="I40" s="43">
        <v>16.206961290646341</v>
      </c>
      <c r="J40" s="39">
        <v>0.97146367060579686</v>
      </c>
      <c r="K40" s="43">
        <v>3000</v>
      </c>
      <c r="L40" s="59">
        <v>14542.423275093808</v>
      </c>
      <c r="M40" s="59">
        <v>7613.6316002823205</v>
      </c>
      <c r="N40" s="59">
        <v>10200</v>
      </c>
      <c r="O40" s="59">
        <v>32356.054875376129</v>
      </c>
      <c r="P40" s="59">
        <v>36000</v>
      </c>
      <c r="Q40" s="60">
        <v>68356.054875376125</v>
      </c>
    </row>
    <row r="41" spans="1:17" x14ac:dyDescent="0.25">
      <c r="A41" s="30">
        <v>40</v>
      </c>
      <c r="B41" s="30" t="s">
        <v>74</v>
      </c>
      <c r="C41" s="30" t="s">
        <v>133</v>
      </c>
      <c r="D41" s="30" t="s">
        <v>4</v>
      </c>
      <c r="E41" s="34" t="s">
        <v>137</v>
      </c>
      <c r="F41" s="34" t="s">
        <v>128</v>
      </c>
      <c r="G41" s="48">
        <v>2014</v>
      </c>
      <c r="H41" s="34" t="s">
        <v>137</v>
      </c>
      <c r="I41" s="42">
        <v>13.840671454814565</v>
      </c>
      <c r="J41" s="38">
        <v>1.6537934308679081</v>
      </c>
      <c r="K41" s="42">
        <v>1800</v>
      </c>
      <c r="L41" s="61">
        <v>11794.903254198736</v>
      </c>
      <c r="M41" s="61">
        <v>9897.7210803670168</v>
      </c>
      <c r="N41" s="61">
        <v>9300</v>
      </c>
      <c r="O41" s="61">
        <v>30992.624334565753</v>
      </c>
      <c r="P41" s="61">
        <v>36000</v>
      </c>
      <c r="Q41" s="62">
        <v>66992.624334565757</v>
      </c>
    </row>
    <row r="42" spans="1:17" x14ac:dyDescent="0.25">
      <c r="A42" s="29">
        <v>41</v>
      </c>
      <c r="B42" s="29" t="s">
        <v>74</v>
      </c>
      <c r="C42" s="29" t="s">
        <v>133</v>
      </c>
      <c r="D42" s="29" t="s">
        <v>4</v>
      </c>
      <c r="E42" s="33" t="s">
        <v>114</v>
      </c>
      <c r="F42" s="33" t="s">
        <v>128</v>
      </c>
      <c r="G42" s="47">
        <v>2020</v>
      </c>
      <c r="H42" s="33" t="s">
        <v>114</v>
      </c>
      <c r="I42" s="43">
        <v>15.252132362435546</v>
      </c>
      <c r="J42" s="39">
        <v>0.44282249549748876</v>
      </c>
      <c r="K42" s="43">
        <v>1800</v>
      </c>
      <c r="L42" s="59">
        <v>10703.38080626382</v>
      </c>
      <c r="M42" s="59">
        <v>6090.9052802258566</v>
      </c>
      <c r="N42" s="59">
        <v>6200</v>
      </c>
      <c r="O42" s="59">
        <v>22994.286086489676</v>
      </c>
      <c r="P42" s="59">
        <v>36000</v>
      </c>
      <c r="Q42" s="60">
        <v>58994.286086489679</v>
      </c>
    </row>
    <row r="43" spans="1:17" x14ac:dyDescent="0.25">
      <c r="A43" s="30">
        <v>42</v>
      </c>
      <c r="B43" s="30" t="s">
        <v>68</v>
      </c>
      <c r="C43" s="30" t="s">
        <v>132</v>
      </c>
      <c r="D43" s="30" t="s">
        <v>28</v>
      </c>
      <c r="E43" s="34" t="s">
        <v>114</v>
      </c>
      <c r="F43" s="34" t="s">
        <v>63</v>
      </c>
      <c r="G43" s="48">
        <v>2012</v>
      </c>
      <c r="H43" s="34" t="s">
        <v>114</v>
      </c>
      <c r="I43" s="42">
        <v>17.157710528177709</v>
      </c>
      <c r="J43" s="38">
        <v>1.0426350561035722</v>
      </c>
      <c r="K43" s="42">
        <v>3100</v>
      </c>
      <c r="L43" s="61">
        <v>16815.46394439719</v>
      </c>
      <c r="M43" s="61">
        <v>6090.9052802258566</v>
      </c>
      <c r="N43" s="61">
        <v>11800</v>
      </c>
      <c r="O43" s="61">
        <v>34706.369224623049</v>
      </c>
      <c r="P43" s="61">
        <v>36000</v>
      </c>
      <c r="Q43" s="62">
        <v>70706.369224623049</v>
      </c>
    </row>
    <row r="44" spans="1:17" x14ac:dyDescent="0.25">
      <c r="A44" s="29">
        <v>43</v>
      </c>
      <c r="B44" s="29" t="s">
        <v>70</v>
      </c>
      <c r="C44" s="29" t="s">
        <v>125</v>
      </c>
      <c r="D44" s="29" t="s">
        <v>19</v>
      </c>
      <c r="E44" s="33" t="s">
        <v>114</v>
      </c>
      <c r="F44" s="33" t="s">
        <v>128</v>
      </c>
      <c r="G44" s="47">
        <v>2019</v>
      </c>
      <c r="H44" s="33" t="s">
        <v>114</v>
      </c>
      <c r="I44" s="43">
        <v>17.294647938760768</v>
      </c>
      <c r="J44" s="39">
        <v>1.0764283836997799</v>
      </c>
      <c r="K44" s="43">
        <v>2900</v>
      </c>
      <c r="L44" s="59">
        <v>16669.829348340325</v>
      </c>
      <c r="M44" s="59">
        <v>6090.9052802258566</v>
      </c>
      <c r="N44" s="59">
        <v>11500</v>
      </c>
      <c r="O44" s="59">
        <v>34260.734628566177</v>
      </c>
      <c r="P44" s="59">
        <v>36000</v>
      </c>
      <c r="Q44" s="60">
        <v>70260.734628566177</v>
      </c>
    </row>
    <row r="45" spans="1:17" x14ac:dyDescent="0.25">
      <c r="A45" s="30">
        <v>44</v>
      </c>
      <c r="B45" s="30" t="s">
        <v>66</v>
      </c>
      <c r="C45" s="30" t="s">
        <v>117</v>
      </c>
      <c r="D45" s="30" t="s">
        <v>3</v>
      </c>
      <c r="E45" s="34" t="s">
        <v>118</v>
      </c>
      <c r="F45" s="34" t="s">
        <v>115</v>
      </c>
      <c r="G45" s="48" t="s">
        <v>116</v>
      </c>
      <c r="H45" s="34" t="s">
        <v>119</v>
      </c>
      <c r="I45" s="42">
        <v>6.5525461364709248</v>
      </c>
      <c r="J45" s="38">
        <v>6.5900268382448797</v>
      </c>
      <c r="K45" s="42">
        <v>2900</v>
      </c>
      <c r="L45" s="61">
        <v>44474.742564298867</v>
      </c>
      <c r="M45" s="61">
        <v>17511.352680649339</v>
      </c>
      <c r="N45" s="61">
        <v>12500</v>
      </c>
      <c r="O45" s="61">
        <v>74486.095244948199</v>
      </c>
      <c r="P45" s="61">
        <v>36000</v>
      </c>
      <c r="Q45" s="62">
        <v>110486.0952449482</v>
      </c>
    </row>
    <row r="46" spans="1:17" x14ac:dyDescent="0.25">
      <c r="A46" s="29">
        <v>45</v>
      </c>
      <c r="B46" s="29" t="s">
        <v>67</v>
      </c>
      <c r="C46" s="29" t="s">
        <v>120</v>
      </c>
      <c r="D46" s="29" t="s">
        <v>45</v>
      </c>
      <c r="E46" s="33" t="s">
        <v>114</v>
      </c>
      <c r="F46" s="33" t="s">
        <v>128</v>
      </c>
      <c r="G46" s="47">
        <v>2020</v>
      </c>
      <c r="H46" s="33" t="s">
        <v>114</v>
      </c>
      <c r="I46" s="43">
        <v>9.3641429387747763</v>
      </c>
      <c r="J46" s="39">
        <v>0.9429848152367003</v>
      </c>
      <c r="K46" s="43">
        <v>2700</v>
      </c>
      <c r="L46" s="59">
        <v>32700.275181934616</v>
      </c>
      <c r="M46" s="59">
        <v>6090.9052802258566</v>
      </c>
      <c r="N46" s="59">
        <v>7800</v>
      </c>
      <c r="O46" s="59">
        <v>46591.180462160475</v>
      </c>
      <c r="P46" s="59">
        <v>36000</v>
      </c>
      <c r="Q46" s="60">
        <v>82591.180462160468</v>
      </c>
    </row>
    <row r="47" spans="1:17" x14ac:dyDescent="0.25">
      <c r="A47" s="30">
        <v>46</v>
      </c>
      <c r="B47" s="30" t="s">
        <v>71</v>
      </c>
      <c r="C47" s="30" t="s">
        <v>127</v>
      </c>
      <c r="D47" s="30" t="s">
        <v>34</v>
      </c>
      <c r="E47" s="34" t="s">
        <v>134</v>
      </c>
      <c r="F47" s="34" t="s">
        <v>128</v>
      </c>
      <c r="G47" s="48">
        <v>2014</v>
      </c>
      <c r="H47" s="34" t="s">
        <v>134</v>
      </c>
      <c r="I47" s="42">
        <v>9.9226528824228826</v>
      </c>
      <c r="J47" s="38">
        <v>1.6651510049498304</v>
      </c>
      <c r="K47" s="42">
        <v>3000</v>
      </c>
      <c r="L47" s="61">
        <v>23752.568379081509</v>
      </c>
      <c r="M47" s="61">
        <v>8374.9947603105538</v>
      </c>
      <c r="N47" s="61">
        <v>10500</v>
      </c>
      <c r="O47" s="61">
        <v>42627.563139392063</v>
      </c>
      <c r="P47" s="61">
        <v>36000</v>
      </c>
      <c r="Q47" s="62">
        <v>78627.563139392063</v>
      </c>
    </row>
    <row r="48" spans="1:17" x14ac:dyDescent="0.25">
      <c r="A48" s="29">
        <v>47</v>
      </c>
      <c r="B48" s="29" t="s">
        <v>71</v>
      </c>
      <c r="C48" s="29" t="s">
        <v>127</v>
      </c>
      <c r="D48" s="29" t="s">
        <v>34</v>
      </c>
      <c r="E48" s="33" t="s">
        <v>123</v>
      </c>
      <c r="F48" s="33" t="s">
        <v>128</v>
      </c>
      <c r="G48" s="47">
        <v>2018</v>
      </c>
      <c r="H48" s="33" t="s">
        <v>123</v>
      </c>
      <c r="I48" s="43">
        <v>16.206961290646341</v>
      </c>
      <c r="J48" s="39">
        <v>0.97146367060579686</v>
      </c>
      <c r="K48" s="43">
        <v>3000</v>
      </c>
      <c r="L48" s="59">
        <v>14542.423275093808</v>
      </c>
      <c r="M48" s="59">
        <v>7613.6316002823205</v>
      </c>
      <c r="N48" s="59">
        <v>10200</v>
      </c>
      <c r="O48" s="59">
        <v>32356.054875376129</v>
      </c>
      <c r="P48" s="59">
        <v>36000</v>
      </c>
      <c r="Q48" s="60">
        <v>68356.054875376125</v>
      </c>
    </row>
    <row r="49" spans="1:17" x14ac:dyDescent="0.25">
      <c r="A49" s="30">
        <v>48</v>
      </c>
      <c r="B49" s="30" t="s">
        <v>77</v>
      </c>
      <c r="C49" s="30" t="s">
        <v>138</v>
      </c>
      <c r="D49" s="30" t="s">
        <v>44</v>
      </c>
      <c r="E49" s="34" t="s">
        <v>114</v>
      </c>
      <c r="F49" s="34" t="s">
        <v>128</v>
      </c>
      <c r="G49" s="48">
        <v>2015</v>
      </c>
      <c r="H49" s="34" t="s">
        <v>114</v>
      </c>
      <c r="I49" s="42">
        <v>10.173410042173559</v>
      </c>
      <c r="J49" s="38">
        <v>1.020976097530419</v>
      </c>
      <c r="K49" s="42">
        <v>1800</v>
      </c>
      <c r="L49" s="61">
        <v>14495.51069292958</v>
      </c>
      <c r="M49" s="61">
        <v>6090.9052802258566</v>
      </c>
      <c r="N49" s="61">
        <v>9700</v>
      </c>
      <c r="O49" s="61">
        <v>30286.415973155435</v>
      </c>
      <c r="P49" s="61">
        <v>36000</v>
      </c>
      <c r="Q49" s="62">
        <v>66286.415973155439</v>
      </c>
    </row>
    <row r="50" spans="1:17" x14ac:dyDescent="0.25">
      <c r="A50" s="29">
        <v>49</v>
      </c>
      <c r="B50" s="29" t="s">
        <v>78</v>
      </c>
      <c r="C50" s="29" t="s">
        <v>139</v>
      </c>
      <c r="D50" s="29" t="s">
        <v>21</v>
      </c>
      <c r="E50" s="33" t="s">
        <v>121</v>
      </c>
      <c r="F50" s="33" t="s">
        <v>63</v>
      </c>
      <c r="G50" s="47">
        <v>2019</v>
      </c>
      <c r="H50" s="33" t="s">
        <v>121</v>
      </c>
      <c r="I50" s="43">
        <v>8.6217992604575731</v>
      </c>
      <c r="J50" s="39">
        <v>1.7903212444492185</v>
      </c>
      <c r="K50" s="43">
        <v>2000</v>
      </c>
      <c r="L50" s="59">
        <v>23052.631423483541</v>
      </c>
      <c r="M50" s="59">
        <v>11420.447400423482</v>
      </c>
      <c r="N50" s="59">
        <v>10200</v>
      </c>
      <c r="O50" s="59">
        <v>44673.078823907024</v>
      </c>
      <c r="P50" s="59">
        <v>36000</v>
      </c>
      <c r="Q50" s="60">
        <v>80673.078823907024</v>
      </c>
    </row>
    <row r="51" spans="1:17" x14ac:dyDescent="0.25">
      <c r="A51" s="30">
        <v>50</v>
      </c>
      <c r="B51" s="30" t="s">
        <v>78</v>
      </c>
      <c r="C51" s="30" t="s">
        <v>139</v>
      </c>
      <c r="D51" s="30" t="s">
        <v>21</v>
      </c>
      <c r="E51" s="34" t="s">
        <v>121</v>
      </c>
      <c r="F51" s="34" t="s">
        <v>128</v>
      </c>
      <c r="G51" s="48">
        <v>2018</v>
      </c>
      <c r="H51" s="34" t="s">
        <v>121</v>
      </c>
      <c r="I51" s="42">
        <v>8.6217992604575731</v>
      </c>
      <c r="J51" s="38">
        <v>1.7903212444492185</v>
      </c>
      <c r="K51" s="42">
        <v>2000</v>
      </c>
      <c r="L51" s="61">
        <v>23052.631423483541</v>
      </c>
      <c r="M51" s="61">
        <v>11420.447400423482</v>
      </c>
      <c r="N51" s="61">
        <v>10200</v>
      </c>
      <c r="O51" s="61">
        <v>44673.078823907024</v>
      </c>
      <c r="P51" s="61">
        <v>36000</v>
      </c>
      <c r="Q51" s="62">
        <v>80673.078823907024</v>
      </c>
    </row>
    <row r="52" spans="1:17" x14ac:dyDescent="0.25">
      <c r="A52" s="29">
        <v>51</v>
      </c>
      <c r="B52" s="29" t="s">
        <v>66</v>
      </c>
      <c r="C52" s="29" t="s">
        <v>117</v>
      </c>
      <c r="D52" s="29" t="s">
        <v>20</v>
      </c>
      <c r="E52" s="33" t="s">
        <v>118</v>
      </c>
      <c r="F52" s="33" t="s">
        <v>115</v>
      </c>
      <c r="G52" s="47" t="s">
        <v>116</v>
      </c>
      <c r="H52" s="33" t="s">
        <v>119</v>
      </c>
      <c r="I52" s="43">
        <v>6.5525461364709248</v>
      </c>
      <c r="J52" s="39">
        <v>6.5900268382448797</v>
      </c>
      <c r="K52" s="43">
        <v>2900</v>
      </c>
      <c r="L52" s="59">
        <v>44474.742564298867</v>
      </c>
      <c r="M52" s="59">
        <v>17511.352680649339</v>
      </c>
      <c r="N52" s="59">
        <v>12500</v>
      </c>
      <c r="O52" s="59">
        <v>74486.095244948199</v>
      </c>
      <c r="P52" s="59">
        <v>36000</v>
      </c>
      <c r="Q52" s="60">
        <v>110486.0952449482</v>
      </c>
    </row>
    <row r="53" spans="1:17" x14ac:dyDescent="0.25">
      <c r="A53" s="30">
        <v>52</v>
      </c>
      <c r="B53" s="30" t="s">
        <v>68</v>
      </c>
      <c r="C53" s="30" t="s">
        <v>122</v>
      </c>
      <c r="D53" s="30" t="s">
        <v>41</v>
      </c>
      <c r="E53" s="34" t="s">
        <v>121</v>
      </c>
      <c r="F53" s="34" t="s">
        <v>63</v>
      </c>
      <c r="G53" s="48">
        <v>2011</v>
      </c>
      <c r="H53" s="34" t="s">
        <v>121</v>
      </c>
      <c r="I53" s="42">
        <v>11.216814907083885</v>
      </c>
      <c r="J53" s="38">
        <v>1.4849540362195355</v>
      </c>
      <c r="K53" s="42">
        <v>2600</v>
      </c>
      <c r="L53" s="61">
        <v>18738.720654163106</v>
      </c>
      <c r="M53" s="61">
        <v>11420.447400423482</v>
      </c>
      <c r="N53" s="61">
        <v>11200</v>
      </c>
      <c r="O53" s="61">
        <v>41359.168054586589</v>
      </c>
      <c r="P53" s="61">
        <v>36000</v>
      </c>
      <c r="Q53" s="62">
        <v>77359.168054586597</v>
      </c>
    </row>
    <row r="54" spans="1:17" x14ac:dyDescent="0.25">
      <c r="A54" s="29">
        <v>53</v>
      </c>
      <c r="B54" s="29" t="s">
        <v>71</v>
      </c>
      <c r="C54" s="29" t="s">
        <v>127</v>
      </c>
      <c r="D54" s="29" t="s">
        <v>48</v>
      </c>
      <c r="E54" s="33" t="s">
        <v>123</v>
      </c>
      <c r="F54" s="33" t="s">
        <v>128</v>
      </c>
      <c r="G54" s="47">
        <v>2015</v>
      </c>
      <c r="H54" s="33" t="s">
        <v>123</v>
      </c>
      <c r="I54" s="43">
        <v>16.206961290646341</v>
      </c>
      <c r="J54" s="39">
        <v>0.97146367060579686</v>
      </c>
      <c r="K54" s="43">
        <v>3000</v>
      </c>
      <c r="L54" s="59">
        <v>14542.423275093808</v>
      </c>
      <c r="M54" s="59">
        <v>7613.6316002823205</v>
      </c>
      <c r="N54" s="59">
        <v>10200</v>
      </c>
      <c r="O54" s="59">
        <v>32356.054875376129</v>
      </c>
      <c r="P54" s="59">
        <v>36000</v>
      </c>
      <c r="Q54" s="60">
        <v>68356.054875376125</v>
      </c>
    </row>
    <row r="55" spans="1:17" x14ac:dyDescent="0.25">
      <c r="A55" s="30">
        <v>54</v>
      </c>
      <c r="B55" s="30" t="s">
        <v>70</v>
      </c>
      <c r="C55" s="30" t="s">
        <v>125</v>
      </c>
      <c r="D55" s="30" t="s">
        <v>27</v>
      </c>
      <c r="E55" s="34" t="s">
        <v>114</v>
      </c>
      <c r="F55" s="34" t="s">
        <v>128</v>
      </c>
      <c r="G55" s="48">
        <v>2019</v>
      </c>
      <c r="H55" s="34" t="s">
        <v>114</v>
      </c>
      <c r="I55" s="42">
        <v>17.294647938760768</v>
      </c>
      <c r="J55" s="38">
        <v>1.0764283836997799</v>
      </c>
      <c r="K55" s="42">
        <v>2900</v>
      </c>
      <c r="L55" s="61">
        <v>16669.829348340325</v>
      </c>
      <c r="M55" s="61">
        <v>6090.9052802258566</v>
      </c>
      <c r="N55" s="61">
        <v>11500</v>
      </c>
      <c r="O55" s="61">
        <v>34260.734628566177</v>
      </c>
      <c r="P55" s="61">
        <v>36000</v>
      </c>
      <c r="Q55" s="62">
        <v>70260.734628566177</v>
      </c>
    </row>
    <row r="56" spans="1:17" x14ac:dyDescent="0.25">
      <c r="A56" s="29">
        <v>55</v>
      </c>
      <c r="B56" s="29" t="s">
        <v>68</v>
      </c>
      <c r="C56" s="29" t="s">
        <v>122</v>
      </c>
      <c r="D56" s="29" t="s">
        <v>35</v>
      </c>
      <c r="E56" s="33" t="s">
        <v>118</v>
      </c>
      <c r="F56" s="33" t="s">
        <v>115</v>
      </c>
      <c r="G56" s="47" t="s">
        <v>116</v>
      </c>
      <c r="H56" s="33" t="s">
        <v>119</v>
      </c>
      <c r="I56" s="43">
        <v>4.6995094079618678</v>
      </c>
      <c r="J56" s="39">
        <v>2.6680743558814162</v>
      </c>
      <c r="K56" s="43">
        <v>2600</v>
      </c>
      <c r="L56" s="59">
        <v>44725.681539693796</v>
      </c>
      <c r="M56" s="59">
        <v>17511.352680649339</v>
      </c>
      <c r="N56" s="59">
        <v>11200</v>
      </c>
      <c r="O56" s="59">
        <v>73437.034220343136</v>
      </c>
      <c r="P56" s="59">
        <v>36000</v>
      </c>
      <c r="Q56" s="60">
        <v>109437.03422034314</v>
      </c>
    </row>
    <row r="57" spans="1:17" x14ac:dyDescent="0.25">
      <c r="A57" s="30">
        <v>56</v>
      </c>
      <c r="B57" s="30" t="s">
        <v>68</v>
      </c>
      <c r="C57" s="30" t="s">
        <v>122</v>
      </c>
      <c r="D57" s="30" t="s">
        <v>35</v>
      </c>
      <c r="E57" s="34" t="s">
        <v>121</v>
      </c>
      <c r="F57" s="34" t="s">
        <v>63</v>
      </c>
      <c r="G57" s="48">
        <v>2018</v>
      </c>
      <c r="H57" s="34" t="s">
        <v>121</v>
      </c>
      <c r="I57" s="42">
        <v>11.216814907083885</v>
      </c>
      <c r="J57" s="38">
        <v>1.4849540362195355</v>
      </c>
      <c r="K57" s="42">
        <v>2600</v>
      </c>
      <c r="L57" s="61">
        <v>18738.720654163106</v>
      </c>
      <c r="M57" s="61">
        <v>11420.447400423482</v>
      </c>
      <c r="N57" s="61">
        <v>11200</v>
      </c>
      <c r="O57" s="61">
        <v>41359.168054586589</v>
      </c>
      <c r="P57" s="61">
        <v>36000</v>
      </c>
      <c r="Q57" s="62">
        <v>77359.168054586597</v>
      </c>
    </row>
    <row r="58" spans="1:17" x14ac:dyDescent="0.25">
      <c r="A58" s="29">
        <v>57</v>
      </c>
      <c r="B58" s="29" t="s">
        <v>68</v>
      </c>
      <c r="C58" s="29" t="s">
        <v>122</v>
      </c>
      <c r="D58" s="29" t="s">
        <v>35</v>
      </c>
      <c r="E58" s="33" t="s">
        <v>137</v>
      </c>
      <c r="F58" s="33" t="s">
        <v>63</v>
      </c>
      <c r="G58" s="47">
        <v>2018</v>
      </c>
      <c r="H58" s="33" t="s">
        <v>137</v>
      </c>
      <c r="I58" s="43">
        <v>8.0856008470429561</v>
      </c>
      <c r="J58" s="39">
        <v>1.2007936330416782</v>
      </c>
      <c r="K58" s="43">
        <v>2600</v>
      </c>
      <c r="L58" s="59">
        <v>25995.441173696705</v>
      </c>
      <c r="M58" s="59">
        <v>9897.7210803670168</v>
      </c>
      <c r="N58" s="59">
        <v>9800</v>
      </c>
      <c r="O58" s="59">
        <v>45693.162254063718</v>
      </c>
      <c r="P58" s="59">
        <v>36000</v>
      </c>
      <c r="Q58" s="60">
        <v>81693.162254063718</v>
      </c>
    </row>
    <row r="59" spans="1:17" x14ac:dyDescent="0.25">
      <c r="A59" s="30">
        <v>58</v>
      </c>
      <c r="B59" s="30" t="s">
        <v>68</v>
      </c>
      <c r="C59" s="30" t="s">
        <v>122</v>
      </c>
      <c r="D59" s="30" t="s">
        <v>35</v>
      </c>
      <c r="E59" s="34" t="s">
        <v>114</v>
      </c>
      <c r="F59" s="34" t="s">
        <v>63</v>
      </c>
      <c r="G59" s="48">
        <v>2014</v>
      </c>
      <c r="H59" s="34" t="s">
        <v>114</v>
      </c>
      <c r="I59" s="42">
        <v>7.7853868200690899</v>
      </c>
      <c r="J59" s="38">
        <v>0.75264980525332092</v>
      </c>
      <c r="K59" s="42">
        <v>2600</v>
      </c>
      <c r="L59" s="61">
        <v>26997.857143266792</v>
      </c>
      <c r="M59" s="61">
        <v>6090.9052802258566</v>
      </c>
      <c r="N59" s="61">
        <v>6900</v>
      </c>
      <c r="O59" s="61">
        <v>39988.762423492648</v>
      </c>
      <c r="P59" s="61">
        <v>36000</v>
      </c>
      <c r="Q59" s="62">
        <v>75988.762423492648</v>
      </c>
    </row>
    <row r="60" spans="1:17" x14ac:dyDescent="0.25">
      <c r="A60" s="29">
        <v>59</v>
      </c>
      <c r="B60" s="29" t="s">
        <v>72</v>
      </c>
      <c r="C60" s="29" t="s">
        <v>129</v>
      </c>
      <c r="D60" s="29" t="s">
        <v>36</v>
      </c>
      <c r="E60" s="33" t="s">
        <v>121</v>
      </c>
      <c r="F60" s="33" t="s">
        <v>63</v>
      </c>
      <c r="G60" s="47">
        <v>2019</v>
      </c>
      <c r="H60" s="33" t="s">
        <v>121</v>
      </c>
      <c r="I60" s="43">
        <v>12.660297306770655</v>
      </c>
      <c r="J60" s="39">
        <v>0.76558845019723076</v>
      </c>
      <c r="K60" s="43">
        <v>1800</v>
      </c>
      <c r="L60" s="59">
        <v>13447.273572351289</v>
      </c>
      <c r="M60" s="59">
        <v>11420.447400423482</v>
      </c>
      <c r="N60" s="59">
        <v>11800</v>
      </c>
      <c r="O60" s="59">
        <v>36667.720972774769</v>
      </c>
      <c r="P60" s="59">
        <v>36000</v>
      </c>
      <c r="Q60" s="60">
        <v>72667.720972774769</v>
      </c>
    </row>
    <row r="61" spans="1:17" x14ac:dyDescent="0.25">
      <c r="A61" s="30">
        <v>60</v>
      </c>
      <c r="B61" s="30" t="s">
        <v>65</v>
      </c>
      <c r="C61" s="30" t="s">
        <v>111</v>
      </c>
      <c r="D61" s="30" t="s">
        <v>10</v>
      </c>
      <c r="E61" s="37" t="s">
        <v>140</v>
      </c>
      <c r="F61" s="37" t="s">
        <v>115</v>
      </c>
      <c r="G61" s="49" t="s">
        <v>116</v>
      </c>
      <c r="H61" s="37" t="s">
        <v>141</v>
      </c>
      <c r="I61" s="44">
        <v>7</v>
      </c>
      <c r="J61" s="40">
        <v>6.5</v>
      </c>
      <c r="K61" s="44">
        <v>1600</v>
      </c>
      <c r="L61" s="63">
        <v>21097.142857142859</v>
      </c>
      <c r="M61" s="63">
        <v>19034.079000705802</v>
      </c>
      <c r="N61" s="63">
        <v>11080</v>
      </c>
      <c r="O61" s="63">
        <v>51211.221857848665</v>
      </c>
      <c r="P61" s="63">
        <v>36000</v>
      </c>
      <c r="Q61" s="63">
        <v>87211.221857848665</v>
      </c>
    </row>
    <row r="62" spans="1:17" x14ac:dyDescent="0.25">
      <c r="A62" s="29">
        <v>61</v>
      </c>
      <c r="B62" s="29" t="s">
        <v>73</v>
      </c>
      <c r="C62" s="29" t="s">
        <v>117</v>
      </c>
      <c r="D62" s="29" t="s">
        <v>9</v>
      </c>
      <c r="E62" s="33" t="s">
        <v>123</v>
      </c>
      <c r="F62" s="33" t="s">
        <v>63</v>
      </c>
      <c r="G62" s="47">
        <v>2010</v>
      </c>
      <c r="H62" s="33" t="s">
        <v>123</v>
      </c>
      <c r="I62" s="43">
        <v>13.451738176402987</v>
      </c>
      <c r="J62" s="39">
        <v>1.4794834103460122</v>
      </c>
      <c r="K62" s="43">
        <v>2900</v>
      </c>
      <c r="L62" s="59">
        <v>21664.323133455633</v>
      </c>
      <c r="M62" s="59">
        <v>7613.6316002823205</v>
      </c>
      <c r="N62" s="59">
        <v>7600</v>
      </c>
      <c r="O62" s="59">
        <v>36877.954733737955</v>
      </c>
      <c r="P62" s="59">
        <v>36000</v>
      </c>
      <c r="Q62" s="60">
        <v>72877.954733737948</v>
      </c>
    </row>
    <row r="63" spans="1:17" x14ac:dyDescent="0.25">
      <c r="A63" s="30">
        <v>62</v>
      </c>
      <c r="B63" s="30" t="s">
        <v>73</v>
      </c>
      <c r="C63" s="30" t="s">
        <v>132</v>
      </c>
      <c r="D63" s="30" t="s">
        <v>15</v>
      </c>
      <c r="E63" s="34" t="s">
        <v>123</v>
      </c>
      <c r="F63" s="34" t="s">
        <v>63</v>
      </c>
      <c r="G63" s="48">
        <v>2015</v>
      </c>
      <c r="H63" s="34" t="s">
        <v>123</v>
      </c>
      <c r="I63" s="42">
        <v>17.133678707427691</v>
      </c>
      <c r="J63" s="38">
        <v>1.8308787786446832</v>
      </c>
      <c r="K63" s="42">
        <v>3100</v>
      </c>
      <c r="L63" s="61">
        <v>16839.049434836263</v>
      </c>
      <c r="M63" s="61">
        <v>7613.6316002823205</v>
      </c>
      <c r="N63" s="61">
        <v>11700</v>
      </c>
      <c r="O63" s="61">
        <v>36152.681035118585</v>
      </c>
      <c r="P63" s="61">
        <v>36000</v>
      </c>
      <c r="Q63" s="62">
        <v>72152.681035118585</v>
      </c>
    </row>
    <row r="64" spans="1:17" x14ac:dyDescent="0.25">
      <c r="A64" s="31">
        <v>63</v>
      </c>
      <c r="B64" s="31" t="s">
        <v>71</v>
      </c>
      <c r="C64" s="31" t="s">
        <v>127</v>
      </c>
      <c r="D64" s="31" t="s">
        <v>14</v>
      </c>
      <c r="E64" s="35" t="s">
        <v>112</v>
      </c>
      <c r="F64" s="35" t="s">
        <v>63</v>
      </c>
      <c r="G64" s="50">
        <v>2015</v>
      </c>
      <c r="H64" s="35" t="s">
        <v>113</v>
      </c>
      <c r="I64" s="45">
        <v>12.597885435760045</v>
      </c>
      <c r="J64" s="41">
        <v>2.7317924077831095</v>
      </c>
      <c r="K64" s="45">
        <v>3000</v>
      </c>
      <c r="L64" s="64">
        <v>18708.575521938008</v>
      </c>
      <c r="M64" s="64">
        <v>11420.447400423482</v>
      </c>
      <c r="N64" s="64">
        <v>15100</v>
      </c>
      <c r="O64" s="64">
        <v>45229.022922361488</v>
      </c>
      <c r="P64" s="64">
        <v>36000</v>
      </c>
      <c r="Q64" s="65">
        <v>81229.022922361488</v>
      </c>
    </row>
  </sheetData>
  <autoFilter ref="A1:Q6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69"/>
  <sheetViews>
    <sheetView zoomScaleNormal="100" workbookViewId="0">
      <selection activeCell="D4" sqref="D4"/>
    </sheetView>
  </sheetViews>
  <sheetFormatPr defaultColWidth="12.5703125" defaultRowHeight="15.75" customHeight="1" x14ac:dyDescent="0.25"/>
  <cols>
    <col min="1" max="1" width="8.140625" style="5" customWidth="1"/>
    <col min="2" max="2" width="32.85546875" style="5" bestFit="1" customWidth="1"/>
    <col min="3" max="3" width="17.28515625" style="5" bestFit="1" customWidth="1"/>
    <col min="4" max="4" width="13.7109375" style="5" customWidth="1"/>
    <col min="5" max="5" width="15.140625" style="5" customWidth="1"/>
    <col min="6" max="6" width="12" style="5" customWidth="1"/>
    <col min="7" max="8" width="11.140625" style="5" customWidth="1"/>
    <col min="9" max="9" width="0" style="5" hidden="1" customWidth="1"/>
    <col min="10" max="10" width="11.28515625" style="5" hidden="1" customWidth="1"/>
    <col min="11" max="11" width="15" style="5" hidden="1" customWidth="1"/>
    <col min="12" max="12" width="18" style="5" hidden="1" customWidth="1"/>
    <col min="13" max="13" width="11.140625" style="5" hidden="1" customWidth="1"/>
    <col min="14" max="14" width="17.5703125" style="5" hidden="1" customWidth="1"/>
    <col min="15" max="15" width="15" style="5" hidden="1" customWidth="1"/>
    <col min="16" max="19" width="0" style="5" hidden="1" customWidth="1"/>
    <col min="20" max="20" width="6.140625" style="5" hidden="1" customWidth="1"/>
    <col min="21" max="21" width="10.42578125" style="5" customWidth="1"/>
    <col min="22" max="22" width="8.5703125" style="5" customWidth="1"/>
    <col min="23" max="23" width="6.85546875" style="5" customWidth="1"/>
    <col min="24" max="24" width="10.85546875" style="5" customWidth="1"/>
    <col min="25" max="25" width="10.5703125" style="5" customWidth="1"/>
    <col min="26" max="26" width="12.7109375" style="5" customWidth="1"/>
    <col min="27" max="27" width="13" style="5" customWidth="1"/>
    <col min="28" max="31" width="17.5703125" style="5" customWidth="1"/>
    <col min="32" max="32" width="14.85546875" style="5" customWidth="1"/>
    <col min="33" max="33" width="19.5703125" style="5" customWidth="1"/>
    <col min="34" max="34" width="22.7109375" style="5" customWidth="1"/>
    <col min="35" max="35" width="11.28515625" style="5" customWidth="1"/>
    <col min="36" max="36" width="14.5703125" style="5" customWidth="1"/>
    <col min="37" max="37" width="12.5703125" style="5"/>
    <col min="38" max="38" width="12.7109375" style="5" customWidth="1"/>
    <col min="39" max="16384" width="12.5703125" style="5"/>
  </cols>
  <sheetData>
    <row r="1" spans="1:39" ht="15.75" customHeight="1" x14ac:dyDescent="0.25">
      <c r="A1" s="76" t="s">
        <v>79</v>
      </c>
      <c r="B1" s="76" t="s">
        <v>80</v>
      </c>
      <c r="C1" s="76" t="s">
        <v>81</v>
      </c>
      <c r="D1" s="76" t="s">
        <v>142</v>
      </c>
      <c r="E1" s="77" t="s">
        <v>82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AF1" s="9"/>
      <c r="AG1" s="8"/>
      <c r="AH1" s="8"/>
      <c r="AJ1" s="10"/>
      <c r="AM1" s="11"/>
    </row>
    <row r="2" spans="1:39" ht="15.75" customHeight="1" x14ac:dyDescent="0.25">
      <c r="A2" s="68">
        <v>1022</v>
      </c>
      <c r="B2" s="68" t="s">
        <v>2</v>
      </c>
      <c r="C2" s="68" t="s">
        <v>69</v>
      </c>
      <c r="D2" s="69">
        <v>4</v>
      </c>
      <c r="E2" s="70">
        <v>66343</v>
      </c>
      <c r="F2" s="12"/>
      <c r="G2" s="12"/>
      <c r="H2" s="12"/>
      <c r="I2" s="13"/>
      <c r="M2" s="13"/>
      <c r="O2" s="14"/>
      <c r="T2" s="11"/>
      <c r="U2" s="11"/>
      <c r="V2" s="11"/>
      <c r="W2" s="11"/>
      <c r="X2" s="11"/>
      <c r="AF2" s="9"/>
      <c r="AG2" s="8"/>
      <c r="AH2" s="8"/>
      <c r="AJ2" s="10"/>
      <c r="AM2" s="11"/>
    </row>
    <row r="3" spans="1:39" ht="15.75" customHeight="1" x14ac:dyDescent="0.25">
      <c r="A3" s="71">
        <v>1057</v>
      </c>
      <c r="B3" s="71" t="s">
        <v>5</v>
      </c>
      <c r="C3" s="71" t="s">
        <v>72</v>
      </c>
      <c r="D3" s="72">
        <v>3</v>
      </c>
      <c r="E3" s="73">
        <v>34688.666666666664</v>
      </c>
      <c r="F3" s="12"/>
      <c r="G3" s="12"/>
      <c r="H3" s="12"/>
      <c r="I3" s="13"/>
      <c r="M3" s="13"/>
      <c r="O3" s="14"/>
      <c r="S3" s="15"/>
      <c r="T3" s="11"/>
      <c r="U3" s="11"/>
      <c r="V3" s="11"/>
      <c r="W3" s="11"/>
      <c r="X3" s="11"/>
      <c r="AF3" s="9"/>
      <c r="AG3" s="8"/>
      <c r="AH3" s="8"/>
      <c r="AJ3" s="10"/>
      <c r="AM3" s="11"/>
    </row>
    <row r="4" spans="1:39" ht="15.75" customHeight="1" x14ac:dyDescent="0.25">
      <c r="A4" s="68">
        <v>1061</v>
      </c>
      <c r="B4" s="68" t="s">
        <v>83</v>
      </c>
      <c r="C4" s="68" t="s">
        <v>66</v>
      </c>
      <c r="D4" s="69">
        <v>5</v>
      </c>
      <c r="E4" s="70">
        <v>29269</v>
      </c>
      <c r="F4" s="12"/>
      <c r="G4" s="12"/>
      <c r="H4" s="12"/>
      <c r="I4" s="13"/>
      <c r="M4" s="13"/>
      <c r="O4" s="14"/>
      <c r="T4" s="11"/>
      <c r="U4" s="11"/>
      <c r="V4" s="11"/>
      <c r="W4" s="11"/>
      <c r="X4" s="11"/>
      <c r="AF4" s="9"/>
      <c r="AG4" s="8"/>
      <c r="AH4" s="8"/>
      <c r="AJ4" s="10"/>
      <c r="AM4" s="11"/>
    </row>
    <row r="5" spans="1:39" ht="15.75" customHeight="1" thickBot="1" x14ac:dyDescent="0.25">
      <c r="A5" s="71">
        <v>1070</v>
      </c>
      <c r="B5" s="71" t="s">
        <v>7</v>
      </c>
      <c r="C5" s="71" t="s">
        <v>65</v>
      </c>
      <c r="D5" s="72">
        <v>5</v>
      </c>
      <c r="E5" s="73">
        <v>36413.599999999999</v>
      </c>
      <c r="F5" s="12"/>
      <c r="G5" s="12"/>
      <c r="H5" s="12"/>
      <c r="I5" s="13"/>
      <c r="M5" s="13"/>
      <c r="O5" s="14"/>
      <c r="T5" s="11"/>
      <c r="U5" s="11"/>
      <c r="V5" s="11"/>
      <c r="W5" s="11"/>
      <c r="X5" s="11"/>
      <c r="AF5" s="9"/>
      <c r="AG5" s="8"/>
      <c r="AH5" s="8"/>
      <c r="AJ5" s="10"/>
      <c r="AM5" s="11"/>
    </row>
    <row r="6" spans="1:39" ht="15.75" customHeight="1" x14ac:dyDescent="0.25">
      <c r="A6" s="68">
        <v>1107</v>
      </c>
      <c r="B6" s="68" t="s">
        <v>11</v>
      </c>
      <c r="C6" s="68" t="s">
        <v>70</v>
      </c>
      <c r="D6" s="69">
        <v>5</v>
      </c>
      <c r="E6" s="70">
        <v>14851.2</v>
      </c>
      <c r="F6" s="12"/>
      <c r="G6" s="12"/>
      <c r="H6" s="12"/>
      <c r="I6" s="13"/>
      <c r="J6" s="112" t="s">
        <v>84</v>
      </c>
      <c r="K6" s="113"/>
      <c r="L6" s="113"/>
      <c r="M6" s="113"/>
      <c r="N6" s="113"/>
      <c r="O6" s="114"/>
      <c r="S6" s="19"/>
      <c r="T6" s="11"/>
      <c r="U6" s="11"/>
      <c r="V6" s="11"/>
      <c r="W6" s="11"/>
      <c r="X6" s="11"/>
      <c r="AF6" s="9"/>
      <c r="AG6" s="8"/>
      <c r="AH6" s="8"/>
      <c r="AJ6" s="10"/>
      <c r="AM6" s="11"/>
    </row>
    <row r="7" spans="1:39" ht="15.75" customHeight="1" x14ac:dyDescent="0.25">
      <c r="A7" s="71">
        <v>1104</v>
      </c>
      <c r="B7" s="71" t="s">
        <v>9</v>
      </c>
      <c r="C7" s="71" t="s">
        <v>73</v>
      </c>
      <c r="D7" s="72">
        <v>5</v>
      </c>
      <c r="E7" s="73">
        <v>5479.6</v>
      </c>
      <c r="F7" s="12"/>
      <c r="G7" s="12"/>
      <c r="H7" s="12"/>
      <c r="I7" s="13"/>
      <c r="J7" s="115"/>
      <c r="K7" s="116"/>
      <c r="L7" s="116"/>
      <c r="M7" s="116"/>
      <c r="N7" s="116"/>
      <c r="O7" s="117"/>
      <c r="T7" s="11"/>
      <c r="U7" s="11"/>
      <c r="V7" s="11"/>
      <c r="W7" s="11"/>
      <c r="X7" s="11"/>
      <c r="AF7" s="9"/>
      <c r="AG7" s="8"/>
      <c r="AH7" s="8"/>
      <c r="AJ7" s="10"/>
      <c r="AM7" s="11"/>
    </row>
    <row r="8" spans="1:39" ht="15.75" customHeight="1" x14ac:dyDescent="0.25">
      <c r="A8" s="68">
        <v>1105</v>
      </c>
      <c r="B8" s="68" t="s">
        <v>10</v>
      </c>
      <c r="C8" s="68" t="s">
        <v>65</v>
      </c>
      <c r="D8" s="69">
        <v>5</v>
      </c>
      <c r="E8" s="70">
        <v>12176.6</v>
      </c>
      <c r="F8" s="12"/>
      <c r="G8" s="12"/>
      <c r="H8" s="12"/>
      <c r="I8" s="13"/>
      <c r="J8" s="115"/>
      <c r="K8" s="116"/>
      <c r="L8" s="116"/>
      <c r="M8" s="116"/>
      <c r="N8" s="116"/>
      <c r="O8" s="117"/>
      <c r="T8" s="11"/>
      <c r="U8" s="11"/>
      <c r="V8" s="11"/>
      <c r="W8" s="11"/>
      <c r="X8" s="11"/>
      <c r="AF8" s="9"/>
      <c r="AG8" s="8"/>
      <c r="AH8" s="8"/>
      <c r="AJ8" s="10"/>
      <c r="AM8" s="11"/>
    </row>
    <row r="9" spans="1:39" ht="15.75" customHeight="1" x14ac:dyDescent="0.25">
      <c r="A9" s="71">
        <v>1143</v>
      </c>
      <c r="B9" s="71" t="s">
        <v>12</v>
      </c>
      <c r="C9" s="71" t="s">
        <v>66</v>
      </c>
      <c r="D9" s="72">
        <v>5</v>
      </c>
      <c r="E9" s="73">
        <v>30367.4</v>
      </c>
      <c r="F9" s="12"/>
      <c r="G9" s="12"/>
      <c r="H9" s="12"/>
      <c r="I9" s="13"/>
      <c r="J9" s="115"/>
      <c r="K9" s="116"/>
      <c r="L9" s="116"/>
      <c r="M9" s="116"/>
      <c r="N9" s="116"/>
      <c r="O9" s="117"/>
      <c r="T9" s="11"/>
      <c r="U9" s="11"/>
      <c r="V9" s="11"/>
      <c r="W9" s="11"/>
      <c r="X9" s="11"/>
    </row>
    <row r="10" spans="1:39" ht="15.75" customHeight="1" x14ac:dyDescent="0.25">
      <c r="A10" s="68">
        <v>1146</v>
      </c>
      <c r="B10" s="68" t="s">
        <v>13</v>
      </c>
      <c r="C10" s="68" t="s">
        <v>70</v>
      </c>
      <c r="D10" s="69">
        <v>5</v>
      </c>
      <c r="E10" s="70">
        <v>15057.4</v>
      </c>
      <c r="F10" s="12"/>
      <c r="G10" s="12"/>
      <c r="H10" s="12"/>
      <c r="I10" s="13"/>
      <c r="J10" s="115"/>
      <c r="K10" s="116"/>
      <c r="L10" s="116"/>
      <c r="M10" s="116"/>
      <c r="N10" s="116"/>
      <c r="O10" s="117"/>
      <c r="T10" s="11"/>
      <c r="U10" s="11"/>
      <c r="V10" s="11"/>
      <c r="W10" s="11"/>
      <c r="X10" s="11"/>
    </row>
    <row r="11" spans="1:39" ht="15.75" customHeight="1" x14ac:dyDescent="0.25">
      <c r="A11" s="71">
        <v>1203</v>
      </c>
      <c r="B11" s="71" t="s">
        <v>85</v>
      </c>
      <c r="C11" s="71" t="s">
        <v>71</v>
      </c>
      <c r="D11" s="72">
        <v>5</v>
      </c>
      <c r="E11" s="73">
        <v>7678</v>
      </c>
      <c r="F11" s="12"/>
      <c r="G11" s="12"/>
      <c r="H11" s="12"/>
      <c r="I11" s="13"/>
      <c r="J11" s="115"/>
      <c r="K11" s="116"/>
      <c r="L11" s="116"/>
      <c r="M11" s="116"/>
      <c r="N11" s="116"/>
      <c r="O11" s="117"/>
      <c r="T11" s="11"/>
      <c r="U11" s="11"/>
      <c r="V11" s="11"/>
      <c r="W11" s="11"/>
      <c r="X11" s="11"/>
      <c r="AK11" s="8"/>
    </row>
    <row r="12" spans="1:39" ht="15.75" customHeight="1" x14ac:dyDescent="0.25">
      <c r="A12" s="68">
        <v>1229</v>
      </c>
      <c r="B12" s="68" t="s">
        <v>19</v>
      </c>
      <c r="C12" s="68" t="s">
        <v>70</v>
      </c>
      <c r="D12" s="69">
        <v>14</v>
      </c>
      <c r="E12" s="70">
        <v>17967.571428571428</v>
      </c>
      <c r="F12" s="12"/>
      <c r="G12" s="12"/>
      <c r="H12" s="12"/>
      <c r="I12" s="13"/>
      <c r="J12" s="115"/>
      <c r="K12" s="116"/>
      <c r="L12" s="116"/>
      <c r="M12" s="116"/>
      <c r="N12" s="116"/>
      <c r="O12" s="117"/>
      <c r="T12" s="11"/>
      <c r="U12" s="11"/>
      <c r="V12" s="11"/>
      <c r="W12" s="11"/>
      <c r="X12" s="11"/>
      <c r="AK12" s="8"/>
    </row>
    <row r="13" spans="1:39" ht="15.75" customHeight="1" thickBot="1" x14ac:dyDescent="0.3">
      <c r="A13" s="71">
        <v>1217</v>
      </c>
      <c r="B13" s="71" t="s">
        <v>17</v>
      </c>
      <c r="C13" s="71" t="s">
        <v>74</v>
      </c>
      <c r="D13" s="72">
        <v>7</v>
      </c>
      <c r="E13" s="73">
        <v>11221.857142857143</v>
      </c>
      <c r="F13" s="12"/>
      <c r="G13" s="12"/>
      <c r="H13" s="12"/>
      <c r="I13" s="13"/>
      <c r="J13" s="118"/>
      <c r="K13" s="119"/>
      <c r="L13" s="119"/>
      <c r="M13" s="119"/>
      <c r="N13" s="119"/>
      <c r="O13" s="120"/>
      <c r="T13" s="11"/>
      <c r="U13" s="11"/>
      <c r="V13" s="11"/>
      <c r="W13" s="11"/>
      <c r="X13" s="11"/>
      <c r="AK13" s="8"/>
    </row>
    <row r="14" spans="1:39" ht="15.75" customHeight="1" x14ac:dyDescent="0.25">
      <c r="A14" s="68">
        <v>1223</v>
      </c>
      <c r="B14" s="68" t="s">
        <v>18</v>
      </c>
      <c r="C14" s="68" t="s">
        <v>71</v>
      </c>
      <c r="D14" s="69">
        <v>5</v>
      </c>
      <c r="E14" s="70">
        <v>37402.800000000003</v>
      </c>
      <c r="F14" s="12"/>
      <c r="G14" s="12"/>
      <c r="H14" s="12"/>
      <c r="I14" s="13"/>
      <c r="M14" s="13"/>
      <c r="O14" s="14"/>
      <c r="T14" s="11"/>
      <c r="U14" s="11"/>
      <c r="V14" s="11"/>
      <c r="W14" s="11"/>
      <c r="X14" s="11"/>
      <c r="AK14" s="8"/>
    </row>
    <row r="15" spans="1:39" ht="15.75" customHeight="1" thickBot="1" x14ac:dyDescent="0.3">
      <c r="A15" s="71">
        <v>1209</v>
      </c>
      <c r="B15" s="71" t="s">
        <v>16</v>
      </c>
      <c r="C15" s="71" t="s">
        <v>75</v>
      </c>
      <c r="D15" s="72">
        <v>7</v>
      </c>
      <c r="E15" s="73">
        <v>2739.4285714285716</v>
      </c>
      <c r="F15" s="12"/>
      <c r="G15" s="12"/>
      <c r="H15" s="12"/>
      <c r="I15" s="13"/>
      <c r="M15" s="13"/>
      <c r="O15" s="14"/>
      <c r="T15" s="11"/>
      <c r="U15" s="11"/>
      <c r="V15" s="11"/>
      <c r="W15" s="11"/>
      <c r="X15" s="11"/>
      <c r="AK15" s="8"/>
    </row>
    <row r="16" spans="1:39" ht="15.75" customHeight="1" x14ac:dyDescent="0.25">
      <c r="A16" s="68">
        <v>1237</v>
      </c>
      <c r="B16" s="68" t="s">
        <v>20</v>
      </c>
      <c r="C16" s="68" t="s">
        <v>66</v>
      </c>
      <c r="D16" s="69">
        <v>5</v>
      </c>
      <c r="E16" s="70">
        <v>12357.2</v>
      </c>
      <c r="F16" s="12"/>
      <c r="G16" s="12"/>
      <c r="H16" s="12"/>
      <c r="I16" s="13"/>
      <c r="J16" s="112" t="s">
        <v>86</v>
      </c>
      <c r="K16" s="113"/>
      <c r="L16" s="113"/>
      <c r="M16" s="113"/>
      <c r="N16" s="113"/>
      <c r="O16" s="114"/>
      <c r="T16" s="11"/>
      <c r="U16" s="11"/>
      <c r="V16" s="11"/>
      <c r="W16" s="11"/>
      <c r="X16" s="11"/>
      <c r="AK16" s="8"/>
    </row>
    <row r="17" spans="1:37" ht="15.75" customHeight="1" x14ac:dyDescent="0.25">
      <c r="A17" s="71">
        <v>1240</v>
      </c>
      <c r="B17" s="71" t="s">
        <v>21</v>
      </c>
      <c r="C17" s="71" t="s">
        <v>78</v>
      </c>
      <c r="D17" s="72">
        <v>7</v>
      </c>
      <c r="E17" s="73">
        <v>1583.1428571428571</v>
      </c>
      <c r="F17" s="12"/>
      <c r="G17" s="12"/>
      <c r="H17" s="12"/>
      <c r="I17" s="13"/>
      <c r="J17" s="115"/>
      <c r="K17" s="116"/>
      <c r="L17" s="116"/>
      <c r="M17" s="116"/>
      <c r="N17" s="116"/>
      <c r="O17" s="117"/>
      <c r="T17" s="11"/>
      <c r="U17" s="11"/>
      <c r="V17" s="11"/>
      <c r="W17" s="11"/>
      <c r="X17" s="11"/>
      <c r="AK17" s="8"/>
    </row>
    <row r="18" spans="1:37" ht="15.75" customHeight="1" x14ac:dyDescent="0.25">
      <c r="A18" s="68">
        <v>1259</v>
      </c>
      <c r="B18" s="68" t="s">
        <v>22</v>
      </c>
      <c r="C18" s="68" t="s">
        <v>66</v>
      </c>
      <c r="D18" s="69">
        <v>5</v>
      </c>
      <c r="E18" s="70">
        <v>8948.2000000000007</v>
      </c>
      <c r="F18" s="12"/>
      <c r="G18" s="12"/>
      <c r="H18" s="12"/>
      <c r="I18" s="13"/>
      <c r="J18" s="115"/>
      <c r="K18" s="116"/>
      <c r="L18" s="116"/>
      <c r="M18" s="116"/>
      <c r="N18" s="116"/>
      <c r="O18" s="117"/>
      <c r="T18" s="11"/>
      <c r="U18" s="11"/>
      <c r="V18" s="11"/>
      <c r="W18" s="11"/>
      <c r="X18" s="11"/>
      <c r="AK18" s="8"/>
    </row>
    <row r="19" spans="1:37" ht="15.75" customHeight="1" x14ac:dyDescent="0.25">
      <c r="A19" s="71">
        <v>1275</v>
      </c>
      <c r="B19" s="71" t="s">
        <v>23</v>
      </c>
      <c r="C19" s="71" t="s">
        <v>73</v>
      </c>
      <c r="D19" s="72">
        <v>5</v>
      </c>
      <c r="E19" s="73">
        <v>162.47999999999999</v>
      </c>
      <c r="F19" s="23"/>
      <c r="G19" s="12"/>
      <c r="H19" s="12"/>
      <c r="I19" s="13"/>
      <c r="J19" s="115"/>
      <c r="K19" s="116"/>
      <c r="L19" s="116"/>
      <c r="M19" s="116"/>
      <c r="N19" s="116"/>
      <c r="O19" s="117"/>
      <c r="T19" s="11"/>
      <c r="U19" s="11"/>
      <c r="V19" s="11"/>
      <c r="W19" s="11"/>
      <c r="X19" s="11"/>
      <c r="AK19" s="8"/>
    </row>
    <row r="20" spans="1:37" ht="15.75" customHeight="1" thickBot="1" x14ac:dyDescent="0.3">
      <c r="A20" s="68">
        <v>1289</v>
      </c>
      <c r="B20" s="68" t="s">
        <v>24</v>
      </c>
      <c r="C20" s="68" t="s">
        <v>66</v>
      </c>
      <c r="D20" s="69">
        <v>5</v>
      </c>
      <c r="E20" s="70">
        <v>25992</v>
      </c>
      <c r="F20" s="12"/>
      <c r="G20" s="12"/>
      <c r="H20" s="12"/>
      <c r="I20" s="13"/>
      <c r="J20" s="118"/>
      <c r="K20" s="119"/>
      <c r="L20" s="119"/>
      <c r="M20" s="119"/>
      <c r="N20" s="119"/>
      <c r="O20" s="120"/>
      <c r="T20" s="11"/>
      <c r="U20" s="11"/>
      <c r="V20" s="11"/>
      <c r="W20" s="11"/>
      <c r="X20" s="11"/>
    </row>
    <row r="21" spans="1:37" ht="15.75" customHeight="1" x14ac:dyDescent="0.25">
      <c r="A21" s="71">
        <v>1299</v>
      </c>
      <c r="B21" s="71" t="s">
        <v>27</v>
      </c>
      <c r="C21" s="71" t="s">
        <v>70</v>
      </c>
      <c r="D21" s="72">
        <v>5</v>
      </c>
      <c r="E21" s="73">
        <v>9403.6</v>
      </c>
      <c r="F21" s="12"/>
      <c r="G21" s="12"/>
      <c r="H21" s="12"/>
      <c r="I21" s="13"/>
      <c r="J21" s="24"/>
      <c r="K21" s="24"/>
      <c r="L21" s="24"/>
      <c r="M21" s="24"/>
      <c r="N21" s="24"/>
      <c r="O21" s="24"/>
      <c r="T21" s="11"/>
      <c r="U21" s="11"/>
      <c r="V21" s="11"/>
      <c r="W21" s="11"/>
      <c r="X21" s="11"/>
    </row>
    <row r="22" spans="1:37" ht="15.75" customHeight="1" x14ac:dyDescent="0.25">
      <c r="A22" s="68">
        <v>1302</v>
      </c>
      <c r="B22" s="68" t="s">
        <v>28</v>
      </c>
      <c r="C22" s="68" t="s">
        <v>68</v>
      </c>
      <c r="D22" s="69">
        <v>9</v>
      </c>
      <c r="E22" s="70">
        <v>7681.4444444444443</v>
      </c>
      <c r="F22" s="12"/>
      <c r="G22" s="12"/>
      <c r="H22" s="12"/>
      <c r="I22" s="13"/>
      <c r="N22" s="11"/>
      <c r="O22" s="11"/>
      <c r="P22" s="11"/>
      <c r="Q22" s="11"/>
      <c r="R22" s="11"/>
    </row>
    <row r="23" spans="1:37" ht="15.75" customHeight="1" x14ac:dyDescent="0.25">
      <c r="A23" s="71">
        <v>1296</v>
      </c>
      <c r="B23" s="71" t="s">
        <v>25</v>
      </c>
      <c r="C23" s="71" t="s">
        <v>68</v>
      </c>
      <c r="D23" s="72">
        <v>9</v>
      </c>
      <c r="E23" s="73">
        <v>2553.3333333333335</v>
      </c>
      <c r="F23" s="12"/>
      <c r="G23" s="12"/>
      <c r="H23" s="12"/>
      <c r="I23" s="13"/>
      <c r="N23" s="11"/>
      <c r="O23" s="11"/>
      <c r="P23" s="11"/>
      <c r="Q23" s="11"/>
      <c r="R23" s="11"/>
    </row>
    <row r="24" spans="1:37" ht="15.75" customHeight="1" x14ac:dyDescent="0.25">
      <c r="A24" s="68">
        <v>1298</v>
      </c>
      <c r="B24" s="68" t="s">
        <v>26</v>
      </c>
      <c r="C24" s="68" t="s">
        <v>76</v>
      </c>
      <c r="D24" s="69">
        <v>4</v>
      </c>
      <c r="E24" s="70">
        <v>15837.5</v>
      </c>
      <c r="F24" s="12"/>
      <c r="G24" s="12"/>
      <c r="H24" s="12"/>
      <c r="I24" s="13"/>
      <c r="M24" s="13"/>
      <c r="O24" s="14"/>
      <c r="T24" s="11"/>
      <c r="U24" s="11"/>
      <c r="V24" s="11"/>
      <c r="W24" s="11"/>
      <c r="X24" s="11"/>
    </row>
    <row r="25" spans="1:37" ht="15.75" customHeight="1" thickBot="1" x14ac:dyDescent="0.3">
      <c r="A25" s="71">
        <v>1324</v>
      </c>
      <c r="B25" s="71" t="s">
        <v>32</v>
      </c>
      <c r="C25" s="71" t="s">
        <v>68</v>
      </c>
      <c r="D25" s="72">
        <v>9</v>
      </c>
      <c r="E25" s="73">
        <v>4069</v>
      </c>
      <c r="F25" s="12"/>
      <c r="G25" s="12"/>
      <c r="H25" s="12"/>
      <c r="I25" s="13"/>
      <c r="M25" s="13"/>
      <c r="O25" s="14"/>
      <c r="T25" s="11"/>
      <c r="U25" s="11"/>
      <c r="V25" s="11"/>
      <c r="W25" s="11"/>
      <c r="X25" s="11"/>
    </row>
    <row r="26" spans="1:37" ht="15.75" customHeight="1" x14ac:dyDescent="0.25">
      <c r="A26" s="68">
        <v>1331</v>
      </c>
      <c r="B26" s="68" t="s">
        <v>36</v>
      </c>
      <c r="C26" s="68" t="s">
        <v>72</v>
      </c>
      <c r="D26" s="69">
        <v>3</v>
      </c>
      <c r="E26" s="70">
        <v>20175</v>
      </c>
      <c r="F26" s="12"/>
      <c r="G26" s="12"/>
      <c r="H26" s="12"/>
      <c r="I26" s="13"/>
      <c r="J26" s="112" t="s">
        <v>87</v>
      </c>
      <c r="K26" s="113"/>
      <c r="L26" s="113"/>
      <c r="M26" s="113"/>
      <c r="N26" s="113"/>
      <c r="O26" s="114"/>
      <c r="Q26" s="121" t="s">
        <v>88</v>
      </c>
      <c r="S26" s="123" t="s">
        <v>89</v>
      </c>
      <c r="T26" s="11"/>
      <c r="U26" s="11"/>
      <c r="V26" s="11"/>
      <c r="W26" s="11"/>
      <c r="X26" s="11"/>
    </row>
    <row r="27" spans="1:37" ht="15.75" customHeight="1" thickBot="1" x14ac:dyDescent="0.3">
      <c r="A27" s="71">
        <v>1330</v>
      </c>
      <c r="B27" s="71" t="s">
        <v>35</v>
      </c>
      <c r="C27" s="71" t="s">
        <v>68</v>
      </c>
      <c r="D27" s="72">
        <v>9</v>
      </c>
      <c r="E27" s="73">
        <v>11325</v>
      </c>
      <c r="F27" s="12"/>
      <c r="G27" s="12"/>
      <c r="H27" s="12"/>
      <c r="I27" s="13"/>
      <c r="J27" s="118"/>
      <c r="K27" s="119"/>
      <c r="L27" s="119"/>
      <c r="M27" s="119"/>
      <c r="N27" s="119"/>
      <c r="O27" s="120"/>
      <c r="Q27" s="122"/>
      <c r="S27" s="124"/>
      <c r="T27" s="11"/>
      <c r="U27" s="11"/>
      <c r="V27" s="11"/>
      <c r="W27" s="11"/>
      <c r="X27" s="11"/>
    </row>
    <row r="28" spans="1:37" ht="15.75" customHeight="1" thickBot="1" x14ac:dyDescent="0.3">
      <c r="A28" s="68">
        <v>1332</v>
      </c>
      <c r="B28" s="68" t="s">
        <v>37</v>
      </c>
      <c r="C28" s="68" t="s">
        <v>65</v>
      </c>
      <c r="D28" s="69">
        <v>5</v>
      </c>
      <c r="E28" s="70">
        <v>16347.6</v>
      </c>
      <c r="F28" s="12"/>
      <c r="G28" s="12"/>
      <c r="H28" s="12"/>
      <c r="I28" s="13"/>
      <c r="J28" s="24"/>
      <c r="K28" s="24"/>
      <c r="L28" s="24"/>
      <c r="M28" s="24"/>
      <c r="N28" s="24"/>
      <c r="O28" s="24"/>
      <c r="T28" s="11"/>
      <c r="U28" s="11"/>
      <c r="V28" s="11"/>
      <c r="W28" s="11"/>
      <c r="X28" s="11"/>
    </row>
    <row r="29" spans="1:37" ht="15.75" customHeight="1" thickBot="1" x14ac:dyDescent="0.3">
      <c r="A29" s="71">
        <v>1335</v>
      </c>
      <c r="B29" s="71" t="s">
        <v>39</v>
      </c>
      <c r="C29" s="71" t="s">
        <v>68</v>
      </c>
      <c r="D29" s="72">
        <v>9</v>
      </c>
      <c r="E29" s="73">
        <v>9502.6666666666661</v>
      </c>
      <c r="F29" s="12"/>
      <c r="G29" s="12"/>
      <c r="H29" s="12"/>
      <c r="I29" s="13"/>
      <c r="J29" s="13"/>
      <c r="K29" s="106" t="s">
        <v>90</v>
      </c>
      <c r="L29" s="107"/>
      <c r="M29" s="107"/>
      <c r="N29" s="107"/>
      <c r="O29" s="108"/>
      <c r="T29" s="11"/>
      <c r="U29" s="11"/>
      <c r="V29" s="11"/>
      <c r="W29" s="11"/>
      <c r="X29" s="11"/>
    </row>
    <row r="30" spans="1:37" ht="15.75" customHeight="1" thickBot="1" x14ac:dyDescent="0.3">
      <c r="A30" s="68">
        <v>1339</v>
      </c>
      <c r="B30" s="68" t="s">
        <v>42</v>
      </c>
      <c r="C30" s="68" t="s">
        <v>65</v>
      </c>
      <c r="D30" s="69">
        <v>5</v>
      </c>
      <c r="E30" s="70">
        <v>6016.6</v>
      </c>
      <c r="F30" s="12"/>
      <c r="G30" s="12"/>
      <c r="H30" s="12"/>
      <c r="I30" s="13"/>
      <c r="T30" s="11"/>
      <c r="U30" s="11"/>
      <c r="V30" s="11"/>
      <c r="W30" s="11"/>
      <c r="X30" s="11"/>
    </row>
    <row r="31" spans="1:37" ht="15.75" customHeight="1" thickBot="1" x14ac:dyDescent="0.3">
      <c r="A31" s="71">
        <v>1338</v>
      </c>
      <c r="B31" s="71" t="s">
        <v>41</v>
      </c>
      <c r="C31" s="71" t="s">
        <v>68</v>
      </c>
      <c r="D31" s="72">
        <v>9</v>
      </c>
      <c r="E31" s="73">
        <v>4789</v>
      </c>
      <c r="F31" s="12"/>
      <c r="G31" s="12"/>
      <c r="H31" s="12"/>
      <c r="I31" s="13"/>
      <c r="J31" s="13"/>
      <c r="K31" s="106" t="s">
        <v>91</v>
      </c>
      <c r="L31" s="107"/>
      <c r="M31" s="107"/>
      <c r="N31" s="107"/>
      <c r="O31" s="108"/>
      <c r="T31" s="11"/>
      <c r="U31" s="11"/>
      <c r="V31" s="11"/>
      <c r="W31" s="11"/>
      <c r="X31" s="11"/>
    </row>
    <row r="32" spans="1:37" ht="15.75" customHeight="1" thickBot="1" x14ac:dyDescent="0.3">
      <c r="A32" s="68">
        <v>1344</v>
      </c>
      <c r="B32" s="68" t="s">
        <v>44</v>
      </c>
      <c r="C32" s="68" t="s">
        <v>77</v>
      </c>
      <c r="D32" s="69">
        <v>6</v>
      </c>
      <c r="E32" s="70">
        <v>3031.3333333333335</v>
      </c>
      <c r="F32" s="12"/>
      <c r="G32" s="12"/>
      <c r="H32" s="12"/>
      <c r="I32" s="13"/>
      <c r="J32" s="24"/>
      <c r="K32" s="24"/>
      <c r="L32" s="24"/>
      <c r="M32" s="24"/>
      <c r="N32" s="24"/>
      <c r="O32" s="24"/>
      <c r="T32" s="11"/>
      <c r="U32" s="11"/>
      <c r="V32" s="11"/>
      <c r="W32" s="11"/>
      <c r="X32" s="11"/>
    </row>
    <row r="33" spans="1:24" ht="15.75" customHeight="1" thickBot="1" x14ac:dyDescent="0.3">
      <c r="A33" s="71">
        <v>1357</v>
      </c>
      <c r="B33" s="71" t="s">
        <v>45</v>
      </c>
      <c r="C33" s="71" t="s">
        <v>67</v>
      </c>
      <c r="D33" s="72">
        <v>19</v>
      </c>
      <c r="E33" s="73">
        <v>1308.8421052631579</v>
      </c>
      <c r="F33" s="12"/>
      <c r="G33" s="12"/>
      <c r="H33" s="12"/>
      <c r="I33" s="13"/>
      <c r="J33" s="24"/>
      <c r="K33" s="109" t="s">
        <v>92</v>
      </c>
      <c r="L33" s="110"/>
      <c r="M33" s="110"/>
      <c r="N33" s="110"/>
      <c r="O33" s="111"/>
      <c r="T33" s="11"/>
      <c r="U33" s="11"/>
      <c r="V33" s="11"/>
      <c r="W33" s="11"/>
      <c r="X33" s="11"/>
    </row>
    <row r="34" spans="1:24" ht="15.75" customHeight="1" thickBot="1" x14ac:dyDescent="0.3">
      <c r="A34" s="68">
        <v>1377</v>
      </c>
      <c r="B34" s="68" t="s">
        <v>49</v>
      </c>
      <c r="C34" s="68" t="s">
        <v>67</v>
      </c>
      <c r="D34" s="69">
        <v>19</v>
      </c>
      <c r="E34" s="70">
        <v>3100</v>
      </c>
      <c r="F34" s="12"/>
      <c r="G34" s="12"/>
      <c r="H34" s="12"/>
      <c r="I34" s="13"/>
      <c r="J34" s="24"/>
      <c r="K34" s="24"/>
      <c r="L34" s="24"/>
      <c r="M34" s="24"/>
      <c r="N34" s="24"/>
      <c r="O34" s="24"/>
      <c r="T34" s="11"/>
      <c r="U34" s="11"/>
      <c r="V34" s="11"/>
      <c r="W34" s="11"/>
      <c r="X34" s="11"/>
    </row>
    <row r="35" spans="1:24" ht="15.75" customHeight="1" thickBot="1" x14ac:dyDescent="0.3">
      <c r="A35" s="71">
        <v>1334</v>
      </c>
      <c r="B35" s="71" t="s">
        <v>38</v>
      </c>
      <c r="C35" s="71" t="s">
        <v>74</v>
      </c>
      <c r="D35" s="72">
        <v>7</v>
      </c>
      <c r="E35" s="73">
        <v>4040.4285714285716</v>
      </c>
      <c r="F35" s="12"/>
      <c r="G35" s="12"/>
      <c r="H35" s="12"/>
      <c r="I35" s="13"/>
      <c r="J35" s="24"/>
      <c r="K35" s="109" t="s">
        <v>93</v>
      </c>
      <c r="L35" s="110"/>
      <c r="M35" s="110"/>
      <c r="N35" s="110"/>
      <c r="O35" s="111"/>
      <c r="T35" s="11"/>
      <c r="U35" s="11"/>
      <c r="V35" s="11"/>
      <c r="W35" s="11"/>
      <c r="X35" s="11"/>
    </row>
    <row r="36" spans="1:24" ht="15" x14ac:dyDescent="0.25">
      <c r="A36" s="68">
        <v>1363</v>
      </c>
      <c r="B36" s="68" t="s">
        <v>46</v>
      </c>
      <c r="C36" s="68" t="s">
        <v>67</v>
      </c>
      <c r="D36" s="69">
        <v>19</v>
      </c>
      <c r="E36" s="70">
        <v>6740.5789473684208</v>
      </c>
      <c r="F36" s="12"/>
      <c r="G36" s="12"/>
      <c r="H36" s="12"/>
      <c r="I36" s="13"/>
      <c r="J36" s="13"/>
      <c r="K36" s="13"/>
      <c r="L36" s="13"/>
      <c r="M36" s="13"/>
      <c r="N36" s="13"/>
      <c r="O36" s="13"/>
      <c r="T36" s="11"/>
      <c r="U36" s="11"/>
      <c r="V36" s="11"/>
      <c r="W36" s="11"/>
      <c r="X36" s="11"/>
    </row>
    <row r="37" spans="1:24" thickBot="1" x14ac:dyDescent="0.3">
      <c r="A37" s="71">
        <v>1336</v>
      </c>
      <c r="B37" s="71" t="s">
        <v>40</v>
      </c>
      <c r="C37" s="71" t="s">
        <v>69</v>
      </c>
      <c r="D37" s="72">
        <v>8.5</v>
      </c>
      <c r="E37" s="73">
        <v>14256.470588235294</v>
      </c>
      <c r="F37" s="12"/>
      <c r="G37" s="12"/>
      <c r="H37" s="12"/>
      <c r="I37" s="13"/>
      <c r="K37" s="109" t="s">
        <v>94</v>
      </c>
      <c r="L37" s="110"/>
      <c r="M37" s="110"/>
      <c r="N37" s="110"/>
      <c r="O37" s="111"/>
      <c r="T37" s="11"/>
      <c r="U37" s="11"/>
      <c r="V37" s="11"/>
      <c r="W37" s="11"/>
      <c r="X37" s="11"/>
    </row>
    <row r="38" spans="1:24" ht="15" x14ac:dyDescent="0.25">
      <c r="A38" s="68">
        <v>1318</v>
      </c>
      <c r="B38" s="68" t="s">
        <v>30</v>
      </c>
      <c r="C38" s="68" t="s">
        <v>71</v>
      </c>
      <c r="D38" s="69">
        <v>10</v>
      </c>
      <c r="E38" s="70">
        <v>13628.4</v>
      </c>
      <c r="F38" s="12"/>
      <c r="G38" s="12"/>
      <c r="H38" s="12"/>
      <c r="I38" s="13"/>
      <c r="T38" s="11"/>
      <c r="U38" s="11"/>
      <c r="V38" s="11"/>
      <c r="W38" s="11"/>
      <c r="X38" s="11"/>
    </row>
    <row r="39" spans="1:24" ht="15" x14ac:dyDescent="0.25">
      <c r="A39" s="71">
        <v>1075</v>
      </c>
      <c r="B39" s="71" t="s">
        <v>8</v>
      </c>
      <c r="C39" s="71" t="s">
        <v>71</v>
      </c>
      <c r="D39" s="72">
        <v>10</v>
      </c>
      <c r="E39" s="73">
        <v>17853.400000000001</v>
      </c>
      <c r="F39" s="12"/>
      <c r="G39" s="12"/>
      <c r="H39" s="12"/>
      <c r="I39" s="13"/>
      <c r="J39" s="112" t="s">
        <v>95</v>
      </c>
      <c r="K39" s="113"/>
      <c r="L39" s="113"/>
      <c r="M39" s="113"/>
      <c r="N39" s="113"/>
      <c r="O39" s="114"/>
      <c r="T39" s="11"/>
      <c r="U39" s="11"/>
      <c r="V39" s="11"/>
      <c r="W39" s="11"/>
      <c r="X39" s="11"/>
    </row>
    <row r="40" spans="1:24" ht="18.600000000000001" customHeight="1" x14ac:dyDescent="0.25">
      <c r="A40" s="68">
        <v>1074</v>
      </c>
      <c r="B40" s="68" t="s">
        <v>96</v>
      </c>
      <c r="C40" s="68" t="s">
        <v>71</v>
      </c>
      <c r="D40" s="69">
        <v>5</v>
      </c>
      <c r="E40" s="70">
        <v>24819.200000000001</v>
      </c>
      <c r="F40" s="12"/>
      <c r="G40" s="12"/>
      <c r="H40" s="12"/>
      <c r="I40" s="13"/>
      <c r="J40" s="115"/>
      <c r="K40" s="116"/>
      <c r="L40" s="116"/>
      <c r="M40" s="116"/>
      <c r="N40" s="116"/>
      <c r="O40" s="117"/>
      <c r="T40" s="11"/>
      <c r="U40" s="11"/>
      <c r="V40" s="11"/>
      <c r="W40" s="11"/>
      <c r="X40" s="11"/>
    </row>
    <row r="41" spans="1:24" thickBot="1" x14ac:dyDescent="0.3">
      <c r="A41" s="71">
        <v>1319</v>
      </c>
      <c r="B41" s="71" t="s">
        <v>31</v>
      </c>
      <c r="C41" s="71" t="s">
        <v>66</v>
      </c>
      <c r="D41" s="72">
        <v>5</v>
      </c>
      <c r="E41" s="73">
        <v>30552.2</v>
      </c>
      <c r="F41" s="12"/>
      <c r="G41" s="12"/>
      <c r="H41" s="12"/>
      <c r="I41" s="13"/>
      <c r="J41" s="118"/>
      <c r="K41" s="119"/>
      <c r="L41" s="119"/>
      <c r="M41" s="119"/>
      <c r="N41" s="119"/>
      <c r="O41" s="120"/>
      <c r="T41" s="11"/>
      <c r="U41" s="11"/>
      <c r="V41" s="11"/>
      <c r="W41" s="11"/>
      <c r="X41" s="11"/>
    </row>
    <row r="42" spans="1:24" ht="20.45" customHeight="1" x14ac:dyDescent="0.25">
      <c r="A42" s="68">
        <v>1342</v>
      </c>
      <c r="B42" s="68" t="s">
        <v>43</v>
      </c>
      <c r="C42" s="68" t="s">
        <v>71</v>
      </c>
      <c r="D42" s="69">
        <v>5</v>
      </c>
      <c r="E42" s="70">
        <v>5699.6</v>
      </c>
      <c r="F42" s="12"/>
      <c r="G42" s="12"/>
      <c r="H42" s="12"/>
      <c r="I42" s="13"/>
      <c r="T42" s="11"/>
      <c r="U42" s="11"/>
      <c r="V42" s="11"/>
      <c r="W42" s="11"/>
      <c r="X42" s="11"/>
    </row>
    <row r="43" spans="1:24" ht="15" x14ac:dyDescent="0.25">
      <c r="A43" s="71">
        <v>1317</v>
      </c>
      <c r="B43" s="71" t="s">
        <v>29</v>
      </c>
      <c r="C43" s="71" t="s">
        <v>70</v>
      </c>
      <c r="D43" s="72">
        <v>5</v>
      </c>
      <c r="E43" s="73">
        <v>4544.8</v>
      </c>
      <c r="F43" s="12"/>
      <c r="G43" s="12"/>
      <c r="H43" s="12"/>
      <c r="I43" s="13"/>
      <c r="T43" s="11"/>
      <c r="U43" s="11"/>
      <c r="V43" s="11"/>
      <c r="W43" s="11"/>
      <c r="X43" s="11"/>
    </row>
    <row r="44" spans="1:24" ht="15" x14ac:dyDescent="0.25">
      <c r="A44" s="68">
        <v>1364</v>
      </c>
      <c r="B44" s="68" t="s">
        <v>47</v>
      </c>
      <c r="C44" s="68" t="s">
        <v>67</v>
      </c>
      <c r="D44" s="69">
        <v>19</v>
      </c>
      <c r="E44" s="70">
        <v>1351.2631578947369</v>
      </c>
      <c r="F44" s="12"/>
      <c r="G44" s="12"/>
      <c r="H44" s="12"/>
      <c r="I44" s="13"/>
      <c r="T44" s="11"/>
      <c r="U44" s="11"/>
      <c r="V44" s="11"/>
      <c r="W44" s="11"/>
      <c r="X44" s="11"/>
    </row>
    <row r="45" spans="1:24" ht="15" x14ac:dyDescent="0.25">
      <c r="A45" s="71">
        <v>1327</v>
      </c>
      <c r="B45" s="71" t="s">
        <v>33</v>
      </c>
      <c r="C45" s="71" t="s">
        <v>71</v>
      </c>
      <c r="D45" s="72">
        <v>5</v>
      </c>
      <c r="E45" s="73">
        <v>4279.8</v>
      </c>
      <c r="F45" s="12"/>
      <c r="G45" s="12"/>
      <c r="H45" s="12"/>
      <c r="I45" s="13"/>
      <c r="T45" s="11"/>
      <c r="U45" s="11"/>
      <c r="V45" s="11"/>
      <c r="W45" s="11"/>
      <c r="X45" s="11"/>
    </row>
    <row r="46" spans="1:24" ht="15" x14ac:dyDescent="0.25">
      <c r="A46" s="68">
        <v>1042</v>
      </c>
      <c r="B46" s="68" t="s">
        <v>4</v>
      </c>
      <c r="C46" s="68" t="s">
        <v>74</v>
      </c>
      <c r="D46" s="69">
        <v>7</v>
      </c>
      <c r="E46" s="70">
        <v>3512.4285714285716</v>
      </c>
      <c r="F46" s="12"/>
      <c r="G46" s="12"/>
      <c r="H46" s="12"/>
      <c r="I46" s="13"/>
      <c r="J46" s="112" t="s">
        <v>97</v>
      </c>
      <c r="K46" s="113"/>
      <c r="L46" s="113"/>
      <c r="M46" s="113"/>
      <c r="N46" s="113"/>
      <c r="O46" s="114"/>
      <c r="T46" s="11"/>
      <c r="U46" s="11"/>
      <c r="V46" s="11"/>
      <c r="W46" s="11"/>
      <c r="X46" s="11"/>
    </row>
    <row r="47" spans="1:24" thickBot="1" x14ac:dyDescent="0.3">
      <c r="A47" s="71">
        <v>1031</v>
      </c>
      <c r="B47" s="71" t="s">
        <v>3</v>
      </c>
      <c r="C47" s="71" t="s">
        <v>66</v>
      </c>
      <c r="D47" s="72">
        <v>5</v>
      </c>
      <c r="E47" s="73">
        <v>5234.2</v>
      </c>
      <c r="F47" s="12"/>
      <c r="G47" s="12"/>
      <c r="H47" s="12"/>
      <c r="I47" s="13"/>
      <c r="J47" s="118"/>
      <c r="K47" s="119"/>
      <c r="L47" s="119"/>
      <c r="M47" s="119"/>
      <c r="N47" s="119"/>
      <c r="O47" s="120"/>
      <c r="T47" s="11"/>
      <c r="U47" s="11"/>
      <c r="V47" s="11"/>
      <c r="W47" s="11"/>
      <c r="X47" s="11"/>
    </row>
    <row r="48" spans="1:24" ht="15" x14ac:dyDescent="0.25">
      <c r="A48" s="68">
        <v>1328</v>
      </c>
      <c r="B48" s="68" t="s">
        <v>34</v>
      </c>
      <c r="C48" s="68" t="s">
        <v>71</v>
      </c>
      <c r="D48" s="69">
        <v>8</v>
      </c>
      <c r="E48" s="70">
        <v>19592.125</v>
      </c>
      <c r="F48" s="12"/>
      <c r="G48" s="12"/>
      <c r="H48" s="12"/>
      <c r="I48" s="13"/>
      <c r="T48" s="11"/>
      <c r="U48" s="11"/>
      <c r="V48" s="11"/>
      <c r="W48" s="11"/>
      <c r="X48" s="11"/>
    </row>
    <row r="49" spans="1:24" thickBot="1" x14ac:dyDescent="0.3">
      <c r="A49" s="71">
        <v>1329</v>
      </c>
      <c r="B49" s="71" t="s">
        <v>98</v>
      </c>
      <c r="C49" s="71" t="s">
        <v>71</v>
      </c>
      <c r="D49" s="72">
        <v>5</v>
      </c>
      <c r="E49" s="73">
        <v>19532.2</v>
      </c>
      <c r="F49" s="12"/>
      <c r="G49" s="12"/>
      <c r="H49" s="12"/>
      <c r="I49" s="13"/>
      <c r="K49" s="106" t="s">
        <v>99</v>
      </c>
      <c r="L49" s="107"/>
      <c r="M49" s="107"/>
      <c r="N49" s="107"/>
      <c r="O49" s="108"/>
      <c r="T49" s="11"/>
      <c r="U49" s="11"/>
      <c r="V49" s="11"/>
      <c r="W49" s="11"/>
      <c r="X49" s="11"/>
    </row>
    <row r="50" spans="1:24" ht="15" x14ac:dyDescent="0.25">
      <c r="A50" s="68">
        <v>1367</v>
      </c>
      <c r="B50" s="68" t="s">
        <v>48</v>
      </c>
      <c r="C50" s="68" t="s">
        <v>71</v>
      </c>
      <c r="D50" s="69">
        <v>5</v>
      </c>
      <c r="E50" s="70">
        <v>8847.4</v>
      </c>
      <c r="F50" s="12"/>
      <c r="G50" s="12"/>
      <c r="H50" s="12"/>
      <c r="I50" s="13"/>
      <c r="T50" s="11"/>
      <c r="U50" s="11"/>
      <c r="V50" s="11"/>
      <c r="W50" s="11"/>
      <c r="X50" s="11"/>
    </row>
    <row r="51" spans="1:24" thickBot="1" x14ac:dyDescent="0.3">
      <c r="A51" s="71">
        <v>1171</v>
      </c>
      <c r="B51" s="71" t="s">
        <v>15</v>
      </c>
      <c r="C51" s="71" t="s">
        <v>73</v>
      </c>
      <c r="D51" s="72">
        <v>5</v>
      </c>
      <c r="E51" s="73">
        <v>5290.4</v>
      </c>
      <c r="F51" s="12"/>
      <c r="G51" s="12"/>
      <c r="H51" s="12"/>
      <c r="I51" s="13"/>
      <c r="K51" s="106" t="s">
        <v>100</v>
      </c>
      <c r="L51" s="107"/>
      <c r="M51" s="107"/>
      <c r="N51" s="107"/>
      <c r="O51" s="108"/>
      <c r="T51" s="11"/>
      <c r="U51" s="11"/>
      <c r="V51" s="11"/>
      <c r="W51" s="11"/>
      <c r="X51" s="11"/>
    </row>
    <row r="52" spans="1:24" ht="15" x14ac:dyDescent="0.25">
      <c r="A52" s="74">
        <v>1151</v>
      </c>
      <c r="B52" s="74" t="s">
        <v>14</v>
      </c>
      <c r="C52" s="74" t="s">
        <v>71</v>
      </c>
      <c r="D52" s="75">
        <v>5</v>
      </c>
      <c r="E52" s="67">
        <v>7018.8</v>
      </c>
      <c r="F52" s="12"/>
      <c r="G52" s="12"/>
      <c r="H52" s="12"/>
      <c r="I52" s="13"/>
      <c r="T52" s="11"/>
      <c r="U52" s="11"/>
      <c r="V52" s="11"/>
      <c r="W52" s="11"/>
      <c r="X52" s="11"/>
    </row>
    <row r="55" spans="1:24" thickBot="1" x14ac:dyDescent="0.3">
      <c r="B55" s="7"/>
      <c r="C55" s="7"/>
      <c r="D55" s="7"/>
      <c r="E55" s="7"/>
      <c r="G55" s="8"/>
      <c r="H55" s="8"/>
    </row>
    <row r="56" spans="1:24" ht="15" x14ac:dyDescent="0.25">
      <c r="D56" s="11"/>
      <c r="E56" s="11"/>
      <c r="F56" s="13"/>
      <c r="G56" s="25"/>
      <c r="H56" s="25"/>
      <c r="J56" s="16" t="s">
        <v>101</v>
      </c>
      <c r="K56" s="17"/>
      <c r="L56" s="17"/>
      <c r="M56" s="17"/>
      <c r="N56" s="17"/>
      <c r="O56" s="18"/>
      <c r="R56" s="9"/>
    </row>
    <row r="57" spans="1:24" thickBot="1" x14ac:dyDescent="0.3">
      <c r="D57" s="11"/>
      <c r="E57" s="11"/>
      <c r="F57" s="13"/>
      <c r="G57" s="25"/>
      <c r="H57" s="25"/>
      <c r="J57" s="20"/>
      <c r="K57" s="21"/>
      <c r="L57" s="21"/>
      <c r="M57" s="21"/>
      <c r="N57" s="21"/>
      <c r="O57" s="22"/>
      <c r="R57" s="9"/>
    </row>
    <row r="58" spans="1:24" ht="15" x14ac:dyDescent="0.25">
      <c r="D58" s="11"/>
      <c r="E58" s="11"/>
      <c r="F58" s="13"/>
      <c r="G58" s="25"/>
      <c r="H58" s="25"/>
      <c r="M58" s="13"/>
      <c r="O58" s="14"/>
    </row>
    <row r="59" spans="1:24" thickBot="1" x14ac:dyDescent="0.3">
      <c r="D59" s="11"/>
      <c r="E59" s="11"/>
      <c r="F59" s="13"/>
      <c r="G59" s="25"/>
      <c r="H59" s="25"/>
    </row>
    <row r="60" spans="1:24" ht="15" x14ac:dyDescent="0.25">
      <c r="D60" s="11"/>
      <c r="E60" s="11"/>
      <c r="F60" s="13"/>
      <c r="G60" s="25"/>
      <c r="H60" s="25"/>
      <c r="J60" s="16" t="s">
        <v>102</v>
      </c>
      <c r="K60" s="17"/>
      <c r="L60" s="17"/>
      <c r="M60" s="17"/>
      <c r="N60" s="17"/>
      <c r="O60" s="18"/>
    </row>
    <row r="61" spans="1:24" thickBot="1" x14ac:dyDescent="0.3">
      <c r="D61" s="11"/>
      <c r="E61" s="11"/>
      <c r="F61" s="13"/>
      <c r="G61" s="25"/>
      <c r="H61" s="25"/>
      <c r="J61" s="20"/>
      <c r="K61" s="21"/>
      <c r="L61" s="21"/>
      <c r="M61" s="21"/>
      <c r="N61" s="21"/>
      <c r="O61" s="22"/>
    </row>
    <row r="62" spans="1:24" ht="15" x14ac:dyDescent="0.25">
      <c r="D62" s="11"/>
      <c r="E62" s="11"/>
      <c r="F62" s="13"/>
      <c r="G62" s="25"/>
      <c r="H62" s="25"/>
      <c r="M62" s="13"/>
      <c r="O62" s="14"/>
    </row>
    <row r="63" spans="1:24" thickBot="1" x14ac:dyDescent="0.3">
      <c r="D63" s="11"/>
      <c r="E63" s="11"/>
      <c r="F63" s="13"/>
      <c r="G63" s="25"/>
      <c r="H63" s="25"/>
    </row>
    <row r="64" spans="1:24" ht="15" x14ac:dyDescent="0.25">
      <c r="D64" s="11"/>
      <c r="E64" s="11"/>
      <c r="F64" s="13"/>
      <c r="G64" s="25"/>
      <c r="H64" s="25"/>
      <c r="J64" s="16" t="s">
        <v>103</v>
      </c>
      <c r="K64" s="17"/>
      <c r="L64" s="17"/>
      <c r="M64" s="17"/>
      <c r="N64" s="17"/>
      <c r="O64" s="18"/>
    </row>
    <row r="65" spans="4:15" thickBot="1" x14ac:dyDescent="0.3">
      <c r="D65" s="11"/>
      <c r="E65" s="11"/>
      <c r="F65" s="13"/>
      <c r="G65" s="25"/>
      <c r="H65" s="25"/>
      <c r="J65" s="20"/>
      <c r="K65" s="21"/>
      <c r="L65" s="21"/>
      <c r="M65" s="21"/>
      <c r="N65" s="21"/>
      <c r="O65" s="22"/>
    </row>
    <row r="66" spans="4:15" ht="15" x14ac:dyDescent="0.25">
      <c r="D66" s="11"/>
      <c r="E66" s="11"/>
      <c r="F66" s="13"/>
      <c r="G66" s="25"/>
      <c r="H66" s="25"/>
      <c r="M66" s="13"/>
      <c r="O66" s="14"/>
    </row>
    <row r="67" spans="4:15" thickBot="1" x14ac:dyDescent="0.3">
      <c r="D67" s="11"/>
      <c r="E67" s="11"/>
      <c r="F67" s="13"/>
      <c r="G67" s="25"/>
      <c r="H67" s="25"/>
      <c r="M67" s="13"/>
      <c r="O67" s="14"/>
    </row>
    <row r="68" spans="4:15" ht="15" x14ac:dyDescent="0.25">
      <c r="D68" s="11"/>
      <c r="E68" s="11"/>
      <c r="F68" s="13"/>
      <c r="G68" s="25"/>
      <c r="H68" s="25"/>
      <c r="J68" s="16" t="s">
        <v>104</v>
      </c>
      <c r="K68" s="17"/>
      <c r="L68" s="17"/>
      <c r="M68" s="17"/>
      <c r="N68" s="17"/>
      <c r="O68" s="18"/>
    </row>
    <row r="69" spans="4:15" thickBot="1" x14ac:dyDescent="0.3">
      <c r="D69" s="11"/>
      <c r="E69" s="11"/>
      <c r="F69" s="13"/>
      <c r="G69" s="25"/>
      <c r="H69" s="25"/>
      <c r="J69" s="20"/>
      <c r="K69" s="21"/>
      <c r="L69" s="21"/>
      <c r="M69" s="21"/>
      <c r="N69" s="21"/>
      <c r="O69" s="22"/>
    </row>
  </sheetData>
  <autoFilter ref="A1:E52"/>
  <mergeCells count="14">
    <mergeCell ref="J6:O13"/>
    <mergeCell ref="J16:O20"/>
    <mergeCell ref="J26:O27"/>
    <mergeCell ref="Q26:Q27"/>
    <mergeCell ref="S26:S27"/>
    <mergeCell ref="K29:O29"/>
    <mergeCell ref="K49:O49"/>
    <mergeCell ref="K51:O51"/>
    <mergeCell ref="K31:O31"/>
    <mergeCell ref="K33:O33"/>
    <mergeCell ref="K35:O35"/>
    <mergeCell ref="K37:O37"/>
    <mergeCell ref="J39:O41"/>
    <mergeCell ref="J46:O47"/>
  </mergeCells>
  <conditionalFormatting sqref="A53:E53">
    <cfRule type="expression" dxfId="9" priority="1">
      <formula>COUNTIF($B$2:$H$53,#REF!)&gt;1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15" sqref="A15"/>
    </sheetView>
  </sheetViews>
  <sheetFormatPr defaultRowHeight="15" x14ac:dyDescent="0.25"/>
  <cols>
    <col min="1" max="1" width="32.5703125" bestFit="1" customWidth="1"/>
    <col min="2" max="2" width="16.5703125" style="66" bestFit="1" customWidth="1"/>
  </cols>
  <sheetData>
    <row r="1" spans="1:2" x14ac:dyDescent="0.25">
      <c r="A1" s="80" t="s">
        <v>153</v>
      </c>
      <c r="B1" s="82" t="s">
        <v>155</v>
      </c>
    </row>
    <row r="2" spans="1:2" x14ac:dyDescent="0.25">
      <c r="A2" s="81" t="s">
        <v>37</v>
      </c>
      <c r="B2" s="82">
        <v>131928.81299810967</v>
      </c>
    </row>
    <row r="3" spans="1:2" x14ac:dyDescent="0.25">
      <c r="A3" s="81" t="s">
        <v>7</v>
      </c>
      <c r="B3" s="82">
        <v>73409.33628931237</v>
      </c>
    </row>
    <row r="4" spans="1:2" x14ac:dyDescent="0.25">
      <c r="A4" s="81" t="s">
        <v>6</v>
      </c>
      <c r="B4" s="82">
        <v>110486.0952449482</v>
      </c>
    </row>
    <row r="5" spans="1:2" x14ac:dyDescent="0.25">
      <c r="A5" s="81" t="s">
        <v>46</v>
      </c>
      <c r="B5" s="82">
        <v>73814.976221147692</v>
      </c>
    </row>
    <row r="6" spans="1:2" x14ac:dyDescent="0.25">
      <c r="A6" s="81" t="s">
        <v>25</v>
      </c>
      <c r="B6" s="82">
        <v>68714.971483488625</v>
      </c>
    </row>
    <row r="7" spans="1:2" x14ac:dyDescent="0.25">
      <c r="A7" s="81" t="s">
        <v>32</v>
      </c>
      <c r="B7" s="82">
        <v>75988.762423492648</v>
      </c>
    </row>
    <row r="8" spans="1:2" x14ac:dyDescent="0.25">
      <c r="A8" s="81" t="s">
        <v>40</v>
      </c>
      <c r="B8" s="82">
        <v>63656.645092919869</v>
      </c>
    </row>
    <row r="9" spans="1:2" x14ac:dyDescent="0.25">
      <c r="A9" s="81" t="s">
        <v>11</v>
      </c>
      <c r="B9" s="82">
        <v>317152.13161320286</v>
      </c>
    </row>
    <row r="10" spans="1:2" x14ac:dyDescent="0.25">
      <c r="A10" s="81" t="s">
        <v>30</v>
      </c>
      <c r="B10" s="82">
        <v>65267.81613793927</v>
      </c>
    </row>
    <row r="11" spans="1:2" x14ac:dyDescent="0.25">
      <c r="A11" s="81" t="s">
        <v>5</v>
      </c>
      <c r="B11" s="82">
        <v>198658.37142896923</v>
      </c>
    </row>
    <row r="12" spans="1:2" x14ac:dyDescent="0.25">
      <c r="A12" s="81" t="s">
        <v>23</v>
      </c>
      <c r="B12" s="82">
        <v>70706.369224623049</v>
      </c>
    </row>
    <row r="13" spans="1:2" x14ac:dyDescent="0.25">
      <c r="A13" s="81" t="s">
        <v>42</v>
      </c>
      <c r="B13" s="82">
        <v>58519.476708797287</v>
      </c>
    </row>
    <row r="14" spans="1:2" x14ac:dyDescent="0.25">
      <c r="A14" s="81" t="s">
        <v>38</v>
      </c>
      <c r="B14" s="82">
        <v>63559.996679567601</v>
      </c>
    </row>
    <row r="15" spans="1:2" x14ac:dyDescent="0.25">
      <c r="A15" s="81" t="s">
        <v>49</v>
      </c>
      <c r="B15" s="82">
        <v>73814.976221147692</v>
      </c>
    </row>
    <row r="16" spans="1:2" x14ac:dyDescent="0.25">
      <c r="A16" s="81" t="s">
        <v>16</v>
      </c>
      <c r="B16" s="82">
        <v>82053.448630315048</v>
      </c>
    </row>
    <row r="17" spans="1:2" x14ac:dyDescent="0.25">
      <c r="A17" s="81" t="s">
        <v>12</v>
      </c>
      <c r="B17" s="82">
        <v>110486.0952449482</v>
      </c>
    </row>
    <row r="18" spans="1:2" x14ac:dyDescent="0.25">
      <c r="A18" s="81" t="s">
        <v>22</v>
      </c>
      <c r="B18" s="82">
        <v>106882.56690538794</v>
      </c>
    </row>
    <row r="19" spans="1:2" x14ac:dyDescent="0.25">
      <c r="A19" s="81" t="s">
        <v>2</v>
      </c>
      <c r="B19" s="82">
        <v>145232.87277043145</v>
      </c>
    </row>
    <row r="20" spans="1:2" x14ac:dyDescent="0.25">
      <c r="A20" s="81" t="s">
        <v>17</v>
      </c>
      <c r="B20" s="82">
        <v>72535.252052086318</v>
      </c>
    </row>
    <row r="21" spans="1:2" x14ac:dyDescent="0.25">
      <c r="A21" s="81" t="s">
        <v>18</v>
      </c>
      <c r="B21" s="82">
        <v>228212.64093712968</v>
      </c>
    </row>
    <row r="22" spans="1:2" x14ac:dyDescent="0.25">
      <c r="A22" s="81" t="s">
        <v>8</v>
      </c>
      <c r="B22" s="82">
        <v>143895.37927733135</v>
      </c>
    </row>
    <row r="23" spans="1:2" x14ac:dyDescent="0.25">
      <c r="A23" s="81" t="s">
        <v>31</v>
      </c>
      <c r="B23" s="82">
        <v>72877.954733737948</v>
      </c>
    </row>
    <row r="24" spans="1:2" x14ac:dyDescent="0.25">
      <c r="A24" s="81" t="s">
        <v>26</v>
      </c>
      <c r="B24" s="82">
        <v>69214.494049405592</v>
      </c>
    </row>
    <row r="25" spans="1:2" x14ac:dyDescent="0.25">
      <c r="A25" s="81" t="s">
        <v>13</v>
      </c>
      <c r="B25" s="82">
        <v>158482.11879816838</v>
      </c>
    </row>
    <row r="26" spans="1:2" x14ac:dyDescent="0.25">
      <c r="A26" s="81" t="s">
        <v>43</v>
      </c>
      <c r="B26" s="82">
        <v>68356.054875376125</v>
      </c>
    </row>
    <row r="27" spans="1:2" x14ac:dyDescent="0.25">
      <c r="A27" s="81" t="s">
        <v>29</v>
      </c>
      <c r="B27" s="82">
        <v>99147.792084913439</v>
      </c>
    </row>
    <row r="28" spans="1:2" x14ac:dyDescent="0.25">
      <c r="A28" s="81" t="s">
        <v>47</v>
      </c>
      <c r="B28" s="82">
        <v>82591.180462160468</v>
      </c>
    </row>
    <row r="29" spans="1:2" x14ac:dyDescent="0.25">
      <c r="A29" s="81" t="s">
        <v>39</v>
      </c>
      <c r="B29" s="82">
        <v>77359.168054586597</v>
      </c>
    </row>
    <row r="30" spans="1:2" x14ac:dyDescent="0.25">
      <c r="A30" s="81" t="s">
        <v>24</v>
      </c>
      <c r="B30" s="82">
        <v>110486.0952449482</v>
      </c>
    </row>
    <row r="31" spans="1:2" x14ac:dyDescent="0.25">
      <c r="A31" s="81" t="s">
        <v>33</v>
      </c>
      <c r="B31" s="82">
        <v>68356.054875376125</v>
      </c>
    </row>
    <row r="32" spans="1:2" x14ac:dyDescent="0.25">
      <c r="A32" s="81" t="s">
        <v>4</v>
      </c>
      <c r="B32" s="82">
        <v>125986.91042105544</v>
      </c>
    </row>
    <row r="33" spans="1:2" x14ac:dyDescent="0.25">
      <c r="A33" s="81" t="s">
        <v>28</v>
      </c>
      <c r="B33" s="82">
        <v>70706.369224623049</v>
      </c>
    </row>
    <row r="34" spans="1:2" x14ac:dyDescent="0.25">
      <c r="A34" s="81" t="s">
        <v>19</v>
      </c>
      <c r="B34" s="82">
        <v>70260.734628566177</v>
      </c>
    </row>
    <row r="35" spans="1:2" x14ac:dyDescent="0.25">
      <c r="A35" s="81" t="s">
        <v>3</v>
      </c>
      <c r="B35" s="82">
        <v>110486.0952449482</v>
      </c>
    </row>
    <row r="36" spans="1:2" x14ac:dyDescent="0.25">
      <c r="A36" s="81" t="s">
        <v>45</v>
      </c>
      <c r="B36" s="82">
        <v>82591.180462160468</v>
      </c>
    </row>
    <row r="37" spans="1:2" x14ac:dyDescent="0.25">
      <c r="A37" s="81" t="s">
        <v>34</v>
      </c>
      <c r="B37" s="82">
        <v>146983.61801476817</v>
      </c>
    </row>
    <row r="38" spans="1:2" x14ac:dyDescent="0.25">
      <c r="A38" s="81" t="s">
        <v>44</v>
      </c>
      <c r="B38" s="82">
        <v>66286.415973155439</v>
      </c>
    </row>
    <row r="39" spans="1:2" x14ac:dyDescent="0.25">
      <c r="A39" s="81" t="s">
        <v>21</v>
      </c>
      <c r="B39" s="82">
        <v>161346.15764781405</v>
      </c>
    </row>
    <row r="40" spans="1:2" x14ac:dyDescent="0.25">
      <c r="A40" s="81" t="s">
        <v>20</v>
      </c>
      <c r="B40" s="82">
        <v>110486.0952449482</v>
      </c>
    </row>
    <row r="41" spans="1:2" x14ac:dyDescent="0.25">
      <c r="A41" s="81" t="s">
        <v>41</v>
      </c>
      <c r="B41" s="82">
        <v>77359.168054586597</v>
      </c>
    </row>
    <row r="42" spans="1:2" x14ac:dyDescent="0.25">
      <c r="A42" s="81" t="s">
        <v>48</v>
      </c>
      <c r="B42" s="82">
        <v>68356.054875376125</v>
      </c>
    </row>
    <row r="43" spans="1:2" x14ac:dyDescent="0.25">
      <c r="A43" s="81" t="s">
        <v>27</v>
      </c>
      <c r="B43" s="82">
        <v>70260.734628566177</v>
      </c>
    </row>
    <row r="44" spans="1:2" x14ac:dyDescent="0.25">
      <c r="A44" s="81" t="s">
        <v>35</v>
      </c>
      <c r="B44" s="82">
        <v>344478.12695248611</v>
      </c>
    </row>
    <row r="45" spans="1:2" x14ac:dyDescent="0.25">
      <c r="A45" s="81" t="s">
        <v>36</v>
      </c>
      <c r="B45" s="82">
        <v>72667.720972774769</v>
      </c>
    </row>
    <row r="46" spans="1:2" x14ac:dyDescent="0.25">
      <c r="A46" s="81" t="s">
        <v>10</v>
      </c>
      <c r="B46" s="82">
        <v>87211.221857848665</v>
      </c>
    </row>
    <row r="47" spans="1:2" x14ac:dyDescent="0.25">
      <c r="A47" s="81" t="s">
        <v>9</v>
      </c>
      <c r="B47" s="82">
        <v>72877.954733737948</v>
      </c>
    </row>
    <row r="48" spans="1:2" x14ac:dyDescent="0.25">
      <c r="A48" s="81" t="s">
        <v>15</v>
      </c>
      <c r="B48" s="82">
        <v>72152.681035118585</v>
      </c>
    </row>
    <row r="49" spans="1:2" x14ac:dyDescent="0.25">
      <c r="A49" s="81" t="s">
        <v>14</v>
      </c>
      <c r="B49" s="82">
        <v>81229.022922361488</v>
      </c>
    </row>
    <row r="50" spans="1:2" x14ac:dyDescent="0.25">
      <c r="A50" s="81" t="s">
        <v>154</v>
      </c>
      <c r="B50" s="82">
        <v>5033574.1696588639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85" zoomScaleNormal="85" workbookViewId="0">
      <selection activeCell="E10" sqref="E10"/>
    </sheetView>
  </sheetViews>
  <sheetFormatPr defaultRowHeight="15" x14ac:dyDescent="0.25"/>
  <cols>
    <col min="1" max="1" width="9.85546875" customWidth="1"/>
    <col min="2" max="2" width="32.5703125" bestFit="1" customWidth="1"/>
    <col min="3" max="3" width="7.5703125" bestFit="1" customWidth="1"/>
    <col min="4" max="4" width="11.7109375" bestFit="1" customWidth="1"/>
    <col min="5" max="5" width="13.5703125" customWidth="1"/>
    <col min="6" max="6" width="17.28515625" customWidth="1"/>
  </cols>
  <sheetData>
    <row r="1" spans="1:6" x14ac:dyDescent="0.25">
      <c r="A1" s="103" t="s">
        <v>156</v>
      </c>
      <c r="B1" s="103" t="s">
        <v>157</v>
      </c>
      <c r="C1" s="103" t="s">
        <v>158</v>
      </c>
      <c r="D1" s="103" t="s">
        <v>159</v>
      </c>
      <c r="E1" s="103" t="s">
        <v>160</v>
      </c>
      <c r="F1" s="104" t="s">
        <v>161</v>
      </c>
    </row>
    <row r="2" spans="1:6" x14ac:dyDescent="0.25">
      <c r="A2" s="97" t="s">
        <v>162</v>
      </c>
      <c r="B2" s="97" t="s">
        <v>163</v>
      </c>
      <c r="C2" s="97" t="s">
        <v>117</v>
      </c>
      <c r="D2" s="97" t="s">
        <v>164</v>
      </c>
      <c r="E2" s="98">
        <v>110594.489</v>
      </c>
      <c r="F2" s="99">
        <v>78240.964178053095</v>
      </c>
    </row>
    <row r="3" spans="1:6" x14ac:dyDescent="0.25">
      <c r="A3" s="30" t="s">
        <v>165</v>
      </c>
      <c r="B3" s="30" t="s">
        <v>2</v>
      </c>
      <c r="C3" s="30" t="s">
        <v>124</v>
      </c>
      <c r="D3" s="30" t="s">
        <v>164</v>
      </c>
      <c r="E3" s="79">
        <v>265372.02880000015</v>
      </c>
      <c r="F3" s="100">
        <v>171703.4978070069</v>
      </c>
    </row>
    <row r="4" spans="1:6" x14ac:dyDescent="0.25">
      <c r="A4" s="97" t="s">
        <v>166</v>
      </c>
      <c r="B4" s="97" t="s">
        <v>3</v>
      </c>
      <c r="C4" s="97" t="s">
        <v>117</v>
      </c>
      <c r="D4" s="97" t="s">
        <v>164</v>
      </c>
      <c r="E4" s="98">
        <v>26171</v>
      </c>
      <c r="F4" s="99">
        <v>13791.290165725788</v>
      </c>
    </row>
    <row r="5" spans="1:6" x14ac:dyDescent="0.25">
      <c r="A5" s="30" t="s">
        <v>167</v>
      </c>
      <c r="B5" s="30" t="s">
        <v>4</v>
      </c>
      <c r="C5" s="30" t="s">
        <v>133</v>
      </c>
      <c r="D5" s="30" t="s">
        <v>164</v>
      </c>
      <c r="E5" s="79">
        <v>24587</v>
      </c>
      <c r="F5" s="100">
        <v>6656.7476169818319</v>
      </c>
    </row>
    <row r="6" spans="1:6" x14ac:dyDescent="0.25">
      <c r="A6" s="97" t="s">
        <v>168</v>
      </c>
      <c r="B6" s="97" t="s">
        <v>5</v>
      </c>
      <c r="C6" s="97" t="s">
        <v>129</v>
      </c>
      <c r="D6" s="97" t="s">
        <v>164</v>
      </c>
      <c r="E6" s="98">
        <v>104066.15040000004</v>
      </c>
      <c r="F6" s="99">
        <v>91629.307316704435</v>
      </c>
    </row>
    <row r="7" spans="1:6" x14ac:dyDescent="0.25">
      <c r="A7" s="30" t="s">
        <v>169</v>
      </c>
      <c r="B7" s="30" t="s">
        <v>83</v>
      </c>
      <c r="C7" s="30" t="s">
        <v>117</v>
      </c>
      <c r="D7" s="30" t="s">
        <v>164</v>
      </c>
      <c r="E7" s="79">
        <v>146345.40696000005</v>
      </c>
      <c r="F7" s="100">
        <v>27180.821150192936</v>
      </c>
    </row>
    <row r="8" spans="1:6" x14ac:dyDescent="0.25">
      <c r="A8" s="97" t="s">
        <v>170</v>
      </c>
      <c r="B8" s="97" t="s">
        <v>7</v>
      </c>
      <c r="C8" s="97" t="s">
        <v>111</v>
      </c>
      <c r="D8" s="97" t="s">
        <v>164</v>
      </c>
      <c r="E8" s="98">
        <v>182068.2471119999</v>
      </c>
      <c r="F8" s="99">
        <v>151594.20238356592</v>
      </c>
    </row>
    <row r="9" spans="1:6" x14ac:dyDescent="0.25">
      <c r="A9" s="30" t="s">
        <v>171</v>
      </c>
      <c r="B9" s="30" t="s">
        <v>96</v>
      </c>
      <c r="C9" s="30" t="s">
        <v>127</v>
      </c>
      <c r="D9" s="30" t="s">
        <v>164</v>
      </c>
      <c r="E9" s="79">
        <v>124096</v>
      </c>
      <c r="F9" s="100">
        <v>66505.479668462925</v>
      </c>
    </row>
    <row r="10" spans="1:6" x14ac:dyDescent="0.25">
      <c r="A10" s="97" t="s">
        <v>172</v>
      </c>
      <c r="B10" s="97" t="s">
        <v>8</v>
      </c>
      <c r="C10" s="97" t="s">
        <v>127</v>
      </c>
      <c r="D10" s="97" t="s">
        <v>164</v>
      </c>
      <c r="E10" s="98">
        <v>178534</v>
      </c>
      <c r="F10" s="99">
        <v>79369.259316286232</v>
      </c>
    </row>
    <row r="11" spans="1:6" x14ac:dyDescent="0.25">
      <c r="A11" s="30" t="s">
        <v>173</v>
      </c>
      <c r="B11" s="30" t="s">
        <v>9</v>
      </c>
      <c r="C11" s="30" t="s">
        <v>117</v>
      </c>
      <c r="D11" s="30" t="s">
        <v>164</v>
      </c>
      <c r="E11" s="79">
        <v>27397.922015999997</v>
      </c>
      <c r="F11" s="100">
        <v>9412.3100994900014</v>
      </c>
    </row>
    <row r="12" spans="1:6" x14ac:dyDescent="0.25">
      <c r="A12" s="97" t="s">
        <v>174</v>
      </c>
      <c r="B12" s="97" t="s">
        <v>10</v>
      </c>
      <c r="C12" s="97" t="s">
        <v>111</v>
      </c>
      <c r="D12" s="97" t="s">
        <v>164</v>
      </c>
      <c r="E12" s="98">
        <v>60882.838983999995</v>
      </c>
      <c r="F12" s="99">
        <v>60573.277525875877</v>
      </c>
    </row>
    <row r="13" spans="1:6" x14ac:dyDescent="0.25">
      <c r="A13" s="30" t="s">
        <v>175</v>
      </c>
      <c r="B13" s="30" t="s">
        <v>11</v>
      </c>
      <c r="C13" s="30" t="s">
        <v>125</v>
      </c>
      <c r="D13" s="30" t="s">
        <v>164</v>
      </c>
      <c r="E13" s="79">
        <v>74255.524200000014</v>
      </c>
      <c r="F13" s="100">
        <v>44310.062860390266</v>
      </c>
    </row>
    <row r="14" spans="1:6" x14ac:dyDescent="0.25">
      <c r="A14" s="97" t="s">
        <v>176</v>
      </c>
      <c r="B14" s="97" t="s">
        <v>12</v>
      </c>
      <c r="C14" s="97" t="s">
        <v>117</v>
      </c>
      <c r="D14" s="97" t="s">
        <v>164</v>
      </c>
      <c r="E14" s="98">
        <v>151837.35529599997</v>
      </c>
      <c r="F14" s="99">
        <v>32793.876250880952</v>
      </c>
    </row>
    <row r="15" spans="1:6" x14ac:dyDescent="0.25">
      <c r="A15" s="30" t="s">
        <v>177</v>
      </c>
      <c r="B15" s="30" t="s">
        <v>13</v>
      </c>
      <c r="C15" s="30" t="s">
        <v>125</v>
      </c>
      <c r="D15" s="30" t="s">
        <v>164</v>
      </c>
      <c r="E15" s="79">
        <v>75287.279999999955</v>
      </c>
      <c r="F15" s="100">
        <v>32247.584676247403</v>
      </c>
    </row>
    <row r="16" spans="1:6" x14ac:dyDescent="0.25">
      <c r="A16" s="97" t="s">
        <v>178</v>
      </c>
      <c r="B16" s="97" t="s">
        <v>14</v>
      </c>
      <c r="C16" s="97" t="s">
        <v>127</v>
      </c>
      <c r="D16" s="97" t="s">
        <v>164</v>
      </c>
      <c r="E16" s="98">
        <v>35094</v>
      </c>
      <c r="F16" s="99">
        <v>5041.5172774335551</v>
      </c>
    </row>
    <row r="17" spans="1:6" x14ac:dyDescent="0.25">
      <c r="A17" s="30" t="s">
        <v>179</v>
      </c>
      <c r="B17" s="30" t="s">
        <v>180</v>
      </c>
      <c r="C17" s="30" t="s">
        <v>125</v>
      </c>
      <c r="D17" s="30" t="s">
        <v>164</v>
      </c>
      <c r="E17" s="79">
        <v>36371.480000000003</v>
      </c>
      <c r="F17" s="100">
        <v>12662.191234540689</v>
      </c>
    </row>
    <row r="18" spans="1:6" x14ac:dyDescent="0.25">
      <c r="A18" s="97" t="s">
        <v>181</v>
      </c>
      <c r="B18" s="97" t="s">
        <v>15</v>
      </c>
      <c r="C18" s="97" t="s">
        <v>132</v>
      </c>
      <c r="D18" s="97" t="s">
        <v>164</v>
      </c>
      <c r="E18" s="98">
        <v>26452</v>
      </c>
      <c r="F18" s="99">
        <v>10107.177123675472</v>
      </c>
    </row>
    <row r="19" spans="1:6" x14ac:dyDescent="0.25">
      <c r="A19" s="30" t="s">
        <v>182</v>
      </c>
      <c r="B19" s="30" t="s">
        <v>183</v>
      </c>
      <c r="C19" s="30" t="s">
        <v>127</v>
      </c>
      <c r="D19" s="30" t="s">
        <v>164</v>
      </c>
      <c r="E19" s="79">
        <v>38389.785944000003</v>
      </c>
      <c r="F19" s="100">
        <v>19840.254595257782</v>
      </c>
    </row>
    <row r="20" spans="1:6" x14ac:dyDescent="0.25">
      <c r="A20" s="97" t="s">
        <v>184</v>
      </c>
      <c r="B20" s="97" t="s">
        <v>16</v>
      </c>
      <c r="C20" s="97" t="s">
        <v>135</v>
      </c>
      <c r="D20" s="97" t="s">
        <v>164</v>
      </c>
      <c r="E20" s="98">
        <v>19176.379000000001</v>
      </c>
      <c r="F20" s="99">
        <v>5958.8762529929299</v>
      </c>
    </row>
    <row r="21" spans="1:6" x14ac:dyDescent="0.25">
      <c r="A21" s="30" t="s">
        <v>185</v>
      </c>
      <c r="B21" s="30" t="s">
        <v>17</v>
      </c>
      <c r="C21" s="30" t="s">
        <v>133</v>
      </c>
      <c r="D21" s="30" t="s">
        <v>164</v>
      </c>
      <c r="E21" s="79">
        <v>78553.013183999996</v>
      </c>
      <c r="F21" s="100">
        <v>11737.89370301184</v>
      </c>
    </row>
    <row r="22" spans="1:6" x14ac:dyDescent="0.25">
      <c r="A22" s="97" t="s">
        <v>186</v>
      </c>
      <c r="B22" s="97" t="s">
        <v>18</v>
      </c>
      <c r="C22" s="97" t="s">
        <v>127</v>
      </c>
      <c r="D22" s="97" t="s">
        <v>164</v>
      </c>
      <c r="E22" s="98">
        <v>187014.09524600004</v>
      </c>
      <c r="F22" s="99">
        <v>92225.256194979564</v>
      </c>
    </row>
    <row r="23" spans="1:6" x14ac:dyDescent="0.25">
      <c r="A23" s="30" t="s">
        <v>187</v>
      </c>
      <c r="B23" s="30" t="s">
        <v>19</v>
      </c>
      <c r="C23" s="30" t="s">
        <v>125</v>
      </c>
      <c r="D23" s="30" t="s">
        <v>164</v>
      </c>
      <c r="E23" s="79">
        <v>251545.7062500001</v>
      </c>
      <c r="F23" s="100">
        <v>19214.75062867544</v>
      </c>
    </row>
    <row r="24" spans="1:6" x14ac:dyDescent="0.25">
      <c r="A24" s="97" t="s">
        <v>188</v>
      </c>
      <c r="B24" s="97" t="s">
        <v>20</v>
      </c>
      <c r="C24" s="97" t="s">
        <v>117</v>
      </c>
      <c r="D24" s="97" t="s">
        <v>164</v>
      </c>
      <c r="E24" s="98">
        <v>61786.355999999992</v>
      </c>
      <c r="F24" s="99">
        <v>39833.290219168477</v>
      </c>
    </row>
    <row r="25" spans="1:6" x14ac:dyDescent="0.25">
      <c r="A25" s="30" t="s">
        <v>189</v>
      </c>
      <c r="B25" s="30" t="s">
        <v>21</v>
      </c>
      <c r="C25" s="30" t="s">
        <v>139</v>
      </c>
      <c r="D25" s="30" t="s">
        <v>164</v>
      </c>
      <c r="E25" s="79">
        <v>11082.454</v>
      </c>
      <c r="F25" s="100">
        <v>1041.6164535348087</v>
      </c>
    </row>
    <row r="26" spans="1:6" x14ac:dyDescent="0.25">
      <c r="A26" s="97" t="s">
        <v>190</v>
      </c>
      <c r="B26" s="97" t="s">
        <v>22</v>
      </c>
      <c r="C26" s="97" t="s">
        <v>117</v>
      </c>
      <c r="D26" s="97" t="s">
        <v>164</v>
      </c>
      <c r="E26" s="98">
        <v>44740.833599999998</v>
      </c>
      <c r="F26" s="99">
        <v>7103.2057058461787</v>
      </c>
    </row>
    <row r="27" spans="1:6" x14ac:dyDescent="0.25">
      <c r="A27" s="30" t="s">
        <v>191</v>
      </c>
      <c r="B27" s="30" t="s">
        <v>23</v>
      </c>
      <c r="C27" s="30" t="s">
        <v>132</v>
      </c>
      <c r="D27" s="30" t="s">
        <v>164</v>
      </c>
      <c r="E27" s="79">
        <v>812.4</v>
      </c>
      <c r="F27" s="100">
        <v>744.30830420710652</v>
      </c>
    </row>
    <row r="28" spans="1:6" x14ac:dyDescent="0.25">
      <c r="A28" s="97" t="s">
        <v>192</v>
      </c>
      <c r="B28" s="97" t="s">
        <v>24</v>
      </c>
      <c r="C28" s="97" t="s">
        <v>117</v>
      </c>
      <c r="D28" s="97" t="s">
        <v>164</v>
      </c>
      <c r="E28" s="98">
        <v>129959.92400000003</v>
      </c>
      <c r="F28" s="99">
        <v>75155.343453675232</v>
      </c>
    </row>
    <row r="29" spans="1:6" x14ac:dyDescent="0.25">
      <c r="A29" s="30" t="s">
        <v>193</v>
      </c>
      <c r="B29" s="30" t="s">
        <v>25</v>
      </c>
      <c r="C29" s="30" t="s">
        <v>122</v>
      </c>
      <c r="D29" s="30" t="s">
        <v>164</v>
      </c>
      <c r="E29" s="79">
        <v>22979.535200000002</v>
      </c>
      <c r="F29" s="100">
        <v>14574.070793404973</v>
      </c>
    </row>
    <row r="30" spans="1:6" x14ac:dyDescent="0.25">
      <c r="A30" s="97" t="s">
        <v>194</v>
      </c>
      <c r="B30" s="97" t="s">
        <v>26</v>
      </c>
      <c r="C30" s="97" t="s">
        <v>136</v>
      </c>
      <c r="D30" s="97" t="s">
        <v>164</v>
      </c>
      <c r="E30" s="98">
        <v>63350.243199999997</v>
      </c>
      <c r="F30" s="99">
        <v>23340.920231854023</v>
      </c>
    </row>
    <row r="31" spans="1:6" x14ac:dyDescent="0.25">
      <c r="A31" s="30" t="s">
        <v>195</v>
      </c>
      <c r="B31" s="30" t="s">
        <v>27</v>
      </c>
      <c r="C31" s="30" t="s">
        <v>125</v>
      </c>
      <c r="D31" s="30" t="s">
        <v>164</v>
      </c>
      <c r="E31" s="79">
        <v>47018.001600000003</v>
      </c>
      <c r="F31" s="100">
        <v>36462.95362853499</v>
      </c>
    </row>
    <row r="32" spans="1:6" x14ac:dyDescent="0.25">
      <c r="A32" s="97" t="s">
        <v>196</v>
      </c>
      <c r="B32" s="97" t="s">
        <v>28</v>
      </c>
      <c r="C32" s="97" t="s">
        <v>132</v>
      </c>
      <c r="D32" s="97" t="s">
        <v>164</v>
      </c>
      <c r="E32" s="98">
        <v>69132.501231999981</v>
      </c>
      <c r="F32" s="99">
        <v>52203.104997488474</v>
      </c>
    </row>
    <row r="33" spans="1:6" x14ac:dyDescent="0.25">
      <c r="A33" s="30" t="s">
        <v>197</v>
      </c>
      <c r="B33" s="30" t="s">
        <v>29</v>
      </c>
      <c r="C33" s="30" t="s">
        <v>125</v>
      </c>
      <c r="D33" s="30" t="s">
        <v>164</v>
      </c>
      <c r="E33" s="79">
        <v>22724</v>
      </c>
      <c r="F33" s="100">
        <v>4466.0790200396841</v>
      </c>
    </row>
    <row r="34" spans="1:6" x14ac:dyDescent="0.25">
      <c r="A34" s="97" t="s">
        <v>198</v>
      </c>
      <c r="B34" s="97" t="s">
        <v>30</v>
      </c>
      <c r="C34" s="97" t="s">
        <v>127</v>
      </c>
      <c r="D34" s="97" t="s">
        <v>164</v>
      </c>
      <c r="E34" s="98">
        <v>136284</v>
      </c>
      <c r="F34" s="99">
        <v>61680.103608114805</v>
      </c>
    </row>
    <row r="35" spans="1:6" x14ac:dyDescent="0.25">
      <c r="A35" s="30" t="s">
        <v>199</v>
      </c>
      <c r="B35" s="30" t="s">
        <v>31</v>
      </c>
      <c r="C35" s="30" t="s">
        <v>117</v>
      </c>
      <c r="D35" s="30" t="s">
        <v>164</v>
      </c>
      <c r="E35" s="79">
        <v>152761</v>
      </c>
      <c r="F35" s="100">
        <v>86832.960867592148</v>
      </c>
    </row>
    <row r="36" spans="1:6" x14ac:dyDescent="0.25">
      <c r="A36" s="97" t="s">
        <v>200</v>
      </c>
      <c r="B36" s="97" t="s">
        <v>32</v>
      </c>
      <c r="C36" s="97" t="s">
        <v>122</v>
      </c>
      <c r="D36" s="97" t="s">
        <v>164</v>
      </c>
      <c r="E36" s="98">
        <v>36620.83728</v>
      </c>
      <c r="F36" s="99">
        <v>11610.612907422201</v>
      </c>
    </row>
    <row r="37" spans="1:6" x14ac:dyDescent="0.25">
      <c r="A37" s="30" t="s">
        <v>201</v>
      </c>
      <c r="B37" s="30" t="s">
        <v>33</v>
      </c>
      <c r="C37" s="30" t="s">
        <v>127</v>
      </c>
      <c r="D37" s="30" t="s">
        <v>164</v>
      </c>
      <c r="E37" s="79">
        <v>21399</v>
      </c>
      <c r="F37" s="100">
        <v>17570.84919894964</v>
      </c>
    </row>
    <row r="38" spans="1:6" x14ac:dyDescent="0.25">
      <c r="A38" s="97" t="s">
        <v>202</v>
      </c>
      <c r="B38" s="97" t="s">
        <v>34</v>
      </c>
      <c r="C38" s="97" t="s">
        <v>127</v>
      </c>
      <c r="D38" s="97" t="s">
        <v>164</v>
      </c>
      <c r="E38" s="98">
        <v>156737</v>
      </c>
      <c r="F38" s="99">
        <v>123213.64071313376</v>
      </c>
    </row>
    <row r="39" spans="1:6" x14ac:dyDescent="0.25">
      <c r="A39" s="30" t="s">
        <v>203</v>
      </c>
      <c r="B39" s="30" t="s">
        <v>98</v>
      </c>
      <c r="C39" s="30" t="s">
        <v>127</v>
      </c>
      <c r="D39" s="30" t="s">
        <v>164</v>
      </c>
      <c r="E39" s="79">
        <v>97661</v>
      </c>
      <c r="F39" s="100">
        <v>43395.029752507151</v>
      </c>
    </row>
    <row r="40" spans="1:6" x14ac:dyDescent="0.25">
      <c r="A40" s="97" t="s">
        <v>204</v>
      </c>
      <c r="B40" s="97" t="s">
        <v>35</v>
      </c>
      <c r="C40" s="97" t="s">
        <v>122</v>
      </c>
      <c r="D40" s="97" t="s">
        <v>164</v>
      </c>
      <c r="E40" s="98">
        <v>101924.88160000001</v>
      </c>
      <c r="F40" s="99">
        <v>68251.613256207391</v>
      </c>
    </row>
    <row r="41" spans="1:6" x14ac:dyDescent="0.25">
      <c r="A41" s="30" t="s">
        <v>205</v>
      </c>
      <c r="B41" s="30" t="s">
        <v>36</v>
      </c>
      <c r="C41" s="30" t="s">
        <v>129</v>
      </c>
      <c r="D41" s="30" t="s">
        <v>164</v>
      </c>
      <c r="E41" s="79">
        <v>60525.494399999996</v>
      </c>
      <c r="F41" s="100">
        <v>5138.849705816694</v>
      </c>
    </row>
    <row r="42" spans="1:6" x14ac:dyDescent="0.25">
      <c r="A42" s="97" t="s">
        <v>206</v>
      </c>
      <c r="B42" s="97" t="s">
        <v>37</v>
      </c>
      <c r="C42" s="97" t="s">
        <v>111</v>
      </c>
      <c r="D42" s="97" t="s">
        <v>164</v>
      </c>
      <c r="E42" s="98">
        <v>81737.72</v>
      </c>
      <c r="F42" s="99">
        <v>67307.695444082405</v>
      </c>
    </row>
    <row r="43" spans="1:6" x14ac:dyDescent="0.25">
      <c r="A43" s="30" t="s">
        <v>207</v>
      </c>
      <c r="B43" s="30" t="s">
        <v>38</v>
      </c>
      <c r="C43" s="30" t="s">
        <v>133</v>
      </c>
      <c r="D43" s="30" t="s">
        <v>164</v>
      </c>
      <c r="E43" s="79">
        <v>28283.360000000001</v>
      </c>
      <c r="F43" s="100">
        <v>6489.8369612275828</v>
      </c>
    </row>
    <row r="44" spans="1:6" x14ac:dyDescent="0.25">
      <c r="A44" s="97" t="s">
        <v>208</v>
      </c>
      <c r="B44" s="97" t="s">
        <v>39</v>
      </c>
      <c r="C44" s="97" t="s">
        <v>122</v>
      </c>
      <c r="D44" s="97" t="s">
        <v>164</v>
      </c>
      <c r="E44" s="98">
        <v>85524.036800000002</v>
      </c>
      <c r="F44" s="99">
        <v>57868.480364122479</v>
      </c>
    </row>
    <row r="45" spans="1:6" x14ac:dyDescent="0.25">
      <c r="A45" s="30" t="s">
        <v>209</v>
      </c>
      <c r="B45" s="30" t="s">
        <v>40</v>
      </c>
      <c r="C45" s="30" t="s">
        <v>124</v>
      </c>
      <c r="D45" s="30" t="s">
        <v>164</v>
      </c>
      <c r="E45" s="79">
        <v>121180</v>
      </c>
      <c r="F45" s="100">
        <v>73367.308383054638</v>
      </c>
    </row>
    <row r="46" spans="1:6" x14ac:dyDescent="0.25">
      <c r="A46" s="97" t="s">
        <v>210</v>
      </c>
      <c r="B46" s="97" t="s">
        <v>41</v>
      </c>
      <c r="C46" s="97" t="s">
        <v>122</v>
      </c>
      <c r="D46" s="97" t="s">
        <v>164</v>
      </c>
      <c r="E46" s="98">
        <v>43101.428800000009</v>
      </c>
      <c r="F46" s="99">
        <v>14793.643655087924</v>
      </c>
    </row>
    <row r="47" spans="1:6" x14ac:dyDescent="0.25">
      <c r="A47" s="30" t="s">
        <v>211</v>
      </c>
      <c r="B47" s="30" t="s">
        <v>42</v>
      </c>
      <c r="C47" s="30" t="s">
        <v>111</v>
      </c>
      <c r="D47" s="30" t="s">
        <v>164</v>
      </c>
      <c r="E47" s="79">
        <v>30083.262999999999</v>
      </c>
      <c r="F47" s="100">
        <v>6448.8527245637169</v>
      </c>
    </row>
    <row r="48" spans="1:6" x14ac:dyDescent="0.25">
      <c r="A48" s="97" t="s">
        <v>212</v>
      </c>
      <c r="B48" s="97" t="s">
        <v>43</v>
      </c>
      <c r="C48" s="97" t="s">
        <v>127</v>
      </c>
      <c r="D48" s="97" t="s">
        <v>164</v>
      </c>
      <c r="E48" s="98">
        <v>28498</v>
      </c>
      <c r="F48" s="99">
        <v>26302.187589666148</v>
      </c>
    </row>
    <row r="49" spans="1:6" x14ac:dyDescent="0.25">
      <c r="A49" s="30" t="s">
        <v>213</v>
      </c>
      <c r="B49" s="30" t="s">
        <v>44</v>
      </c>
      <c r="C49" s="30" t="s">
        <v>138</v>
      </c>
      <c r="D49" s="30" t="s">
        <v>164</v>
      </c>
      <c r="E49" s="79">
        <v>18188.14</v>
      </c>
      <c r="F49" s="100">
        <v>5989.241978045161</v>
      </c>
    </row>
    <row r="50" spans="1:6" x14ac:dyDescent="0.25">
      <c r="A50" s="97" t="s">
        <v>214</v>
      </c>
      <c r="B50" s="97" t="s">
        <v>45</v>
      </c>
      <c r="C50" s="97" t="s">
        <v>120</v>
      </c>
      <c r="D50" s="97" t="s">
        <v>164</v>
      </c>
      <c r="E50" s="98">
        <v>24867.994599999998</v>
      </c>
      <c r="F50" s="99">
        <v>12643.490413589292</v>
      </c>
    </row>
    <row r="51" spans="1:6" x14ac:dyDescent="0.25">
      <c r="A51" s="30" t="s">
        <v>215</v>
      </c>
      <c r="B51" s="30" t="s">
        <v>46</v>
      </c>
      <c r="C51" s="30" t="s">
        <v>120</v>
      </c>
      <c r="D51" s="30" t="s">
        <v>164</v>
      </c>
      <c r="E51" s="79">
        <v>128071</v>
      </c>
      <c r="F51" s="100">
        <v>23560.66190357352</v>
      </c>
    </row>
    <row r="52" spans="1:6" x14ac:dyDescent="0.25">
      <c r="A52" s="97" t="s">
        <v>216</v>
      </c>
      <c r="B52" s="97" t="s">
        <v>47</v>
      </c>
      <c r="C52" s="97" t="s">
        <v>120</v>
      </c>
      <c r="D52" s="97" t="s">
        <v>164</v>
      </c>
      <c r="E52" s="98">
        <v>25674</v>
      </c>
      <c r="F52" s="99">
        <v>4075.4628127403316</v>
      </c>
    </row>
    <row r="53" spans="1:6" x14ac:dyDescent="0.25">
      <c r="A53" s="30" t="s">
        <v>217</v>
      </c>
      <c r="B53" s="30" t="s">
        <v>48</v>
      </c>
      <c r="C53" s="30" t="s">
        <v>127</v>
      </c>
      <c r="D53" s="30" t="s">
        <v>164</v>
      </c>
      <c r="E53" s="79">
        <v>44237</v>
      </c>
      <c r="F53" s="100">
        <v>31992.051864244233</v>
      </c>
    </row>
    <row r="54" spans="1:6" x14ac:dyDescent="0.25">
      <c r="A54" s="97" t="s">
        <v>218</v>
      </c>
      <c r="B54" s="97" t="s">
        <v>49</v>
      </c>
      <c r="C54" s="97" t="s">
        <v>120</v>
      </c>
      <c r="D54" s="97" t="s">
        <v>164</v>
      </c>
      <c r="E54" s="98">
        <v>58899.704799999992</v>
      </c>
      <c r="F54" s="99">
        <v>17011.759078401352</v>
      </c>
    </row>
    <row r="55" spans="1:6" x14ac:dyDescent="0.25">
      <c r="A55" s="30" t="s">
        <v>219</v>
      </c>
      <c r="B55" s="30" t="s">
        <v>220</v>
      </c>
      <c r="C55" s="30" t="s">
        <v>122</v>
      </c>
      <c r="D55" s="30" t="s">
        <v>164</v>
      </c>
      <c r="E55" s="79">
        <v>18423.816000000003</v>
      </c>
      <c r="F55" s="100">
        <v>14115.360143831762</v>
      </c>
    </row>
    <row r="56" spans="1:6" x14ac:dyDescent="0.25">
      <c r="A56" s="97" t="s">
        <v>221</v>
      </c>
      <c r="B56" s="97" t="s">
        <v>222</v>
      </c>
      <c r="C56" s="97" t="s">
        <v>122</v>
      </c>
      <c r="D56" s="97" t="s">
        <v>164</v>
      </c>
      <c r="E56" s="98">
        <v>4817.9873200000002</v>
      </c>
      <c r="F56" s="99">
        <v>692.78872385898842</v>
      </c>
    </row>
    <row r="57" spans="1:6" x14ac:dyDescent="0.25">
      <c r="A57" s="30" t="s">
        <v>223</v>
      </c>
      <c r="B57" s="30" t="s">
        <v>224</v>
      </c>
      <c r="C57" s="30" t="s">
        <v>127</v>
      </c>
      <c r="D57" s="30" t="s">
        <v>164</v>
      </c>
      <c r="E57" s="79">
        <v>48446.298000000003</v>
      </c>
      <c r="F57" s="100">
        <v>24236.884972116812</v>
      </c>
    </row>
    <row r="58" spans="1:6" x14ac:dyDescent="0.25">
      <c r="A58" s="97" t="s">
        <v>225</v>
      </c>
      <c r="B58" s="97" t="s">
        <v>226</v>
      </c>
      <c r="C58" s="97" t="s">
        <v>127</v>
      </c>
      <c r="D58" s="97" t="s">
        <v>164</v>
      </c>
      <c r="E58" s="98">
        <v>14871.614399999999</v>
      </c>
      <c r="F58" s="99">
        <v>5924.0584813249043</v>
      </c>
    </row>
    <row r="59" spans="1:6" x14ac:dyDescent="0.25">
      <c r="A59" s="30" t="s">
        <v>227</v>
      </c>
      <c r="B59" s="30" t="s">
        <v>228</v>
      </c>
      <c r="C59" s="30" t="s">
        <v>229</v>
      </c>
      <c r="D59" s="30" t="s">
        <v>164</v>
      </c>
      <c r="E59" s="79">
        <v>21903.388799999997</v>
      </c>
      <c r="F59" s="100">
        <v>8266.6418969461647</v>
      </c>
    </row>
    <row r="60" spans="1:6" x14ac:dyDescent="0.25">
      <c r="A60" s="97" t="s">
        <v>230</v>
      </c>
      <c r="B60" s="97" t="s">
        <v>231</v>
      </c>
      <c r="C60" s="97" t="s">
        <v>139</v>
      </c>
      <c r="D60" s="97" t="s">
        <v>164</v>
      </c>
      <c r="E60" s="98">
        <v>22777.536320000003</v>
      </c>
      <c r="F60" s="99">
        <v>11314.962301134417</v>
      </c>
    </row>
    <row r="61" spans="1:6" x14ac:dyDescent="0.25">
      <c r="A61" s="30" t="s">
        <v>232</v>
      </c>
      <c r="B61" s="30" t="s">
        <v>233</v>
      </c>
      <c r="C61" s="30" t="s">
        <v>133</v>
      </c>
      <c r="D61" s="30" t="s">
        <v>164</v>
      </c>
      <c r="E61" s="79">
        <v>150504.42976000003</v>
      </c>
      <c r="F61" s="100">
        <v>80845.758690981223</v>
      </c>
    </row>
    <row r="62" spans="1:6" x14ac:dyDescent="0.25">
      <c r="A62" s="97" t="s">
        <v>234</v>
      </c>
      <c r="B62" s="97" t="s">
        <v>235</v>
      </c>
      <c r="C62" s="97" t="s">
        <v>133</v>
      </c>
      <c r="D62" s="97" t="s">
        <v>164</v>
      </c>
      <c r="E62" s="98">
        <v>60588.147255999997</v>
      </c>
      <c r="F62" s="99">
        <v>8188.8772327977358</v>
      </c>
    </row>
    <row r="63" spans="1:6" x14ac:dyDescent="0.25">
      <c r="A63" s="30" t="s">
        <v>236</v>
      </c>
      <c r="B63" s="30" t="s">
        <v>237</v>
      </c>
      <c r="C63" s="30" t="s">
        <v>127</v>
      </c>
      <c r="D63" s="30" t="s">
        <v>164</v>
      </c>
      <c r="E63" s="79">
        <v>133389.65563999995</v>
      </c>
      <c r="F63" s="100">
        <v>101355.83394335127</v>
      </c>
    </row>
    <row r="64" spans="1:6" x14ac:dyDescent="0.25">
      <c r="A64" s="101" t="s">
        <v>238</v>
      </c>
      <c r="B64" s="101" t="s">
        <v>239</v>
      </c>
      <c r="C64" s="101" t="s">
        <v>125</v>
      </c>
      <c r="D64" s="101" t="s">
        <v>164</v>
      </c>
      <c r="E64" s="102">
        <v>12390.439999999999</v>
      </c>
      <c r="F64" s="96">
        <v>2808.151979744011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N15" sqref="N15"/>
    </sheetView>
  </sheetViews>
  <sheetFormatPr defaultRowHeight="15" x14ac:dyDescent="0.25"/>
  <cols>
    <col min="1" max="1" width="32.5703125" bestFit="1" customWidth="1"/>
    <col min="2" max="2" width="21.28515625" customWidth="1"/>
  </cols>
  <sheetData>
    <row r="1" spans="1:5" x14ac:dyDescent="0.25">
      <c r="A1" s="90" t="s">
        <v>106</v>
      </c>
      <c r="B1" s="91" t="s">
        <v>242</v>
      </c>
    </row>
    <row r="2" spans="1:5" x14ac:dyDescent="0.25">
      <c r="A2" s="92" t="s">
        <v>37</v>
      </c>
      <c r="B2" s="94">
        <v>-0.61405056316850615</v>
      </c>
      <c r="D2" t="s">
        <v>240</v>
      </c>
      <c r="E2" s="26">
        <f>AVERAGE(Table1[Profit Margin])</f>
        <v>-5.8375633845242954</v>
      </c>
    </row>
    <row r="3" spans="1:5" x14ac:dyDescent="0.25">
      <c r="A3" s="92" t="s">
        <v>7</v>
      </c>
      <c r="B3" s="94">
        <v>0.59680319081583533</v>
      </c>
      <c r="D3" t="s">
        <v>241</v>
      </c>
      <c r="E3" s="26">
        <f>MEDIAN(Table1[Profit Margin])</f>
        <v>-0.79481678933545197</v>
      </c>
    </row>
    <row r="4" spans="1:5" x14ac:dyDescent="0.25">
      <c r="A4" s="92" t="s">
        <v>6</v>
      </c>
      <c r="B4" s="94">
        <v>0.24503202703760371</v>
      </c>
      <c r="D4" t="s">
        <v>243</v>
      </c>
      <c r="E4">
        <f>_xlfn.STDEV.P(Table1[Profit Margin])</f>
        <v>23.248593751264494</v>
      </c>
    </row>
    <row r="5" spans="1:5" x14ac:dyDescent="0.25">
      <c r="A5" s="92" t="s">
        <v>46</v>
      </c>
      <c r="B5" s="94">
        <v>0.4236401978500387</v>
      </c>
    </row>
    <row r="6" spans="1:5" x14ac:dyDescent="0.25">
      <c r="A6" s="92" t="s">
        <v>25</v>
      </c>
      <c r="B6" s="94">
        <v>-1.9902681183685831</v>
      </c>
    </row>
    <row r="7" spans="1:5" x14ac:dyDescent="0.25">
      <c r="A7" s="92" t="s">
        <v>32</v>
      </c>
      <c r="B7" s="94">
        <v>-1.0750143379434127</v>
      </c>
    </row>
    <row r="8" spans="1:5" x14ac:dyDescent="0.25">
      <c r="A8" s="92" t="s">
        <v>40</v>
      </c>
      <c r="B8" s="94">
        <v>0.47469347175342574</v>
      </c>
    </row>
    <row r="9" spans="1:5" x14ac:dyDescent="0.25">
      <c r="A9" s="92" t="s">
        <v>11</v>
      </c>
      <c r="B9" s="94">
        <v>-3.2710914107748335</v>
      </c>
    </row>
    <row r="10" spans="1:5" x14ac:dyDescent="0.25">
      <c r="A10" s="92" t="s">
        <v>30</v>
      </c>
      <c r="B10" s="94">
        <v>0.5210896646859553</v>
      </c>
    </row>
    <row r="11" spans="1:5" x14ac:dyDescent="0.25">
      <c r="A11" s="92" t="s">
        <v>5</v>
      </c>
      <c r="B11" s="94">
        <v>-0.90896243077488859</v>
      </c>
    </row>
    <row r="12" spans="1:5" x14ac:dyDescent="0.25">
      <c r="A12" s="92" t="s">
        <v>23</v>
      </c>
      <c r="B12" s="94">
        <v>-86.033935530062848</v>
      </c>
    </row>
    <row r="13" spans="1:5" x14ac:dyDescent="0.25">
      <c r="A13" s="92" t="s">
        <v>42</v>
      </c>
      <c r="B13" s="94">
        <v>-0.94525031107155122</v>
      </c>
    </row>
    <row r="14" spans="1:5" x14ac:dyDescent="0.25">
      <c r="A14" s="92" t="s">
        <v>38</v>
      </c>
      <c r="B14" s="94">
        <v>-1.2472576341554751</v>
      </c>
    </row>
    <row r="15" spans="1:5" x14ac:dyDescent="0.25">
      <c r="A15" s="92" t="s">
        <v>49</v>
      </c>
      <c r="B15" s="94">
        <v>-0.25323168378846783</v>
      </c>
    </row>
    <row r="16" spans="1:5" x14ac:dyDescent="0.25">
      <c r="A16" s="92" t="s">
        <v>16</v>
      </c>
      <c r="B16" s="94">
        <v>-3.2788812543971435</v>
      </c>
    </row>
    <row r="17" spans="1:2" x14ac:dyDescent="0.25">
      <c r="A17" s="92" t="s">
        <v>12</v>
      </c>
      <c r="B17" s="94">
        <v>0.2723391748390202</v>
      </c>
    </row>
    <row r="18" spans="1:2" x14ac:dyDescent="0.25">
      <c r="A18" s="92" t="s">
        <v>22</v>
      </c>
      <c r="B18" s="94">
        <v>-1.3889265868615364</v>
      </c>
    </row>
    <row r="19" spans="1:2" x14ac:dyDescent="0.25">
      <c r="A19" s="92" t="s">
        <v>2</v>
      </c>
      <c r="B19" s="94">
        <v>0.45271974055755732</v>
      </c>
    </row>
    <row r="20" spans="1:2" x14ac:dyDescent="0.25">
      <c r="A20" s="92" t="s">
        <v>17</v>
      </c>
      <c r="B20" s="94">
        <v>7.6607642253236949E-2</v>
      </c>
    </row>
    <row r="21" spans="1:2" x14ac:dyDescent="0.25">
      <c r="A21" s="92" t="s">
        <v>18</v>
      </c>
      <c r="B21" s="94">
        <v>-0.22029647357295018</v>
      </c>
    </row>
    <row r="22" spans="1:2" x14ac:dyDescent="0.25">
      <c r="A22" s="92" t="s">
        <v>8</v>
      </c>
      <c r="B22" s="94">
        <v>0.19401694199798725</v>
      </c>
    </row>
    <row r="23" spans="1:2" x14ac:dyDescent="0.25">
      <c r="A23" s="92" t="s">
        <v>31</v>
      </c>
      <c r="B23" s="94">
        <v>0.52292826877450427</v>
      </c>
    </row>
    <row r="24" spans="1:2" x14ac:dyDescent="0.25">
      <c r="A24" s="92" t="s">
        <v>26</v>
      </c>
      <c r="B24" s="94">
        <v>-9.2568718811257777E-2</v>
      </c>
    </row>
    <row r="25" spans="1:2" x14ac:dyDescent="0.25">
      <c r="A25" s="92" t="s">
        <v>13</v>
      </c>
      <c r="B25" s="94">
        <v>-1.1050318034888293</v>
      </c>
    </row>
    <row r="26" spans="1:2" x14ac:dyDescent="0.25">
      <c r="A26" s="92" t="s">
        <v>43</v>
      </c>
      <c r="B26" s="94">
        <v>-1.3986263904616507</v>
      </c>
    </row>
    <row r="27" spans="1:2" x14ac:dyDescent="0.25">
      <c r="A27" s="92" t="s">
        <v>29</v>
      </c>
      <c r="B27" s="94">
        <v>-3.3631311426207287</v>
      </c>
    </row>
    <row r="28" spans="1:2" x14ac:dyDescent="0.25">
      <c r="A28" s="92" t="s">
        <v>47</v>
      </c>
      <c r="B28" s="94">
        <v>-2.216919080087266</v>
      </c>
    </row>
    <row r="29" spans="1:2" x14ac:dyDescent="0.25">
      <c r="A29" s="92" t="s">
        <v>39</v>
      </c>
      <c r="B29" s="94">
        <v>9.5468701559389038E-2</v>
      </c>
    </row>
    <row r="30" spans="1:2" x14ac:dyDescent="0.25">
      <c r="A30" s="92" t="s">
        <v>24</v>
      </c>
      <c r="B30" s="94">
        <v>0.1498448764486183</v>
      </c>
    </row>
    <row r="31" spans="1:2" x14ac:dyDescent="0.25">
      <c r="A31" s="92" t="s">
        <v>33</v>
      </c>
      <c r="B31" s="94">
        <v>-2.1943574407858368</v>
      </c>
    </row>
    <row r="32" spans="1:2" x14ac:dyDescent="0.25">
      <c r="A32" s="92" t="s">
        <v>4</v>
      </c>
      <c r="B32" s="94">
        <v>-4.1241269947962511</v>
      </c>
    </row>
    <row r="33" spans="1:2" x14ac:dyDescent="0.25">
      <c r="A33" s="92" t="s">
        <v>28</v>
      </c>
      <c r="B33" s="94">
        <v>-2.2765963397467216E-2</v>
      </c>
    </row>
    <row r="34" spans="1:2" x14ac:dyDescent="0.25">
      <c r="A34" s="92" t="s">
        <v>19</v>
      </c>
      <c r="B34" s="94">
        <v>0.72068402328944081</v>
      </c>
    </row>
    <row r="35" spans="1:2" x14ac:dyDescent="0.25">
      <c r="A35" s="92" t="s">
        <v>3</v>
      </c>
      <c r="B35" s="94">
        <v>-3.2216994094588745</v>
      </c>
    </row>
    <row r="36" spans="1:2" x14ac:dyDescent="0.25">
      <c r="A36" s="92" t="s">
        <v>45</v>
      </c>
      <c r="B36" s="94">
        <v>-2.3211837862535356</v>
      </c>
    </row>
    <row r="37" spans="1:2" x14ac:dyDescent="0.25">
      <c r="A37" s="92" t="s">
        <v>34</v>
      </c>
      <c r="B37" s="94">
        <v>6.2227693430599196E-2</v>
      </c>
    </row>
    <row r="38" spans="1:2" x14ac:dyDescent="0.25">
      <c r="A38" s="92" t="s">
        <v>44</v>
      </c>
      <c r="B38" s="94">
        <v>-2.6444856908488412</v>
      </c>
    </row>
    <row r="39" spans="1:2" x14ac:dyDescent="0.25">
      <c r="A39" s="92" t="s">
        <v>21</v>
      </c>
      <c r="B39" s="94">
        <v>-13.558703121873013</v>
      </c>
    </row>
    <row r="40" spans="1:2" x14ac:dyDescent="0.25">
      <c r="A40" s="92" t="s">
        <v>20</v>
      </c>
      <c r="B40" s="94">
        <v>-0.78819568587194577</v>
      </c>
    </row>
    <row r="41" spans="1:2" x14ac:dyDescent="0.25">
      <c r="A41" s="92" t="s">
        <v>41</v>
      </c>
      <c r="B41" s="94">
        <v>-0.79481678933545197</v>
      </c>
    </row>
    <row r="42" spans="1:2" x14ac:dyDescent="0.25">
      <c r="A42" s="92" t="s">
        <v>48</v>
      </c>
      <c r="B42" s="94">
        <v>-0.54522356568881536</v>
      </c>
    </row>
    <row r="43" spans="1:2" x14ac:dyDescent="0.25">
      <c r="A43" s="92" t="s">
        <v>27</v>
      </c>
      <c r="B43" s="94">
        <v>-0.49433689730799135</v>
      </c>
    </row>
    <row r="44" spans="1:2" x14ac:dyDescent="0.25">
      <c r="A44" s="92" t="s">
        <v>35</v>
      </c>
      <c r="B44" s="94">
        <v>-2.3797255542015372</v>
      </c>
    </row>
    <row r="45" spans="1:2" x14ac:dyDescent="0.25">
      <c r="A45" s="92" t="s">
        <v>36</v>
      </c>
      <c r="B45" s="94">
        <v>-0.20061342237916149</v>
      </c>
    </row>
    <row r="46" spans="1:2" x14ac:dyDescent="0.25">
      <c r="A46" s="92" t="s">
        <v>10</v>
      </c>
      <c r="B46" s="94">
        <v>-0.43244341612860343</v>
      </c>
    </row>
    <row r="47" spans="1:2" x14ac:dyDescent="0.25">
      <c r="A47" s="92" t="s">
        <v>9</v>
      </c>
      <c r="B47" s="94">
        <v>-1.6599810997045052</v>
      </c>
    </row>
    <row r="48" spans="1:2" x14ac:dyDescent="0.25">
      <c r="A48" s="92" t="s">
        <v>15</v>
      </c>
      <c r="B48" s="94">
        <v>-1.7276833901073108</v>
      </c>
    </row>
    <row r="49" spans="1:2" x14ac:dyDescent="0.25">
      <c r="A49" s="92" t="s">
        <v>14</v>
      </c>
      <c r="B49" s="94">
        <v>-1.314612837589374</v>
      </c>
    </row>
    <row r="50" spans="1:2" x14ac:dyDescent="0.25">
      <c r="A50" s="93" t="s">
        <v>154</v>
      </c>
      <c r="B50" s="95">
        <v>-143.02030292084524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2 y O V p k 9 9 2 q m A A A A 9 w A A A B I A H A B D b 2 5 m a W c v U G F j a 2 F n Z S 5 4 b W w g o h g A K K A U A A A A A A A A A A A A A A A A A A A A A A A A A A A A h Y + 9 D o I w G E V f h X S n f y a K 5 K M M T i Z i T E y M K y k V G q E Y W i z v 5 u A j + Q q S K O r m e E / O c O 7 j d o d 0 a O r g q j q r W 5 M g h i k K l J F t o U 2 Z o N 6 d w g i l A n a 5 P O e l C k b Z 2 H i w R Y I q 5 y 4 x I d 5 7 7 G e 4 7 U r C K W X k m G 3 2 s l J N j j 6 y / i + H 2 l i X G 6 m Q g M M r R n D M 2 A L P l y z C H M h E I d P m a / A x G F M g P x B W f e 3 6 T g l l w v U W y D S B v E + I J 1 B L A w Q U A A I A C A B L b I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2 y O V i i K R 7 g O A A A A E Q A A A B M A H A B G b 3 J t d W x h c y 9 T Z W N 0 a W 9 u M S 5 t I K I Y A C i g F A A A A A A A A A A A A A A A A A A A A A A A A A A A A C t O T S 7 J z M 9 T C I b Q h t Y A U E s B A i 0 A F A A C A A g A S 2 y O V p k 9 9 2 q m A A A A 9 w A A A B I A A A A A A A A A A A A A A A A A A A A A A E N v b m Z p Z y 9 Q Y W N r Y W d l L n h t b F B L A Q I t A B Q A A g A I A E t s j l Y P y u m r p A A A A O k A A A A T A A A A A A A A A A A A A A A A A P I A A A B b Q 2 9 u d G V u d F 9 U e X B l c 1 0 u e G 1 s U E s B A i 0 A F A A C A A g A S 2 y O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l R o e R i X R K n f C I w H m N 4 m s A A A A A A g A A A A A A E G Y A A A A B A A A g A A A A f e m a U c h S A G I P D W F J J 5 U 0 B Q L F F 9 o 3 8 y y 9 2 6 R q G j p u E n E A A A A A D o A A A A A C A A A g A A A A m j s K K b e 8 V T N s v v 8 A c g a i z m R 4 H 1 X c j W R D v e 9 c 4 V 0 0 D s B Q A A A A W 3 5 n G E F d 4 r L J z f h x R A b h 8 z S / I Z 8 y 1 S N n x Z E a 5 3 o 8 J K D u C U W 0 l 3 1 d A o 8 I k I x z b x b m / X X + 6 1 t S P m Y N v U 7 d s v 0 Q b B w f T F O f r M j x f C N Y d w a y K p 5 A A A A A o j n Y A 8 r z R R j L p I M s J 1 P K X J c 8 N G k A u s m e i t 8 K u m j B 7 b Y b r 5 N q h t f 5 1 i Q l q H j t t e Z s Q 8 S O D g K a G K t U v A f h c Z 1 e l A = = < / D a t a M a s h u p > 
</file>

<file path=customXml/itemProps1.xml><?xml version="1.0" encoding="utf-8"?>
<ds:datastoreItem xmlns:ds="http://schemas.openxmlformats.org/officeDocument/2006/customXml" ds:itemID="{C2DE51A9-489C-418A-ADF4-47C4173FD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BP Profitability_Sample</vt:lpstr>
      <vt:lpstr>cost_base</vt:lpstr>
      <vt:lpstr>payouts_table_AMD</vt:lpstr>
      <vt:lpstr>Pivot Table Cost Base</vt:lpstr>
      <vt:lpstr>Payout</vt:lpstr>
      <vt:lpstr>EDA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Aritra Basu</cp:lastModifiedBy>
  <dcterms:created xsi:type="dcterms:W3CDTF">2023-03-20T16:53:36Z</dcterms:created>
  <dcterms:modified xsi:type="dcterms:W3CDTF">2023-06-24T19:39:10Z</dcterms:modified>
</cp:coreProperties>
</file>