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390" yWindow="555" windowWidth="19815" windowHeight="7365"/>
  </bookViews>
  <sheets>
    <sheet name="profit_analysis" sheetId="1" r:id="rId1"/>
    <sheet name="Utilization vs Profit Margin" sheetId="13" r:id="rId2"/>
    <sheet name="cost_base_improved" sheetId="2" r:id="rId3"/>
    <sheet name="Pivot Table-1" sheetId="9" r:id="rId4"/>
    <sheet name="Pivot Table-2" sheetId="10" r:id="rId5"/>
    <sheet name="Pivot Table-3" sheetId="12" r:id="rId6"/>
    <sheet name="Payout" sheetId="11" r:id="rId7"/>
    <sheet name="payouts_table_AMD" sheetId="3" r:id="rId8"/>
    <sheet name="partner_vehicles_form_AMD" sheetId="4" r:id="rId9"/>
    <sheet name="AMD_OU_Data" sheetId="5" r:id="rId10"/>
    <sheet name="AMD_EMI_Data" sheetId="6" r:id="rId11"/>
    <sheet name="Vehicle mapping" sheetId="7" r:id="rId12"/>
    <sheet name="rough" sheetId="8" state="hidden" r:id="rId13"/>
  </sheets>
  <externalReferences>
    <externalReference r:id="rId14"/>
  </externalReferences>
  <definedNames>
    <definedName name="_xlnm._FilterDatabase" localSheetId="2" hidden="1">cost_base_improved!$A$1:$R$64</definedName>
    <definedName name="_xlnm._FilterDatabase" localSheetId="8" hidden="1">partner_vehicles_form_AMD!$A$1:$F$49</definedName>
    <definedName name="_xlnm._FilterDatabase" localSheetId="0" hidden="1">profit_analysis!$A$1:$O$49</definedName>
    <definedName name="b">#REF!</definedName>
    <definedName name="cp">#REF!</definedName>
    <definedName name="p">#REF!</definedName>
  </definedNames>
  <calcPr calcId="144525"/>
  <pivotCaches>
    <pivotCache cacheId="0" r:id="rId15"/>
    <pivotCache cacheId="1" r:id="rId16"/>
    <pivotCache cacheId="2" r:id="rId17"/>
  </pivotCaches>
  <extLst>
    <ext uri="GoogleSheetsCustomDataVersion1">
      <go:sheetsCustomData xmlns:go="http://customooxmlschemas.google.com/" r:id="" roundtripDataSignature="AMtx7mgnIoJYHT2jnH29h1oaqGYDe9tDZA==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  <c r="R15" i="1" l="1"/>
  <c r="R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E3" i="1"/>
  <c r="E4" i="1"/>
  <c r="E5" i="1"/>
  <c r="E6" i="1"/>
  <c r="E7" i="1"/>
  <c r="G7" i="1" s="1"/>
  <c r="H7" i="1" s="1"/>
  <c r="L7" i="1" s="1"/>
  <c r="E8" i="1"/>
  <c r="E9" i="1"/>
  <c r="G9" i="1" s="1"/>
  <c r="H9" i="1" s="1"/>
  <c r="L9" i="1" s="1"/>
  <c r="E10" i="1"/>
  <c r="E11" i="1"/>
  <c r="E12" i="1"/>
  <c r="E13" i="1"/>
  <c r="E14" i="1"/>
  <c r="E15" i="1"/>
  <c r="G15" i="1" s="1"/>
  <c r="H15" i="1" s="1"/>
  <c r="L15" i="1" s="1"/>
  <c r="E16" i="1"/>
  <c r="E17" i="1"/>
  <c r="G17" i="1" s="1"/>
  <c r="H17" i="1" s="1"/>
  <c r="L17" i="1" s="1"/>
  <c r="E18" i="1"/>
  <c r="E19" i="1"/>
  <c r="E20" i="1"/>
  <c r="E21" i="1"/>
  <c r="E22" i="1"/>
  <c r="E23" i="1"/>
  <c r="G23" i="1" s="1"/>
  <c r="H23" i="1" s="1"/>
  <c r="L23" i="1" s="1"/>
  <c r="E24" i="1"/>
  <c r="E25" i="1"/>
  <c r="G25" i="1" s="1"/>
  <c r="H25" i="1" s="1"/>
  <c r="L25" i="1" s="1"/>
  <c r="E26" i="1"/>
  <c r="E27" i="1"/>
  <c r="E28" i="1"/>
  <c r="E29" i="1"/>
  <c r="E30" i="1"/>
  <c r="E31" i="1"/>
  <c r="G31" i="1" s="1"/>
  <c r="H31" i="1" s="1"/>
  <c r="L31" i="1" s="1"/>
  <c r="E32" i="1"/>
  <c r="E33" i="1"/>
  <c r="G33" i="1" s="1"/>
  <c r="H33" i="1" s="1"/>
  <c r="L33" i="1" s="1"/>
  <c r="E34" i="1"/>
  <c r="E35" i="1"/>
  <c r="E36" i="1"/>
  <c r="E37" i="1"/>
  <c r="E38" i="1"/>
  <c r="E39" i="1"/>
  <c r="G39" i="1" s="1"/>
  <c r="H39" i="1" s="1"/>
  <c r="L39" i="1" s="1"/>
  <c r="E40" i="1"/>
  <c r="E41" i="1"/>
  <c r="G41" i="1" s="1"/>
  <c r="H41" i="1" s="1"/>
  <c r="L41" i="1" s="1"/>
  <c r="E42" i="1"/>
  <c r="E43" i="1"/>
  <c r="E44" i="1"/>
  <c r="E45" i="1"/>
  <c r="G45" i="1" s="1"/>
  <c r="H45" i="1" s="1"/>
  <c r="L45" i="1" s="1"/>
  <c r="E46" i="1"/>
  <c r="E47" i="1"/>
  <c r="E48" i="1"/>
  <c r="E49" i="1"/>
  <c r="G49" i="1" s="1"/>
  <c r="H49" i="1" s="1"/>
  <c r="L49" i="1" s="1"/>
  <c r="E2" i="1"/>
  <c r="D3" i="1"/>
  <c r="O3" i="1" s="1"/>
  <c r="D4" i="1"/>
  <c r="O4" i="1" s="1"/>
  <c r="D5" i="1"/>
  <c r="O5" i="1" s="1"/>
  <c r="D6" i="1"/>
  <c r="O6" i="1" s="1"/>
  <c r="D7" i="1"/>
  <c r="O7" i="1" s="1"/>
  <c r="D8" i="1"/>
  <c r="O8" i="1" s="1"/>
  <c r="D9" i="1"/>
  <c r="O9" i="1" s="1"/>
  <c r="D10" i="1"/>
  <c r="O10" i="1" s="1"/>
  <c r="D11" i="1"/>
  <c r="O11" i="1" s="1"/>
  <c r="D12" i="1"/>
  <c r="O12" i="1" s="1"/>
  <c r="D13" i="1"/>
  <c r="O13" i="1" s="1"/>
  <c r="D14" i="1"/>
  <c r="O14" i="1" s="1"/>
  <c r="D15" i="1"/>
  <c r="O15" i="1" s="1"/>
  <c r="D16" i="1"/>
  <c r="O16" i="1" s="1"/>
  <c r="D17" i="1"/>
  <c r="O17" i="1" s="1"/>
  <c r="D18" i="1"/>
  <c r="O18" i="1" s="1"/>
  <c r="D19" i="1"/>
  <c r="O19" i="1" s="1"/>
  <c r="D20" i="1"/>
  <c r="O20" i="1" s="1"/>
  <c r="D21" i="1"/>
  <c r="O21" i="1" s="1"/>
  <c r="D22" i="1"/>
  <c r="O22" i="1" s="1"/>
  <c r="D23" i="1"/>
  <c r="O23" i="1" s="1"/>
  <c r="D24" i="1"/>
  <c r="O24" i="1" s="1"/>
  <c r="D25" i="1"/>
  <c r="O25" i="1" s="1"/>
  <c r="D26" i="1"/>
  <c r="O26" i="1" s="1"/>
  <c r="D27" i="1"/>
  <c r="O27" i="1" s="1"/>
  <c r="D28" i="1"/>
  <c r="O28" i="1" s="1"/>
  <c r="D29" i="1"/>
  <c r="O29" i="1" s="1"/>
  <c r="D30" i="1"/>
  <c r="O30" i="1" s="1"/>
  <c r="D31" i="1"/>
  <c r="O31" i="1" s="1"/>
  <c r="D32" i="1"/>
  <c r="O32" i="1" s="1"/>
  <c r="D33" i="1"/>
  <c r="O33" i="1" s="1"/>
  <c r="D34" i="1"/>
  <c r="O34" i="1" s="1"/>
  <c r="D35" i="1"/>
  <c r="O35" i="1" s="1"/>
  <c r="D36" i="1"/>
  <c r="O36" i="1" s="1"/>
  <c r="D37" i="1"/>
  <c r="O37" i="1" s="1"/>
  <c r="D38" i="1"/>
  <c r="O38" i="1" s="1"/>
  <c r="D39" i="1"/>
  <c r="O39" i="1" s="1"/>
  <c r="D40" i="1"/>
  <c r="O40" i="1" s="1"/>
  <c r="D41" i="1"/>
  <c r="O41" i="1" s="1"/>
  <c r="D42" i="1"/>
  <c r="O42" i="1" s="1"/>
  <c r="D43" i="1"/>
  <c r="O43" i="1" s="1"/>
  <c r="D44" i="1"/>
  <c r="O44" i="1" s="1"/>
  <c r="D45" i="1"/>
  <c r="O45" i="1" s="1"/>
  <c r="D46" i="1"/>
  <c r="O46" i="1" s="1"/>
  <c r="D47" i="1"/>
  <c r="O47" i="1" s="1"/>
  <c r="D48" i="1"/>
  <c r="O48" i="1" s="1"/>
  <c r="D49" i="1"/>
  <c r="O49" i="1" s="1"/>
  <c r="D2" i="1"/>
  <c r="O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  <c r="B3" i="1"/>
  <c r="K3" i="1" s="1"/>
  <c r="B4" i="1"/>
  <c r="K4" i="1" s="1"/>
  <c r="B5" i="1"/>
  <c r="K5" i="1" s="1"/>
  <c r="B6" i="1"/>
  <c r="K6" i="1" s="1"/>
  <c r="B7" i="1"/>
  <c r="K7" i="1" s="1"/>
  <c r="B8" i="1"/>
  <c r="K8" i="1" s="1"/>
  <c r="B9" i="1"/>
  <c r="K9" i="1" s="1"/>
  <c r="B10" i="1"/>
  <c r="K10" i="1" s="1"/>
  <c r="B11" i="1"/>
  <c r="K11" i="1" s="1"/>
  <c r="B12" i="1"/>
  <c r="K12" i="1" s="1"/>
  <c r="B13" i="1"/>
  <c r="K13" i="1" s="1"/>
  <c r="B14" i="1"/>
  <c r="K14" i="1" s="1"/>
  <c r="B15" i="1"/>
  <c r="K15" i="1" s="1"/>
  <c r="B16" i="1"/>
  <c r="K16" i="1" s="1"/>
  <c r="B17" i="1"/>
  <c r="K17" i="1" s="1"/>
  <c r="B18" i="1"/>
  <c r="K18" i="1" s="1"/>
  <c r="B19" i="1"/>
  <c r="K19" i="1" s="1"/>
  <c r="B20" i="1"/>
  <c r="K20" i="1" s="1"/>
  <c r="B21" i="1"/>
  <c r="K21" i="1" s="1"/>
  <c r="B22" i="1"/>
  <c r="K22" i="1" s="1"/>
  <c r="B23" i="1"/>
  <c r="K23" i="1" s="1"/>
  <c r="B24" i="1"/>
  <c r="K24" i="1" s="1"/>
  <c r="B25" i="1"/>
  <c r="K25" i="1" s="1"/>
  <c r="B26" i="1"/>
  <c r="K26" i="1" s="1"/>
  <c r="B27" i="1"/>
  <c r="K27" i="1" s="1"/>
  <c r="B28" i="1"/>
  <c r="K28" i="1" s="1"/>
  <c r="B29" i="1"/>
  <c r="K29" i="1" s="1"/>
  <c r="B30" i="1"/>
  <c r="K30" i="1" s="1"/>
  <c r="B31" i="1"/>
  <c r="K31" i="1" s="1"/>
  <c r="B32" i="1"/>
  <c r="K32" i="1" s="1"/>
  <c r="B33" i="1"/>
  <c r="K33" i="1" s="1"/>
  <c r="B34" i="1"/>
  <c r="K34" i="1" s="1"/>
  <c r="B35" i="1"/>
  <c r="K35" i="1" s="1"/>
  <c r="B36" i="1"/>
  <c r="K36" i="1" s="1"/>
  <c r="B37" i="1"/>
  <c r="K37" i="1" s="1"/>
  <c r="B38" i="1"/>
  <c r="K38" i="1" s="1"/>
  <c r="B39" i="1"/>
  <c r="K39" i="1" s="1"/>
  <c r="B40" i="1"/>
  <c r="K40" i="1" s="1"/>
  <c r="B41" i="1"/>
  <c r="K41" i="1" s="1"/>
  <c r="B42" i="1"/>
  <c r="K42" i="1" s="1"/>
  <c r="B43" i="1"/>
  <c r="K43" i="1" s="1"/>
  <c r="B44" i="1"/>
  <c r="K44" i="1" s="1"/>
  <c r="B45" i="1"/>
  <c r="K45" i="1" s="1"/>
  <c r="B46" i="1"/>
  <c r="K46" i="1" s="1"/>
  <c r="B47" i="1"/>
  <c r="K47" i="1" s="1"/>
  <c r="B48" i="1"/>
  <c r="K48" i="1" s="1"/>
  <c r="B49" i="1"/>
  <c r="K49" i="1" s="1"/>
  <c r="B2" i="1"/>
  <c r="K2" i="1" s="1"/>
  <c r="R14" i="1" l="1"/>
  <c r="R16" i="1" s="1"/>
  <c r="R17" i="1" s="1"/>
  <c r="I37" i="1"/>
  <c r="J37" i="1" s="1"/>
  <c r="M37" i="1" s="1"/>
  <c r="I29" i="1"/>
  <c r="J29" i="1" s="1"/>
  <c r="M29" i="1" s="1"/>
  <c r="I21" i="1"/>
  <c r="J21" i="1" s="1"/>
  <c r="M21" i="1" s="1"/>
  <c r="I13" i="1"/>
  <c r="J13" i="1" s="1"/>
  <c r="M13" i="1" s="1"/>
  <c r="I5" i="1"/>
  <c r="J5" i="1" s="1"/>
  <c r="M5" i="1" s="1"/>
  <c r="G37" i="1"/>
  <c r="H37" i="1" s="1"/>
  <c r="L37" i="1" s="1"/>
  <c r="G5" i="1"/>
  <c r="H5" i="1" s="1"/>
  <c r="L5" i="1" s="1"/>
  <c r="I31" i="1"/>
  <c r="J31" i="1" s="1"/>
  <c r="M31" i="1" s="1"/>
  <c r="G29" i="1"/>
  <c r="H29" i="1" s="1"/>
  <c r="L29" i="1" s="1"/>
  <c r="I7" i="1"/>
  <c r="J7" i="1" s="1"/>
  <c r="M7" i="1" s="1"/>
  <c r="I39" i="1"/>
  <c r="J39" i="1" s="1"/>
  <c r="M39" i="1" s="1"/>
  <c r="I47" i="1"/>
  <c r="J47" i="1" s="1"/>
  <c r="M47" i="1" s="1"/>
  <c r="I43" i="1"/>
  <c r="J43" i="1" s="1"/>
  <c r="M43" i="1" s="1"/>
  <c r="I35" i="1"/>
  <c r="J35" i="1" s="1"/>
  <c r="M35" i="1" s="1"/>
  <c r="I27" i="1"/>
  <c r="J27" i="1" s="1"/>
  <c r="M27" i="1" s="1"/>
  <c r="I19" i="1"/>
  <c r="J19" i="1" s="1"/>
  <c r="M19" i="1" s="1"/>
  <c r="I11" i="1"/>
  <c r="J11" i="1" s="1"/>
  <c r="M11" i="1" s="1"/>
  <c r="I3" i="1"/>
  <c r="J3" i="1" s="1"/>
  <c r="M3" i="1" s="1"/>
  <c r="G21" i="1"/>
  <c r="H21" i="1" s="1"/>
  <c r="L21" i="1" s="1"/>
  <c r="I15" i="1"/>
  <c r="J15" i="1" s="1"/>
  <c r="M15" i="1" s="1"/>
  <c r="G13" i="1"/>
  <c r="H13" i="1" s="1"/>
  <c r="L13" i="1" s="1"/>
  <c r="I23" i="1"/>
  <c r="J23" i="1" s="1"/>
  <c r="M23" i="1" s="1"/>
  <c r="I36" i="1"/>
  <c r="J36" i="1" s="1"/>
  <c r="M36" i="1" s="1"/>
  <c r="G36" i="1"/>
  <c r="H36" i="1" s="1"/>
  <c r="L36" i="1" s="1"/>
  <c r="I24" i="1"/>
  <c r="J24" i="1" s="1"/>
  <c r="M24" i="1" s="1"/>
  <c r="G24" i="1"/>
  <c r="H24" i="1" s="1"/>
  <c r="L24" i="1" s="1"/>
  <c r="I16" i="1"/>
  <c r="J16" i="1" s="1"/>
  <c r="M16" i="1" s="1"/>
  <c r="G16" i="1"/>
  <c r="H16" i="1" s="1"/>
  <c r="L16" i="1" s="1"/>
  <c r="G43" i="1"/>
  <c r="H43" i="1" s="1"/>
  <c r="L43" i="1" s="1"/>
  <c r="G35" i="1"/>
  <c r="H35" i="1" s="1"/>
  <c r="L35" i="1" s="1"/>
  <c r="G27" i="1"/>
  <c r="H27" i="1" s="1"/>
  <c r="L27" i="1" s="1"/>
  <c r="G19" i="1"/>
  <c r="H19" i="1" s="1"/>
  <c r="L19" i="1" s="1"/>
  <c r="G11" i="1"/>
  <c r="H11" i="1" s="1"/>
  <c r="L11" i="1" s="1"/>
  <c r="G3" i="1"/>
  <c r="H3" i="1" s="1"/>
  <c r="L3" i="1" s="1"/>
  <c r="I9" i="1"/>
  <c r="J9" i="1" s="1"/>
  <c r="M9" i="1" s="1"/>
  <c r="I17" i="1"/>
  <c r="J17" i="1" s="1"/>
  <c r="M17" i="1" s="1"/>
  <c r="I25" i="1"/>
  <c r="J25" i="1" s="1"/>
  <c r="M25" i="1" s="1"/>
  <c r="I33" i="1"/>
  <c r="J33" i="1" s="1"/>
  <c r="M33" i="1" s="1"/>
  <c r="I41" i="1"/>
  <c r="J41" i="1" s="1"/>
  <c r="M41" i="1" s="1"/>
  <c r="I48" i="1"/>
  <c r="J48" i="1" s="1"/>
  <c r="M48" i="1" s="1"/>
  <c r="G48" i="1"/>
  <c r="H48" i="1" s="1"/>
  <c r="L48" i="1" s="1"/>
  <c r="I40" i="1"/>
  <c r="J40" i="1" s="1"/>
  <c r="M40" i="1" s="1"/>
  <c r="G40" i="1"/>
  <c r="H40" i="1" s="1"/>
  <c r="L40" i="1" s="1"/>
  <c r="I32" i="1"/>
  <c r="J32" i="1" s="1"/>
  <c r="M32" i="1" s="1"/>
  <c r="G32" i="1"/>
  <c r="H32" i="1" s="1"/>
  <c r="L32" i="1" s="1"/>
  <c r="I20" i="1"/>
  <c r="J20" i="1" s="1"/>
  <c r="M20" i="1" s="1"/>
  <c r="G20" i="1"/>
  <c r="H20" i="1" s="1"/>
  <c r="L20" i="1" s="1"/>
  <c r="I12" i="1"/>
  <c r="J12" i="1" s="1"/>
  <c r="M12" i="1" s="1"/>
  <c r="G12" i="1"/>
  <c r="H12" i="1" s="1"/>
  <c r="L12" i="1" s="1"/>
  <c r="I4" i="1"/>
  <c r="J4" i="1" s="1"/>
  <c r="M4" i="1" s="1"/>
  <c r="G4" i="1"/>
  <c r="H4" i="1" s="1"/>
  <c r="L4" i="1" s="1"/>
  <c r="R3" i="1"/>
  <c r="I2" i="1"/>
  <c r="J2" i="1" s="1"/>
  <c r="M2" i="1" s="1"/>
  <c r="G2" i="1"/>
  <c r="H2" i="1" s="1"/>
  <c r="L2" i="1" s="1"/>
  <c r="I46" i="1"/>
  <c r="J46" i="1" s="1"/>
  <c r="M46" i="1" s="1"/>
  <c r="G46" i="1"/>
  <c r="H46" i="1" s="1"/>
  <c r="L46" i="1" s="1"/>
  <c r="I42" i="1"/>
  <c r="J42" i="1" s="1"/>
  <c r="M42" i="1" s="1"/>
  <c r="G42" i="1"/>
  <c r="H42" i="1" s="1"/>
  <c r="L42" i="1" s="1"/>
  <c r="I38" i="1"/>
  <c r="J38" i="1" s="1"/>
  <c r="M38" i="1" s="1"/>
  <c r="G38" i="1"/>
  <c r="H38" i="1" s="1"/>
  <c r="L38" i="1" s="1"/>
  <c r="I34" i="1"/>
  <c r="J34" i="1" s="1"/>
  <c r="M34" i="1" s="1"/>
  <c r="G34" i="1"/>
  <c r="H34" i="1" s="1"/>
  <c r="L34" i="1" s="1"/>
  <c r="I30" i="1"/>
  <c r="J30" i="1" s="1"/>
  <c r="M30" i="1" s="1"/>
  <c r="G30" i="1"/>
  <c r="H30" i="1" s="1"/>
  <c r="L30" i="1" s="1"/>
  <c r="I26" i="1"/>
  <c r="J26" i="1" s="1"/>
  <c r="M26" i="1" s="1"/>
  <c r="G26" i="1"/>
  <c r="H26" i="1" s="1"/>
  <c r="L26" i="1" s="1"/>
  <c r="I22" i="1"/>
  <c r="J22" i="1" s="1"/>
  <c r="M22" i="1" s="1"/>
  <c r="G22" i="1"/>
  <c r="H22" i="1" s="1"/>
  <c r="L22" i="1" s="1"/>
  <c r="I18" i="1"/>
  <c r="J18" i="1" s="1"/>
  <c r="M18" i="1" s="1"/>
  <c r="G18" i="1"/>
  <c r="H18" i="1" s="1"/>
  <c r="L18" i="1" s="1"/>
  <c r="I14" i="1"/>
  <c r="J14" i="1" s="1"/>
  <c r="M14" i="1" s="1"/>
  <c r="G14" i="1"/>
  <c r="H14" i="1" s="1"/>
  <c r="L14" i="1" s="1"/>
  <c r="I10" i="1"/>
  <c r="J10" i="1" s="1"/>
  <c r="M10" i="1" s="1"/>
  <c r="G10" i="1"/>
  <c r="H10" i="1" s="1"/>
  <c r="L10" i="1" s="1"/>
  <c r="I6" i="1"/>
  <c r="J6" i="1" s="1"/>
  <c r="M6" i="1" s="1"/>
  <c r="G6" i="1"/>
  <c r="H6" i="1" s="1"/>
  <c r="L6" i="1" s="1"/>
  <c r="I44" i="1"/>
  <c r="J44" i="1" s="1"/>
  <c r="M44" i="1" s="1"/>
  <c r="G44" i="1"/>
  <c r="H44" i="1" s="1"/>
  <c r="L44" i="1" s="1"/>
  <c r="I28" i="1"/>
  <c r="J28" i="1" s="1"/>
  <c r="M28" i="1" s="1"/>
  <c r="G28" i="1"/>
  <c r="H28" i="1" s="1"/>
  <c r="L28" i="1" s="1"/>
  <c r="I8" i="1"/>
  <c r="J8" i="1" s="1"/>
  <c r="M8" i="1" s="1"/>
  <c r="G8" i="1"/>
  <c r="H8" i="1" s="1"/>
  <c r="L8" i="1" s="1"/>
  <c r="I49" i="1"/>
  <c r="J49" i="1" s="1"/>
  <c r="M49" i="1" s="1"/>
  <c r="I45" i="1"/>
  <c r="J45" i="1" s="1"/>
  <c r="M45" i="1" s="1"/>
  <c r="G47" i="1"/>
  <c r="H47" i="1" s="1"/>
  <c r="L47" i="1" s="1"/>
  <c r="R11" i="1" l="1"/>
  <c r="R12" i="1" s="1"/>
  <c r="R8" i="1"/>
  <c r="R9" i="1" s="1"/>
  <c r="H24" i="9" l="1"/>
  <c r="L15" i="9"/>
  <c r="L31" i="9"/>
  <c r="N7" i="9"/>
  <c r="K8" i="9"/>
  <c r="H10" i="9"/>
  <c r="E11" i="9"/>
  <c r="B22" i="9"/>
  <c r="B6" i="9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M4" i="2"/>
  <c r="M12" i="2"/>
  <c r="M15" i="2"/>
  <c r="M22" i="2"/>
  <c r="M26" i="2"/>
  <c r="M33" i="2"/>
  <c r="M39" i="2"/>
  <c r="M45" i="2"/>
  <c r="M52" i="2"/>
  <c r="M56" i="2"/>
  <c r="M61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M19" i="2" s="1"/>
  <c r="I20" i="2"/>
  <c r="I21" i="2"/>
  <c r="I22" i="2"/>
  <c r="I23" i="2"/>
  <c r="M23" i="2" s="1"/>
  <c r="I24" i="2"/>
  <c r="I25" i="2"/>
  <c r="I26" i="2"/>
  <c r="I27" i="2"/>
  <c r="M27" i="2" s="1"/>
  <c r="I28" i="2"/>
  <c r="I29" i="2"/>
  <c r="I30" i="2"/>
  <c r="I31" i="2"/>
  <c r="M31" i="2" s="1"/>
  <c r="I32" i="2"/>
  <c r="I33" i="2"/>
  <c r="I34" i="2"/>
  <c r="I35" i="2"/>
  <c r="M35" i="2" s="1"/>
  <c r="I36" i="2"/>
  <c r="I37" i="2"/>
  <c r="I38" i="2"/>
  <c r="I39" i="2"/>
  <c r="I40" i="2"/>
  <c r="I41" i="2"/>
  <c r="I42" i="2"/>
  <c r="I43" i="2"/>
  <c r="M43" i="2" s="1"/>
  <c r="I44" i="2"/>
  <c r="I45" i="2"/>
  <c r="I46" i="2"/>
  <c r="I47" i="2"/>
  <c r="M47" i="2" s="1"/>
  <c r="I48" i="2"/>
  <c r="I49" i="2"/>
  <c r="I50" i="2"/>
  <c r="I51" i="2"/>
  <c r="M51" i="2" s="1"/>
  <c r="I52" i="2"/>
  <c r="I53" i="2"/>
  <c r="I54" i="2"/>
  <c r="I55" i="2"/>
  <c r="M55" i="2" s="1"/>
  <c r="I56" i="2"/>
  <c r="I57" i="2"/>
  <c r="I58" i="2"/>
  <c r="I59" i="2"/>
  <c r="M59" i="2" s="1"/>
  <c r="I60" i="2"/>
  <c r="I61" i="2"/>
  <c r="I62" i="2"/>
  <c r="I63" i="2"/>
  <c r="M63" i="2" s="1"/>
  <c r="I64" i="2"/>
  <c r="O2" i="2"/>
  <c r="I2" i="2"/>
  <c r="J2" i="2"/>
  <c r="M53" i="2" l="1"/>
  <c r="M37" i="2"/>
  <c r="M29" i="2"/>
  <c r="M21" i="2"/>
  <c r="M13" i="2"/>
  <c r="M57" i="2"/>
  <c r="M49" i="2"/>
  <c r="M41" i="2"/>
  <c r="M25" i="2"/>
  <c r="M17" i="2"/>
  <c r="M9" i="2"/>
  <c r="M5" i="2"/>
  <c r="M6" i="2"/>
  <c r="M10" i="2"/>
  <c r="M14" i="2"/>
  <c r="M18" i="2"/>
  <c r="M30" i="2"/>
  <c r="M34" i="2"/>
  <c r="M38" i="2"/>
  <c r="M42" i="2"/>
  <c r="M46" i="2"/>
  <c r="M50" i="2"/>
  <c r="M54" i="2"/>
  <c r="M58" i="2"/>
  <c r="M62" i="2"/>
  <c r="M8" i="2"/>
  <c r="M16" i="2"/>
  <c r="M20" i="2"/>
  <c r="M3" i="2"/>
  <c r="M7" i="2"/>
  <c r="M11" i="2"/>
  <c r="M24" i="2"/>
  <c r="M28" i="2"/>
  <c r="M32" i="2"/>
  <c r="M36" i="2"/>
  <c r="M40" i="2"/>
  <c r="M44" i="2"/>
  <c r="M48" i="2"/>
  <c r="M60" i="2"/>
  <c r="M64" i="2"/>
  <c r="K2" i="2"/>
  <c r="Q2" i="2" s="1"/>
  <c r="L2" i="2"/>
  <c r="M2" i="2" s="1"/>
  <c r="K3" i="2" l="1"/>
  <c r="Q3" i="2" s="1"/>
  <c r="K4" i="2" l="1"/>
  <c r="Q4" i="2" s="1"/>
  <c r="P4" i="2" l="1"/>
  <c r="R4" i="2" s="1"/>
  <c r="N4" i="2"/>
  <c r="K5" i="2"/>
  <c r="Q5" i="2" s="1"/>
  <c r="N5" i="2" l="1"/>
  <c r="P5" i="2" s="1"/>
  <c r="R5" i="2" s="1"/>
  <c r="K6" i="2"/>
  <c r="Q6" i="2" s="1"/>
  <c r="K7" i="2" l="1"/>
  <c r="Q7" i="2" s="1"/>
  <c r="K8" i="2" l="1"/>
  <c r="Q8" i="2" s="1"/>
  <c r="N8" i="2" l="1"/>
  <c r="P8" i="2" s="1"/>
  <c r="R8" i="2" s="1"/>
  <c r="K9" i="2"/>
  <c r="Q9" i="2" s="1"/>
  <c r="K10" i="2" l="1"/>
  <c r="Q10" i="2" s="1"/>
  <c r="K11" i="2" l="1"/>
  <c r="Q11" i="2" s="1"/>
  <c r="K12" i="2" l="1"/>
  <c r="Q12" i="2" s="1"/>
  <c r="P12" i="2" l="1"/>
  <c r="R12" i="2" s="1"/>
  <c r="N12" i="2"/>
  <c r="K13" i="2"/>
  <c r="Q13" i="2" s="1"/>
  <c r="N13" i="2" l="1"/>
  <c r="P13" i="2" s="1"/>
  <c r="R13" i="2" s="1"/>
  <c r="K14" i="2"/>
  <c r="Q14" i="2" s="1"/>
  <c r="N14" i="2" l="1"/>
  <c r="P14" i="2" s="1"/>
  <c r="R14" i="2" s="1"/>
  <c r="K15" i="2"/>
  <c r="Q15" i="2" s="1"/>
  <c r="P15" i="2" l="1"/>
  <c r="R15" i="2" s="1"/>
  <c r="N15" i="2"/>
  <c r="K16" i="2"/>
  <c r="Q16" i="2" s="1"/>
  <c r="K17" i="2" l="1"/>
  <c r="Q17" i="2" s="1"/>
  <c r="N17" i="2" l="1"/>
  <c r="P17" i="2" s="1"/>
  <c r="R17" i="2" s="1"/>
  <c r="K18" i="2"/>
  <c r="Q18" i="2" s="1"/>
  <c r="N18" i="2" l="1"/>
  <c r="P18" i="2" s="1"/>
  <c r="R18" i="2" s="1"/>
  <c r="K19" i="2"/>
  <c r="Q19" i="2" s="1"/>
  <c r="K20" i="2" l="1"/>
  <c r="Q20" i="2" s="1"/>
  <c r="N20" i="2" l="1"/>
  <c r="P20" i="2" s="1"/>
  <c r="R20" i="2" s="1"/>
  <c r="K21" i="2"/>
  <c r="Q21" i="2" s="1"/>
  <c r="N21" i="2" l="1"/>
  <c r="P21" i="2" s="1"/>
  <c r="R21" i="2" s="1"/>
  <c r="K22" i="2"/>
  <c r="Q22" i="2" s="1"/>
  <c r="P22" i="2" l="1"/>
  <c r="R22" i="2" s="1"/>
  <c r="N22" i="2"/>
  <c r="K23" i="2"/>
  <c r="Q23" i="2" s="1"/>
  <c r="K24" i="2" l="1"/>
  <c r="Q24" i="2" s="1"/>
  <c r="N24" i="2" l="1"/>
  <c r="P24" i="2" s="1"/>
  <c r="R24" i="2" s="1"/>
  <c r="K25" i="2"/>
  <c r="Q25" i="2" s="1"/>
  <c r="N25" i="2" l="1"/>
  <c r="P25" i="2" s="1"/>
  <c r="R25" i="2" s="1"/>
  <c r="K26" i="2"/>
  <c r="Q26" i="2" s="1"/>
  <c r="P26" i="2" l="1"/>
  <c r="R26" i="2" s="1"/>
  <c r="N26" i="2"/>
  <c r="K27" i="2"/>
  <c r="Q27" i="2" s="1"/>
  <c r="K28" i="2" l="1"/>
  <c r="Q28" i="2" s="1"/>
  <c r="K29" i="2" l="1"/>
  <c r="Q29" i="2" s="1"/>
  <c r="N29" i="2" l="1"/>
  <c r="P29" i="2" s="1"/>
  <c r="R29" i="2" s="1"/>
  <c r="K30" i="2"/>
  <c r="Q30" i="2" s="1"/>
  <c r="N30" i="2" l="1"/>
  <c r="P30" i="2" s="1"/>
  <c r="R30" i="2" s="1"/>
  <c r="K31" i="2"/>
  <c r="Q31" i="2" s="1"/>
  <c r="N31" i="2" l="1"/>
  <c r="P31" i="2" s="1"/>
  <c r="R31" i="2" s="1"/>
  <c r="K32" i="2"/>
  <c r="Q32" i="2" s="1"/>
  <c r="N32" i="2" l="1"/>
  <c r="P32" i="2" s="1"/>
  <c r="R32" i="2" s="1"/>
  <c r="K33" i="2"/>
  <c r="Q33" i="2" s="1"/>
  <c r="P33" i="2" l="1"/>
  <c r="R33" i="2" s="1"/>
  <c r="N33" i="2"/>
  <c r="K34" i="2"/>
  <c r="Q34" i="2" s="1"/>
  <c r="N34" i="2" l="1"/>
  <c r="P34" i="2" s="1"/>
  <c r="R34" i="2" s="1"/>
  <c r="K35" i="2"/>
  <c r="Q35" i="2" s="1"/>
  <c r="N35" i="2" l="1"/>
  <c r="P35" i="2" s="1"/>
  <c r="R35" i="2" s="1"/>
  <c r="K36" i="2"/>
  <c r="Q36" i="2" s="1"/>
  <c r="N36" i="2" l="1"/>
  <c r="P36" i="2" s="1"/>
  <c r="R36" i="2" s="1"/>
  <c r="K37" i="2"/>
  <c r="Q37" i="2" s="1"/>
  <c r="N37" i="2" l="1"/>
  <c r="P37" i="2" s="1"/>
  <c r="R37" i="2" s="1"/>
  <c r="K38" i="2"/>
  <c r="Q38" i="2" s="1"/>
  <c r="N38" i="2" l="1"/>
  <c r="P38" i="2" s="1"/>
  <c r="R38" i="2" s="1"/>
  <c r="K39" i="2"/>
  <c r="Q39" i="2" s="1"/>
  <c r="P39" i="2" l="1"/>
  <c r="R39" i="2" s="1"/>
  <c r="N39" i="2"/>
  <c r="K40" i="2"/>
  <c r="Q40" i="2" s="1"/>
  <c r="N40" i="2" l="1"/>
  <c r="P40" i="2" s="1"/>
  <c r="R40" i="2" s="1"/>
  <c r="K41" i="2"/>
  <c r="Q41" i="2" s="1"/>
  <c r="N41" i="2" l="1"/>
  <c r="P41" i="2" s="1"/>
  <c r="R41" i="2" s="1"/>
  <c r="K42" i="2"/>
  <c r="Q42" i="2" s="1"/>
  <c r="N42" i="2" l="1"/>
  <c r="P42" i="2" s="1"/>
  <c r="R42" i="2" s="1"/>
  <c r="K43" i="2"/>
  <c r="Q43" i="2" s="1"/>
  <c r="N43" i="2" l="1"/>
  <c r="P43" i="2" s="1"/>
  <c r="R43" i="2" s="1"/>
  <c r="K44" i="2"/>
  <c r="Q44" i="2" s="1"/>
  <c r="N44" i="2" l="1"/>
  <c r="P44" i="2" s="1"/>
  <c r="R44" i="2" s="1"/>
  <c r="K45" i="2"/>
  <c r="Q45" i="2" s="1"/>
  <c r="P45" i="2" l="1"/>
  <c r="R45" i="2" s="1"/>
  <c r="N45" i="2"/>
  <c r="K46" i="2"/>
  <c r="Q46" i="2" s="1"/>
  <c r="N46" i="2" l="1"/>
  <c r="P46" i="2" s="1"/>
  <c r="R46" i="2" s="1"/>
  <c r="K47" i="2"/>
  <c r="Q47" i="2" s="1"/>
  <c r="N47" i="2" l="1"/>
  <c r="P47" i="2" s="1"/>
  <c r="R47" i="2" s="1"/>
  <c r="K48" i="2"/>
  <c r="Q48" i="2" s="1"/>
  <c r="N48" i="2" l="1"/>
  <c r="P48" i="2" s="1"/>
  <c r="R48" i="2" s="1"/>
  <c r="K49" i="2"/>
  <c r="Q49" i="2" s="1"/>
  <c r="N49" i="2" l="1"/>
  <c r="P49" i="2" s="1"/>
  <c r="R49" i="2" s="1"/>
  <c r="K50" i="2"/>
  <c r="Q50" i="2" s="1"/>
  <c r="K51" i="2" l="1"/>
  <c r="Q51" i="2" s="1"/>
  <c r="N51" i="2" l="1"/>
  <c r="P51" i="2" s="1"/>
  <c r="R51" i="2" s="1"/>
  <c r="K52" i="2"/>
  <c r="Q52" i="2" s="1"/>
  <c r="P52" i="2" l="1"/>
  <c r="R52" i="2" s="1"/>
  <c r="N52" i="2"/>
  <c r="K53" i="2"/>
  <c r="Q53" i="2" s="1"/>
  <c r="N53" i="2" l="1"/>
  <c r="P53" i="2" s="1"/>
  <c r="R53" i="2" s="1"/>
  <c r="K54" i="2"/>
  <c r="Q54" i="2" s="1"/>
  <c r="N54" i="2" l="1"/>
  <c r="P54" i="2" s="1"/>
  <c r="R54" i="2" s="1"/>
  <c r="K55" i="2"/>
  <c r="Q55" i="2" s="1"/>
  <c r="N55" i="2" l="1"/>
  <c r="P55" i="2" s="1"/>
  <c r="R55" i="2" s="1"/>
  <c r="K56" i="2"/>
  <c r="Q56" i="2" s="1"/>
  <c r="P56" i="2" l="1"/>
  <c r="R56" i="2" s="1"/>
  <c r="N56" i="2"/>
  <c r="K57" i="2"/>
  <c r="Q57" i="2" s="1"/>
  <c r="K58" i="2" l="1"/>
  <c r="Q58" i="2" s="1"/>
  <c r="K59" i="2" l="1"/>
  <c r="Q59" i="2" s="1"/>
  <c r="N59" i="2" l="1"/>
  <c r="P59" i="2" s="1"/>
  <c r="R59" i="2" s="1"/>
  <c r="K60" i="2"/>
  <c r="Q60" i="2" s="1"/>
  <c r="K61" i="2" l="1"/>
  <c r="Q61" i="2" s="1"/>
  <c r="P61" i="2" l="1"/>
  <c r="R61" i="2" s="1"/>
  <c r="N61" i="2"/>
  <c r="K62" i="2"/>
  <c r="Q62" i="2" s="1"/>
  <c r="N62" i="2" l="1"/>
  <c r="P62" i="2" s="1"/>
  <c r="R62" i="2" s="1"/>
  <c r="K63" i="2"/>
  <c r="Q63" i="2" s="1"/>
  <c r="N63" i="2" l="1"/>
  <c r="P63" i="2" s="1"/>
  <c r="R63" i="2" s="1"/>
  <c r="K64" i="2"/>
  <c r="Q64" i="2" s="1"/>
  <c r="C8" i="6"/>
  <c r="D8" i="6" s="1"/>
  <c r="E8" i="6" s="1"/>
  <c r="C9" i="6"/>
  <c r="D9" i="6" s="1"/>
  <c r="E9" i="6" s="1"/>
  <c r="C10" i="6"/>
  <c r="D10" i="6" s="1"/>
  <c r="E10" i="6" s="1"/>
  <c r="C11" i="6"/>
  <c r="D11" i="6" s="1"/>
  <c r="E11" i="6" s="1"/>
  <c r="C12" i="6"/>
  <c r="D12" i="6" s="1"/>
  <c r="E12" i="6" s="1"/>
  <c r="C13" i="6"/>
  <c r="D13" i="6" s="1"/>
  <c r="E13" i="6" s="1"/>
  <c r="C14" i="6"/>
  <c r="D14" i="6" s="1"/>
  <c r="E14" i="6" s="1"/>
  <c r="C15" i="6"/>
  <c r="D15" i="6" s="1"/>
  <c r="E15" i="6" s="1"/>
  <c r="C16" i="6"/>
  <c r="D16" i="6" s="1"/>
  <c r="E16" i="6" s="1"/>
  <c r="C17" i="6"/>
  <c r="D17" i="6" s="1"/>
  <c r="E17" i="6" s="1"/>
  <c r="C18" i="6"/>
  <c r="D18" i="6" s="1"/>
  <c r="E18" i="6" s="1"/>
  <c r="C19" i="6"/>
  <c r="D19" i="6" s="1"/>
  <c r="E19" i="6" s="1"/>
  <c r="C20" i="6"/>
  <c r="D20" i="6" s="1"/>
  <c r="E20" i="6" s="1"/>
  <c r="C21" i="6"/>
  <c r="D21" i="6" s="1"/>
  <c r="E21" i="6" s="1"/>
  <c r="C22" i="6"/>
  <c r="D22" i="6" s="1"/>
  <c r="E22" i="6" s="1"/>
  <c r="C23" i="6"/>
  <c r="D23" i="6" s="1"/>
  <c r="E23" i="6" s="1"/>
  <c r="C24" i="6"/>
  <c r="D24" i="6" s="1"/>
  <c r="E24" i="6" s="1"/>
  <c r="C25" i="6"/>
  <c r="D25" i="6" s="1"/>
  <c r="E25" i="6" s="1"/>
  <c r="C26" i="6"/>
  <c r="D26" i="6" s="1"/>
  <c r="E26" i="6" s="1"/>
  <c r="C7" i="6"/>
  <c r="D7" i="6" s="1"/>
  <c r="E7" i="6" s="1"/>
  <c r="F3" i="2"/>
  <c r="N3" i="2" s="1"/>
  <c r="P3" i="2" s="1"/>
  <c r="R3" i="2" s="1"/>
  <c r="F4" i="2"/>
  <c r="F5" i="2"/>
  <c r="F6" i="2"/>
  <c r="N6" i="2" s="1"/>
  <c r="P6" i="2" s="1"/>
  <c r="R6" i="2" s="1"/>
  <c r="F7" i="2"/>
  <c r="N7" i="2" s="1"/>
  <c r="P7" i="2" s="1"/>
  <c r="R7" i="2" s="1"/>
  <c r="F8" i="2"/>
  <c r="F9" i="2"/>
  <c r="N9" i="2" s="1"/>
  <c r="P9" i="2" s="1"/>
  <c r="R9" i="2" s="1"/>
  <c r="F10" i="2"/>
  <c r="N10" i="2" s="1"/>
  <c r="P10" i="2" s="1"/>
  <c r="R10" i="2" s="1"/>
  <c r="F11" i="2"/>
  <c r="N11" i="2" s="1"/>
  <c r="P11" i="2" s="1"/>
  <c r="R11" i="2" s="1"/>
  <c r="F12" i="2"/>
  <c r="F13" i="2"/>
  <c r="F14" i="2"/>
  <c r="F15" i="2"/>
  <c r="F16" i="2"/>
  <c r="N16" i="2" s="1"/>
  <c r="P16" i="2" s="1"/>
  <c r="R16" i="2" s="1"/>
  <c r="F17" i="2"/>
  <c r="F18" i="2"/>
  <c r="F19" i="2"/>
  <c r="N19" i="2" s="1"/>
  <c r="P19" i="2" s="1"/>
  <c r="R19" i="2" s="1"/>
  <c r="F20" i="2"/>
  <c r="F21" i="2"/>
  <c r="F22" i="2"/>
  <c r="F23" i="2"/>
  <c r="N23" i="2" s="1"/>
  <c r="P23" i="2" s="1"/>
  <c r="R23" i="2" s="1"/>
  <c r="F24" i="2"/>
  <c r="F25" i="2"/>
  <c r="F26" i="2"/>
  <c r="F27" i="2"/>
  <c r="N27" i="2" s="1"/>
  <c r="P27" i="2" s="1"/>
  <c r="R27" i="2" s="1"/>
  <c r="F28" i="2"/>
  <c r="N28" i="2" s="1"/>
  <c r="P28" i="2" s="1"/>
  <c r="R28" i="2" s="1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N50" i="2" s="1"/>
  <c r="P50" i="2" s="1"/>
  <c r="R50" i="2" s="1"/>
  <c r="F51" i="2"/>
  <c r="F52" i="2"/>
  <c r="F53" i="2"/>
  <c r="F54" i="2"/>
  <c r="F55" i="2"/>
  <c r="F56" i="2"/>
  <c r="F57" i="2"/>
  <c r="N57" i="2" s="1"/>
  <c r="P57" i="2" s="1"/>
  <c r="R57" i="2" s="1"/>
  <c r="F58" i="2"/>
  <c r="N58" i="2" s="1"/>
  <c r="P58" i="2" s="1"/>
  <c r="R58" i="2" s="1"/>
  <c r="F59" i="2"/>
  <c r="F60" i="2"/>
  <c r="N60" i="2" s="1"/>
  <c r="P60" i="2" s="1"/>
  <c r="R60" i="2" s="1"/>
  <c r="F61" i="2"/>
  <c r="F62" i="2"/>
  <c r="F63" i="2"/>
  <c r="F64" i="2"/>
  <c r="F2" i="2"/>
  <c r="N2" i="2" s="1"/>
  <c r="P2" i="2" s="1"/>
  <c r="R2" i="2" s="1"/>
  <c r="D64" i="2"/>
  <c r="C64" i="2"/>
  <c r="D63" i="2"/>
  <c r="C63" i="2"/>
  <c r="D62" i="2"/>
  <c r="C62" i="2"/>
  <c r="D61" i="2"/>
  <c r="C61" i="2"/>
  <c r="D60" i="2"/>
  <c r="C60" i="2"/>
  <c r="D59" i="2"/>
  <c r="D58" i="2"/>
  <c r="D57" i="2"/>
  <c r="C59" i="2"/>
  <c r="C58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D27" i="2"/>
  <c r="C28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D11" i="2"/>
  <c r="D10" i="2"/>
  <c r="C12" i="2"/>
  <c r="C11" i="2"/>
  <c r="C10" i="2"/>
  <c r="D9" i="2"/>
  <c r="C9" i="2"/>
  <c r="D8" i="2"/>
  <c r="C8" i="2"/>
  <c r="D7" i="2"/>
  <c r="C7" i="2"/>
  <c r="D6" i="2"/>
  <c r="C6" i="2"/>
  <c r="D5" i="2"/>
  <c r="D4" i="2"/>
  <c r="D3" i="2"/>
  <c r="C5" i="2"/>
  <c r="C4" i="2"/>
  <c r="C3" i="2"/>
  <c r="D2" i="2"/>
  <c r="C2" i="2"/>
  <c r="N64" i="2" l="1"/>
  <c r="P64" i="2" s="1"/>
  <c r="R64" i="2" s="1"/>
  <c r="M74" i="8"/>
  <c r="L74" i="8"/>
  <c r="K74" i="8"/>
  <c r="J74" i="8"/>
  <c r="I74" i="8"/>
  <c r="H74" i="8"/>
  <c r="G74" i="8"/>
  <c r="F74" i="8"/>
  <c r="E74" i="8"/>
  <c r="D74" i="8"/>
  <c r="M73" i="8"/>
  <c r="L73" i="8"/>
  <c r="K73" i="8"/>
  <c r="J73" i="8"/>
  <c r="I73" i="8"/>
  <c r="H73" i="8"/>
  <c r="G73" i="8"/>
  <c r="F73" i="8"/>
  <c r="E73" i="8"/>
  <c r="D73" i="8"/>
  <c r="M72" i="8"/>
  <c r="L72" i="8"/>
  <c r="K72" i="8"/>
  <c r="J72" i="8"/>
  <c r="I72" i="8"/>
  <c r="H72" i="8"/>
  <c r="G72" i="8"/>
  <c r="F72" i="8"/>
  <c r="E72" i="8"/>
  <c r="D72" i="8"/>
  <c r="M71" i="8"/>
  <c r="L71" i="8"/>
  <c r="K71" i="8"/>
  <c r="J71" i="8"/>
  <c r="I71" i="8"/>
  <c r="H71" i="8"/>
  <c r="G71" i="8"/>
  <c r="F71" i="8"/>
  <c r="E71" i="8"/>
  <c r="D71" i="8"/>
  <c r="M70" i="8"/>
  <c r="L70" i="8"/>
  <c r="K70" i="8"/>
  <c r="J70" i="8"/>
  <c r="I70" i="8"/>
  <c r="H70" i="8"/>
  <c r="G70" i="8"/>
  <c r="F70" i="8"/>
  <c r="E70" i="8"/>
  <c r="D70" i="8"/>
  <c r="M69" i="8"/>
  <c r="L69" i="8"/>
  <c r="K69" i="8"/>
  <c r="J69" i="8"/>
  <c r="I69" i="8"/>
  <c r="H69" i="8"/>
  <c r="G69" i="8"/>
  <c r="F69" i="8"/>
  <c r="E69" i="8"/>
  <c r="D69" i="8"/>
  <c r="M68" i="8"/>
  <c r="L68" i="8"/>
  <c r="K68" i="8"/>
  <c r="J68" i="8"/>
  <c r="I68" i="8"/>
  <c r="H68" i="8"/>
  <c r="G68" i="8"/>
  <c r="F68" i="8"/>
  <c r="E68" i="8"/>
  <c r="D68" i="8"/>
  <c r="M67" i="8"/>
  <c r="L67" i="8"/>
  <c r="K67" i="8"/>
  <c r="J67" i="8"/>
  <c r="I67" i="8"/>
  <c r="H67" i="8"/>
  <c r="G67" i="8"/>
  <c r="F67" i="8"/>
  <c r="E67" i="8"/>
  <c r="D67" i="8"/>
  <c r="M66" i="8"/>
  <c r="L66" i="8"/>
  <c r="K66" i="8"/>
  <c r="J66" i="8"/>
  <c r="I66" i="8"/>
  <c r="H66" i="8"/>
  <c r="G66" i="8"/>
  <c r="F66" i="8"/>
  <c r="E66" i="8"/>
  <c r="D66" i="8"/>
  <c r="M65" i="8"/>
  <c r="L65" i="8"/>
  <c r="K65" i="8"/>
  <c r="J65" i="8"/>
  <c r="I65" i="8"/>
  <c r="H65" i="8"/>
  <c r="G65" i="8"/>
  <c r="F65" i="8"/>
  <c r="E65" i="8"/>
  <c r="D65" i="8"/>
  <c r="M64" i="8"/>
  <c r="L64" i="8"/>
  <c r="K64" i="8"/>
  <c r="J64" i="8"/>
  <c r="I64" i="8"/>
  <c r="H64" i="8"/>
  <c r="G64" i="8"/>
  <c r="F64" i="8"/>
  <c r="E64" i="8"/>
  <c r="D64" i="8"/>
  <c r="M63" i="8"/>
  <c r="L63" i="8"/>
  <c r="K63" i="8"/>
  <c r="J63" i="8"/>
  <c r="I63" i="8"/>
  <c r="H63" i="8"/>
  <c r="G63" i="8"/>
  <c r="F63" i="8"/>
  <c r="E63" i="8"/>
  <c r="D63" i="8"/>
  <c r="M62" i="8"/>
  <c r="L62" i="8"/>
  <c r="K62" i="8"/>
  <c r="J62" i="8"/>
  <c r="I62" i="8"/>
  <c r="H62" i="8"/>
  <c r="G62" i="8"/>
  <c r="F62" i="8"/>
  <c r="E62" i="8"/>
  <c r="D62" i="8"/>
  <c r="M38" i="8"/>
  <c r="L38" i="8"/>
  <c r="K38" i="8"/>
  <c r="J38" i="8"/>
  <c r="I38" i="8"/>
  <c r="H38" i="8"/>
  <c r="G38" i="8"/>
  <c r="F38" i="8"/>
  <c r="E38" i="8"/>
  <c r="D38" i="8"/>
  <c r="M37" i="8"/>
  <c r="L37" i="8"/>
  <c r="K37" i="8"/>
  <c r="J37" i="8"/>
  <c r="I37" i="8"/>
  <c r="H37" i="8"/>
  <c r="G37" i="8"/>
  <c r="F37" i="8"/>
  <c r="E37" i="8"/>
  <c r="D37" i="8"/>
  <c r="M36" i="8"/>
  <c r="L36" i="8"/>
  <c r="K36" i="8"/>
  <c r="J36" i="8"/>
  <c r="I36" i="8"/>
  <c r="H36" i="8"/>
  <c r="G36" i="8"/>
  <c r="F36" i="8"/>
  <c r="E36" i="8"/>
  <c r="D36" i="8"/>
  <c r="M35" i="8"/>
  <c r="L35" i="8"/>
  <c r="K35" i="8"/>
  <c r="J35" i="8"/>
  <c r="I35" i="8"/>
  <c r="H35" i="8"/>
  <c r="G35" i="8"/>
  <c r="F35" i="8"/>
  <c r="E35" i="8"/>
  <c r="D35" i="8"/>
  <c r="M34" i="8"/>
  <c r="L34" i="8"/>
  <c r="K34" i="8"/>
  <c r="J34" i="8"/>
  <c r="I34" i="8"/>
  <c r="H34" i="8"/>
  <c r="G34" i="8"/>
  <c r="F34" i="8"/>
  <c r="E34" i="8"/>
  <c r="D34" i="8"/>
  <c r="M33" i="8"/>
  <c r="L33" i="8"/>
  <c r="K33" i="8"/>
  <c r="J33" i="8"/>
  <c r="I33" i="8"/>
  <c r="H33" i="8"/>
  <c r="G33" i="8"/>
  <c r="F33" i="8"/>
  <c r="E33" i="8"/>
  <c r="D33" i="8"/>
  <c r="M32" i="8"/>
  <c r="L32" i="8"/>
  <c r="K32" i="8"/>
  <c r="J32" i="8"/>
  <c r="I32" i="8"/>
  <c r="H32" i="8"/>
  <c r="G32" i="8"/>
  <c r="F32" i="8"/>
  <c r="E32" i="8"/>
  <c r="D32" i="8"/>
  <c r="M31" i="8"/>
  <c r="L31" i="8"/>
  <c r="K31" i="8"/>
  <c r="J31" i="8"/>
  <c r="I31" i="8"/>
  <c r="H31" i="8"/>
  <c r="G31" i="8"/>
  <c r="F31" i="8"/>
  <c r="E31" i="8"/>
  <c r="D31" i="8"/>
  <c r="M30" i="8"/>
  <c r="L30" i="8"/>
  <c r="K30" i="8"/>
  <c r="J30" i="8"/>
  <c r="I30" i="8"/>
  <c r="H30" i="8"/>
  <c r="G30" i="8"/>
  <c r="F30" i="8"/>
  <c r="E30" i="8"/>
  <c r="D30" i="8"/>
  <c r="M29" i="8"/>
  <c r="L29" i="8"/>
  <c r="K29" i="8"/>
  <c r="J29" i="8"/>
  <c r="I29" i="8"/>
  <c r="H29" i="8"/>
  <c r="G29" i="8"/>
  <c r="F29" i="8"/>
  <c r="E29" i="8"/>
  <c r="D29" i="8"/>
  <c r="M28" i="8"/>
  <c r="L28" i="8"/>
  <c r="K28" i="8"/>
  <c r="J28" i="8"/>
  <c r="I28" i="8"/>
  <c r="H28" i="8"/>
  <c r="G28" i="8"/>
  <c r="F28" i="8"/>
  <c r="E28" i="8"/>
  <c r="D28" i="8"/>
  <c r="M27" i="8"/>
  <c r="L27" i="8"/>
  <c r="K27" i="8"/>
  <c r="J27" i="8"/>
  <c r="I27" i="8"/>
  <c r="H27" i="8"/>
  <c r="G27" i="8"/>
  <c r="F27" i="8"/>
  <c r="E27" i="8"/>
  <c r="D27" i="8"/>
  <c r="M26" i="8"/>
  <c r="L26" i="8"/>
  <c r="K26" i="8"/>
  <c r="J26" i="8"/>
  <c r="I26" i="8"/>
  <c r="H26" i="8"/>
  <c r="G26" i="8"/>
  <c r="F26" i="8"/>
  <c r="E26" i="8"/>
  <c r="D26" i="8"/>
  <c r="M19" i="8"/>
  <c r="L19" i="8"/>
  <c r="K19" i="8"/>
  <c r="J19" i="8"/>
  <c r="I19" i="8"/>
  <c r="H19" i="8"/>
  <c r="G19" i="8"/>
  <c r="F19" i="8"/>
  <c r="E19" i="8"/>
  <c r="D19" i="8"/>
  <c r="M18" i="8"/>
  <c r="L18" i="8"/>
  <c r="K18" i="8"/>
  <c r="J18" i="8"/>
  <c r="I18" i="8"/>
  <c r="H18" i="8"/>
  <c r="G18" i="8"/>
  <c r="F18" i="8"/>
  <c r="E18" i="8"/>
  <c r="D18" i="8"/>
  <c r="M17" i="8"/>
  <c r="L17" i="8"/>
  <c r="K17" i="8"/>
  <c r="J17" i="8"/>
  <c r="I17" i="8"/>
  <c r="H17" i="8"/>
  <c r="G17" i="8"/>
  <c r="F17" i="8"/>
  <c r="E17" i="8"/>
  <c r="D17" i="8"/>
  <c r="M16" i="8"/>
  <c r="L16" i="8"/>
  <c r="K16" i="8"/>
  <c r="J16" i="8"/>
  <c r="I16" i="8"/>
  <c r="H16" i="8"/>
  <c r="G16" i="8"/>
  <c r="F16" i="8"/>
  <c r="E16" i="8"/>
  <c r="D16" i="8"/>
  <c r="M15" i="8"/>
  <c r="L15" i="8"/>
  <c r="K15" i="8"/>
  <c r="J15" i="8"/>
  <c r="I15" i="8"/>
  <c r="H15" i="8"/>
  <c r="G15" i="8"/>
  <c r="F15" i="8"/>
  <c r="E15" i="8"/>
  <c r="D15" i="8"/>
  <c r="M14" i="8"/>
  <c r="L14" i="8"/>
  <c r="K14" i="8"/>
  <c r="J14" i="8"/>
  <c r="I14" i="8"/>
  <c r="H14" i="8"/>
  <c r="G14" i="8"/>
  <c r="F14" i="8"/>
  <c r="E14" i="8"/>
  <c r="D14" i="8"/>
  <c r="M13" i="8"/>
  <c r="L13" i="8"/>
  <c r="K13" i="8"/>
  <c r="J13" i="8"/>
  <c r="I13" i="8"/>
  <c r="H13" i="8"/>
  <c r="G13" i="8"/>
  <c r="F13" i="8"/>
  <c r="E13" i="8"/>
  <c r="D13" i="8"/>
  <c r="M12" i="8"/>
  <c r="L12" i="8"/>
  <c r="K12" i="8"/>
  <c r="J12" i="8"/>
  <c r="I12" i="8"/>
  <c r="H12" i="8"/>
  <c r="G12" i="8"/>
  <c r="F12" i="8"/>
  <c r="E12" i="8"/>
  <c r="D12" i="8"/>
  <c r="M11" i="8"/>
  <c r="L11" i="8"/>
  <c r="K11" i="8"/>
  <c r="J11" i="8"/>
  <c r="I11" i="8"/>
  <c r="H11" i="8"/>
  <c r="G11" i="8"/>
  <c r="F11" i="8"/>
  <c r="E11" i="8"/>
  <c r="D11" i="8"/>
  <c r="M10" i="8"/>
  <c r="L10" i="8"/>
  <c r="K10" i="8"/>
  <c r="J10" i="8"/>
  <c r="I10" i="8"/>
  <c r="H10" i="8"/>
  <c r="G10" i="8"/>
  <c r="F10" i="8"/>
  <c r="E10" i="8"/>
  <c r="D10" i="8"/>
  <c r="M9" i="8"/>
  <c r="L9" i="8"/>
  <c r="K9" i="8"/>
  <c r="J9" i="8"/>
  <c r="I9" i="8"/>
  <c r="H9" i="8"/>
  <c r="G9" i="8"/>
  <c r="F9" i="8"/>
  <c r="E9" i="8"/>
  <c r="D9" i="8"/>
  <c r="M8" i="8"/>
  <c r="L8" i="8"/>
  <c r="K8" i="8"/>
  <c r="J8" i="8"/>
  <c r="I8" i="8"/>
  <c r="H8" i="8"/>
  <c r="G8" i="8"/>
  <c r="F8" i="8"/>
  <c r="E8" i="8"/>
  <c r="D8" i="8"/>
  <c r="M7" i="8"/>
  <c r="L7" i="8"/>
  <c r="K7" i="8"/>
  <c r="J7" i="8"/>
  <c r="I7" i="8"/>
  <c r="H7" i="8"/>
  <c r="G7" i="8"/>
  <c r="F7" i="8"/>
  <c r="E7" i="8"/>
  <c r="D7" i="8"/>
  <c r="B3" i="6"/>
</calcChain>
</file>

<file path=xl/sharedStrings.xml><?xml version="1.0" encoding="utf-8"?>
<sst xmlns="http://schemas.openxmlformats.org/spreadsheetml/2006/main" count="1377" uniqueCount="308">
  <si>
    <t>BP name</t>
  </si>
  <si>
    <t>Total cost</t>
  </si>
  <si>
    <t>per kg rate</t>
  </si>
  <si>
    <t>kg delivered</t>
  </si>
  <si>
    <t>payout</t>
  </si>
  <si>
    <t>budget</t>
  </si>
  <si>
    <t>difference</t>
  </si>
  <si>
    <t>difference %</t>
  </si>
  <si>
    <t>profit</t>
  </si>
  <si>
    <t>profit margin</t>
  </si>
  <si>
    <t>cost per kg</t>
  </si>
  <si>
    <t>status</t>
  </si>
  <si>
    <t>profitability</t>
  </si>
  <si>
    <t>AGARWAL SUGANDHA AMIT</t>
  </si>
  <si>
    <t>Amit Ramesh Agarwal</t>
  </si>
  <si>
    <t>correlation b/w payout and cost per kg</t>
  </si>
  <si>
    <t>ASHISH SAXENA</t>
  </si>
  <si>
    <t>Ashok Kumar_GNCB1</t>
  </si>
  <si>
    <t>BELIM RIYAZUDDIN MEHBOOBBHAI</t>
  </si>
  <si>
    <t>Bharat madhusing lodha</t>
  </si>
  <si>
    <t>Total partners</t>
  </si>
  <si>
    <t>DENISH B. BAVARIYA</t>
  </si>
  <si>
    <t>making profit</t>
  </si>
  <si>
    <t>Devendar Vanga</t>
  </si>
  <si>
    <t>%</t>
  </si>
  <si>
    <t>Devendra r. mistry</t>
  </si>
  <si>
    <t>Dharmendra Sharma</t>
  </si>
  <si>
    <t>DINESHBHAI MOHANBHAI SOLANKI</t>
  </si>
  <si>
    <t>EKTA AGARWAL</t>
  </si>
  <si>
    <t>FAIZILA Theba</t>
  </si>
  <si>
    <t>GAJRAJSINGH B RATHOD</t>
  </si>
  <si>
    <t>GOHIL RAGHUVIRSINH R</t>
  </si>
  <si>
    <t>Gulamhusen Mohamad Ghanchi</t>
  </si>
  <si>
    <t>GULZAR F MEMON</t>
  </si>
  <si>
    <t>Hardik Patel</t>
  </si>
  <si>
    <t>Harun Abdul Bhai Theba</t>
  </si>
  <si>
    <t>Inderkumar moolchand gupta</t>
  </si>
  <si>
    <t>Karan Mistry_Delivery</t>
  </si>
  <si>
    <t>LALAJI BHAI THAKOR</t>
  </si>
  <si>
    <t>MAMATA PAL</t>
  </si>
  <si>
    <t>MANISHA PRAVIN PATIL</t>
  </si>
  <si>
    <t>Meenakshi Gupta</t>
  </si>
  <si>
    <t>mo. Farukh</t>
  </si>
  <si>
    <t>MOINUDDIN R SHAIKH</t>
  </si>
  <si>
    <t>MUKESHBHAI RAJABHAI BHARWAD</t>
  </si>
  <si>
    <t>MULIYA TOFIKHUSEN HABIBBHAI</t>
  </si>
  <si>
    <t>OD Maheshbhai Bhikhabhai</t>
  </si>
  <si>
    <t>Patani Salim Gafarbhai</t>
  </si>
  <si>
    <t>PATHAN PARVEZBHAI</t>
  </si>
  <si>
    <t>Pravin Patil</t>
  </si>
  <si>
    <t>Pravin Thakor</t>
  </si>
  <si>
    <t>RAJENDRASINH L CHAVDA</t>
  </si>
  <si>
    <t>Rajesh Kumar Misra_Delivery</t>
  </si>
  <si>
    <t>RAKIB GULAMKADAR BLOCH</t>
  </si>
  <si>
    <t>SADHU RAM KARGWAL</t>
  </si>
  <si>
    <t>SANDEEP KUMAR</t>
  </si>
  <si>
    <t>SHEKH JENULABEDEEN BADRUDIN</t>
  </si>
  <si>
    <t>Shekh Seemabanu Mohammad</t>
  </si>
  <si>
    <t>Siddhant Subhash Borse</t>
  </si>
  <si>
    <t>SURESHBHAI RAJABHAI BHARWAD</t>
  </si>
  <si>
    <t>SWAPNIL PANDEY_BP</t>
  </si>
  <si>
    <t>VIKAS AGARWAL</t>
  </si>
  <si>
    <t>VIRENDRA SOLANKI</t>
  </si>
  <si>
    <t>Visharad Chauhan</t>
  </si>
  <si>
    <t>ZAINULSHA.M.DIWAN</t>
  </si>
  <si>
    <t>Index</t>
  </si>
  <si>
    <t>OU</t>
  </si>
  <si>
    <t>OU Code</t>
  </si>
  <si>
    <t>Vehicles</t>
  </si>
  <si>
    <t>Vehicle name</t>
  </si>
  <si>
    <t>Vehicles ownership</t>
  </si>
  <si>
    <t>Year of purchase</t>
  </si>
  <si>
    <t>Mileage</t>
  </si>
  <si>
    <t>Vehicle Capacity</t>
  </si>
  <si>
    <t>vehicle type</t>
  </si>
  <si>
    <t>km travelled</t>
  </si>
  <si>
    <t>Fuel Cost</t>
  </si>
  <si>
    <t>EMI</t>
  </si>
  <si>
    <t>Maintenance</t>
  </si>
  <si>
    <t>Vehicle cost</t>
  </si>
  <si>
    <t>Team cost</t>
  </si>
  <si>
    <t>Vapi</t>
  </si>
  <si>
    <t>Ahmedabad Branch</t>
  </si>
  <si>
    <t>Gandhi Nager</t>
  </si>
  <si>
    <t>Rampura Branch</t>
  </si>
  <si>
    <t>Jamnager</t>
  </si>
  <si>
    <t>Surat</t>
  </si>
  <si>
    <t>Vadodara</t>
  </si>
  <si>
    <t>Ahmmedabad City</t>
  </si>
  <si>
    <t>Sanand</t>
  </si>
  <si>
    <t>Rajkot</t>
  </si>
  <si>
    <t>Bhavnager</t>
  </si>
  <si>
    <t>Amreli</t>
  </si>
  <si>
    <t>Junagarh</t>
  </si>
  <si>
    <t>Mehsana</t>
  </si>
  <si>
    <t>bp_id</t>
  </si>
  <si>
    <t>bp_name</t>
  </si>
  <si>
    <t>branch_name</t>
  </si>
  <si>
    <t>per_kg_rate</t>
  </si>
  <si>
    <t>kg_delivered</t>
  </si>
  <si>
    <t>Ashish saxena</t>
  </si>
  <si>
    <t>Problem statement</t>
  </si>
  <si>
    <t>Chauhan navneet kumar</t>
  </si>
  <si>
    <t>Business overview - Process overview</t>
  </si>
  <si>
    <t>Milestone 1 : Build a model,scenario analysis</t>
  </si>
  <si>
    <t>Skill Tag 1</t>
  </si>
  <si>
    <t>Skill Tag 2</t>
  </si>
  <si>
    <t>Ability to structure business process into a model</t>
  </si>
  <si>
    <t>Ability to model different scenarios and answer What - If questions</t>
  </si>
  <si>
    <t>Answer questions</t>
  </si>
  <si>
    <t>Write the insights/recommendations</t>
  </si>
  <si>
    <t>Upload for review</t>
  </si>
  <si>
    <t xml:space="preserve">Milestone 1 Feedback : </t>
  </si>
  <si>
    <t>Karan Mistry_Pickup</t>
  </si>
  <si>
    <t>Milestone 2 : Select the right branch for analysis</t>
  </si>
  <si>
    <t>Rajesh Kumar Misra_Pickup</t>
  </si>
  <si>
    <t>Ability to understand patterns from data</t>
  </si>
  <si>
    <t>Ability to make business decisions</t>
  </si>
  <si>
    <t>Milestone 3 : Insights from AMD payout</t>
  </si>
  <si>
    <t>Milestone 4 : Build cost and revenue model</t>
  </si>
  <si>
    <t>Milestone 5 : Insights from Profitability model and dashboard</t>
  </si>
  <si>
    <t>Milestone 6 : Decision support tool</t>
  </si>
  <si>
    <t>Vehicle</t>
  </si>
  <si>
    <t>Vehicle ownership</t>
  </si>
  <si>
    <t>14 ft,Tata Ace</t>
  </si>
  <si>
    <t>EMI,EMI</t>
  </si>
  <si>
    <t>2018,2017</t>
  </si>
  <si>
    <t>14 ft</t>
  </si>
  <si>
    <t>Market</t>
  </si>
  <si>
    <t>NA</t>
  </si>
  <si>
    <t>17 ft</t>
  </si>
  <si>
    <t>Mahindra</t>
  </si>
  <si>
    <t>AL Dost</t>
  </si>
  <si>
    <t>Tata Ace</t>
  </si>
  <si>
    <t>14 ft,17 ft,22 ft</t>
  </si>
  <si>
    <t>EMI,EMI,Market</t>
  </si>
  <si>
    <t>2016,2017,NA</t>
  </si>
  <si>
    <t>Owned</t>
  </si>
  <si>
    <t>14 ft,19 ft</t>
  </si>
  <si>
    <t>EMI,Market</t>
  </si>
  <si>
    <t>2013,NA</t>
  </si>
  <si>
    <t>Super ace</t>
  </si>
  <si>
    <t>19 ft</t>
  </si>
  <si>
    <t>EMI,Owned</t>
  </si>
  <si>
    <t>2020,2018</t>
  </si>
  <si>
    <t>14 ft,AL Dost,Super ace</t>
  </si>
  <si>
    <t>Market,EMI,EMI</t>
  </si>
  <si>
    <t>NA,2019,2018</t>
  </si>
  <si>
    <t>Tata Ace,Super ace</t>
  </si>
  <si>
    <t>2013,2015</t>
  </si>
  <si>
    <t>Market,Owned</t>
  </si>
  <si>
    <t>NA,2013</t>
  </si>
  <si>
    <t>2015</t>
  </si>
  <si>
    <t>Pickup,Tata Ace</t>
  </si>
  <si>
    <t>Owned,Owned</t>
  </si>
  <si>
    <t>2014,2020</t>
  </si>
  <si>
    <t>Super ace,AL Dost</t>
  </si>
  <si>
    <t>2014,2018</t>
  </si>
  <si>
    <t>Mahindra,Mahindra</t>
  </si>
  <si>
    <t>2019,2018</t>
  </si>
  <si>
    <t>17 ft,Mahindra,Pickup,Tata Ace</t>
  </si>
  <si>
    <t>Market,EMI,EMI,EMI</t>
  </si>
  <si>
    <t>NA,2018,2018,2014</t>
  </si>
  <si>
    <t>20 ft</t>
  </si>
  <si>
    <t>22 ft</t>
  </si>
  <si>
    <t>Pickup</t>
  </si>
  <si>
    <t>Capacity</t>
  </si>
  <si>
    <t>VAPT1</t>
  </si>
  <si>
    <t>AMDT1</t>
  </si>
  <si>
    <t>GNCB1</t>
  </si>
  <si>
    <t>AMDBP</t>
  </si>
  <si>
    <t>BDQT1</t>
  </si>
  <si>
    <t>JGAB1</t>
  </si>
  <si>
    <t>STVT1</t>
  </si>
  <si>
    <t>AMDBL</t>
  </si>
  <si>
    <t>AMDBC</t>
  </si>
  <si>
    <t>RAJB1</t>
  </si>
  <si>
    <t>BVCB1</t>
  </si>
  <si>
    <t>AKVB1</t>
  </si>
  <si>
    <t>JNDB1</t>
  </si>
  <si>
    <t>MSHB1</t>
  </si>
  <si>
    <t>Km travelled</t>
  </si>
  <si>
    <t>Fuel Cost/liter</t>
  </si>
  <si>
    <t>KM and Fuel cost</t>
  </si>
  <si>
    <t>Maintenance and additional cost</t>
  </si>
  <si>
    <t>Downpayment</t>
  </si>
  <si>
    <t>Tenure (yrs)</t>
  </si>
  <si>
    <t>Tenure (months)</t>
  </si>
  <si>
    <t>Interest @ p.a.</t>
  </si>
  <si>
    <t>Ex- Showroom Price</t>
  </si>
  <si>
    <t>Downpayment Amount</t>
  </si>
  <si>
    <t>Balance</t>
  </si>
  <si>
    <t>Tata 407</t>
  </si>
  <si>
    <t>Eicher 14</t>
  </si>
  <si>
    <t>Eicher 17</t>
  </si>
  <si>
    <t>Eicher 19</t>
  </si>
  <si>
    <t>Eicher 20</t>
  </si>
  <si>
    <t>Eicher 32 ft</t>
  </si>
  <si>
    <t>3wheeler</t>
  </si>
  <si>
    <t>Tata 909</t>
  </si>
  <si>
    <t>Tata 1109</t>
  </si>
  <si>
    <t>Champion</t>
  </si>
  <si>
    <t>Trump Forec</t>
  </si>
  <si>
    <t>Cargo king</t>
  </si>
  <si>
    <t>24 FT</t>
  </si>
  <si>
    <t>Taurus</t>
  </si>
  <si>
    <t>code</t>
  </si>
  <si>
    <t>Name</t>
  </si>
  <si>
    <t>Column1</t>
  </si>
  <si>
    <t>Column2</t>
  </si>
  <si>
    <t>Row Labels</t>
  </si>
  <si>
    <t>Grand Total</t>
  </si>
  <si>
    <t>Average of Vehicle Capacity</t>
  </si>
  <si>
    <t>Average</t>
  </si>
  <si>
    <t>Sum of Total cost</t>
  </si>
  <si>
    <t>Partner Name</t>
  </si>
  <si>
    <t>BP Code</t>
  </si>
  <si>
    <t>BP</t>
  </si>
  <si>
    <t xml:space="preserve">OU </t>
  </si>
  <si>
    <t>Cluster</t>
  </si>
  <si>
    <t>Total Payout</t>
  </si>
  <si>
    <t>Budgeted payout</t>
  </si>
  <si>
    <t>BP1017</t>
  </si>
  <si>
    <t>Sunder Srinivasan</t>
  </si>
  <si>
    <t>Ahmedabad</t>
  </si>
  <si>
    <t>BP1022</t>
  </si>
  <si>
    <t>BP1031</t>
  </si>
  <si>
    <t>BP1042</t>
  </si>
  <si>
    <t>BP1057</t>
  </si>
  <si>
    <t>BP1061</t>
  </si>
  <si>
    <t>BP1070</t>
  </si>
  <si>
    <t>BP1074</t>
  </si>
  <si>
    <t>BP1075</t>
  </si>
  <si>
    <t>BP1104</t>
  </si>
  <si>
    <t>BP1105</t>
  </si>
  <si>
    <t>BP1107</t>
  </si>
  <si>
    <t>BP1143</t>
  </si>
  <si>
    <t>BP1146</t>
  </si>
  <si>
    <t>BP1151</t>
  </si>
  <si>
    <t>BP1168</t>
  </si>
  <si>
    <t>SHREY JAYESHBHAI TARSARIA</t>
  </si>
  <si>
    <t>BP1171</t>
  </si>
  <si>
    <t>BP1203</t>
  </si>
  <si>
    <t>Chauhan  navneet kumar</t>
  </si>
  <si>
    <t>BP1209</t>
  </si>
  <si>
    <t>BP1217</t>
  </si>
  <si>
    <t>BP1223</t>
  </si>
  <si>
    <t>BP1229</t>
  </si>
  <si>
    <t>BP1237</t>
  </si>
  <si>
    <t>BP1240</t>
  </si>
  <si>
    <t>BP1259</t>
  </si>
  <si>
    <t>BP1275</t>
  </si>
  <si>
    <t>BP1289</t>
  </si>
  <si>
    <t>BP1296</t>
  </si>
  <si>
    <t>BP1298</t>
  </si>
  <si>
    <t>BP1299</t>
  </si>
  <si>
    <t>BP1302</t>
  </si>
  <si>
    <t>BP1317</t>
  </si>
  <si>
    <t>BP1318</t>
  </si>
  <si>
    <t>BP1319</t>
  </si>
  <si>
    <t>BP1324</t>
  </si>
  <si>
    <t>BP1327</t>
  </si>
  <si>
    <t>BP1328</t>
  </si>
  <si>
    <t>BP1329</t>
  </si>
  <si>
    <t>BP1330</t>
  </si>
  <si>
    <t>BP1331</t>
  </si>
  <si>
    <t>BP1332</t>
  </si>
  <si>
    <t>BP1334</t>
  </si>
  <si>
    <t>BP1335</t>
  </si>
  <si>
    <t>BP1336</t>
  </si>
  <si>
    <t>BP1338</t>
  </si>
  <si>
    <t>BP1339</t>
  </si>
  <si>
    <t>BP1342</t>
  </si>
  <si>
    <t>BP1344</t>
  </si>
  <si>
    <t>BP1357</t>
  </si>
  <si>
    <t>BP1363</t>
  </si>
  <si>
    <t>BP1364</t>
  </si>
  <si>
    <t>BP1367</t>
  </si>
  <si>
    <t>BP1377</t>
  </si>
  <si>
    <t>BP1417</t>
  </si>
  <si>
    <t>SAMIR SHAMSUDDIN SOLAPURI</t>
  </si>
  <si>
    <t>BP1439</t>
  </si>
  <si>
    <t>V N PATEL</t>
  </si>
  <si>
    <t>BP1478</t>
  </si>
  <si>
    <t>FARHANUDDIN KAZI</t>
  </si>
  <si>
    <t>BP1496</t>
  </si>
  <si>
    <t>Parmar P K</t>
  </si>
  <si>
    <t>BP1506</t>
  </si>
  <si>
    <t>Rajnarayan Tiwari</t>
  </si>
  <si>
    <t>IXYB1</t>
  </si>
  <si>
    <t>BP1534</t>
  </si>
  <si>
    <t>Manishkumar Bhogilal Joshii</t>
  </si>
  <si>
    <t>BP1565</t>
  </si>
  <si>
    <t>Bahadurbhai Prabhatbhai Jalu</t>
  </si>
  <si>
    <t>BP1571</t>
  </si>
  <si>
    <t>Vavadiya Bhaveshbhai Kalabhai</t>
  </si>
  <si>
    <t>BP1591</t>
  </si>
  <si>
    <t>Kamleshbhai Muljibhai Rabari</t>
  </si>
  <si>
    <t>BP1618</t>
  </si>
  <si>
    <t>ARTI JAYESHBHAI TARSARIA</t>
  </si>
  <si>
    <t>making loss</t>
  </si>
  <si>
    <t>Improved Model Expected Cost</t>
  </si>
  <si>
    <t>Previous Model Expected Cost</t>
  </si>
  <si>
    <t>Difference</t>
  </si>
  <si>
    <t>Monthly capacity</t>
  </si>
  <si>
    <t>Utilization</t>
  </si>
  <si>
    <t>Sum of Vehicle Capacity</t>
  </si>
  <si>
    <t>Sum of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</si>
</sst>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₹&quot;\ #,##0;[Red]&quot;₹&quot;\ \-#,##0"/>
    <numFmt numFmtId="164" formatCode="_ * #,##0_ ;_ * \-#,##0_ ;_ * &quot;-&quot;??_ ;_ @_ "/>
    <numFmt numFmtId="165" formatCode="0.0000"/>
    <numFmt numFmtId="166" formatCode="0.0%"/>
    <numFmt numFmtId="167" formatCode="[$₹]#,##0"/>
    <numFmt numFmtId="168" formatCode="[$₹]#,##0.00"/>
    <numFmt numFmtId="169" formatCode="[$₹]#,##0.0000"/>
    <numFmt numFmtId="170" formatCode="0.0"/>
    <numFmt numFmtId="171" formatCode="&quot;₹&quot;\ #,##0"/>
    <numFmt numFmtId="172" formatCode="&quot;₹&quot;\ #,##0.00"/>
  </numFmts>
  <fonts count="17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DEEAF6"/>
        <bgColor rgb="FFDEEAF6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1"/>
        <bgColor theme="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3">
    <xf numFmtId="0" fontId="0" fillId="0" borderId="0" xfId="0" applyFont="1" applyAlignment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9" fontId="5" fillId="0" borderId="0" xfId="0" applyNumberFormat="1" applyFont="1"/>
    <xf numFmtId="1" fontId="5" fillId="0" borderId="0" xfId="0" applyNumberFormat="1" applyFont="1"/>
    <xf numFmtId="165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9" fontId="8" fillId="0" borderId="0" xfId="0" applyNumberFormat="1" applyFont="1"/>
    <xf numFmtId="166" fontId="8" fillId="0" borderId="0" xfId="0" applyNumberFormat="1" applyFont="1"/>
    <xf numFmtId="3" fontId="8" fillId="0" borderId="0" xfId="0" applyNumberFormat="1" applyFont="1"/>
    <xf numFmtId="167" fontId="8" fillId="0" borderId="0" xfId="0" applyNumberFormat="1" applyFont="1"/>
    <xf numFmtId="10" fontId="8" fillId="0" borderId="0" xfId="0" applyNumberFormat="1" applyFont="1"/>
    <xf numFmtId="168" fontId="8" fillId="0" borderId="0" xfId="0" applyNumberFormat="1" applyFont="1"/>
    <xf numFmtId="1" fontId="8" fillId="0" borderId="0" xfId="0" applyNumberFormat="1" applyFont="1"/>
    <xf numFmtId="0" fontId="4" fillId="0" borderId="1" xfId="0" applyFont="1" applyBorder="1" applyAlignment="1">
      <alignment horizontal="left" vertical="top"/>
    </xf>
    <xf numFmtId="2" fontId="8" fillId="0" borderId="0" xfId="0" applyNumberFormat="1" applyFont="1"/>
    <xf numFmtId="169" fontId="8" fillId="0" borderId="0" xfId="0" applyNumberFormat="1" applyFont="1"/>
    <xf numFmtId="0" fontId="4" fillId="0" borderId="0" xfId="0" applyFont="1" applyAlignment="1">
      <alignment vertical="top"/>
    </xf>
    <xf numFmtId="4" fontId="8" fillId="0" borderId="0" xfId="0" applyNumberFormat="1" applyFont="1"/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2" fontId="5" fillId="0" borderId="15" xfId="0" applyNumberFormat="1" applyFont="1" applyBorder="1"/>
    <xf numFmtId="170" fontId="5" fillId="0" borderId="0" xfId="0" applyNumberFormat="1" applyFont="1"/>
    <xf numFmtId="1" fontId="5" fillId="0" borderId="15" xfId="0" applyNumberFormat="1" applyFont="1" applyBorder="1"/>
    <xf numFmtId="0" fontId="10" fillId="0" borderId="0" xfId="0" applyFont="1"/>
    <xf numFmtId="0" fontId="12" fillId="5" borderId="21" xfId="0" applyFont="1" applyFill="1" applyBorder="1"/>
    <xf numFmtId="0" fontId="8" fillId="6" borderId="21" xfId="0" applyFont="1" applyFill="1" applyBorder="1"/>
    <xf numFmtId="3" fontId="8" fillId="6" borderId="21" xfId="0" applyNumberFormat="1" applyFont="1" applyFill="1" applyBorder="1"/>
    <xf numFmtId="1" fontId="8" fillId="6" borderId="21" xfId="0" applyNumberFormat="1" applyFont="1" applyFill="1" applyBorder="1"/>
    <xf numFmtId="0" fontId="8" fillId="0" borderId="21" xfId="0" applyFont="1" applyBorder="1"/>
    <xf numFmtId="3" fontId="8" fillId="0" borderId="21" xfId="0" applyNumberFormat="1" applyFont="1" applyBorder="1"/>
    <xf numFmtId="1" fontId="8" fillId="0" borderId="21" xfId="0" applyNumberFormat="1" applyFont="1" applyBorder="1"/>
    <xf numFmtId="0" fontId="3" fillId="6" borderId="21" xfId="0" applyFont="1" applyFill="1" applyBorder="1"/>
    <xf numFmtId="0" fontId="11" fillId="5" borderId="21" xfId="0" applyFont="1" applyFill="1" applyBorder="1"/>
    <xf numFmtId="2" fontId="8" fillId="0" borderId="15" xfId="0" applyNumberFormat="1" applyFont="1" applyBorder="1"/>
    <xf numFmtId="2" fontId="8" fillId="6" borderId="22" xfId="0" applyNumberFormat="1" applyFont="1" applyFill="1" applyBorder="1"/>
    <xf numFmtId="2" fontId="8" fillId="6" borderId="14" xfId="0" applyNumberFormat="1" applyFont="1" applyFill="1" applyBorder="1"/>
    <xf numFmtId="2" fontId="8" fillId="0" borderId="22" xfId="0" applyNumberFormat="1" applyFont="1" applyBorder="1"/>
    <xf numFmtId="2" fontId="8" fillId="0" borderId="14" xfId="0" applyNumberFormat="1" applyFont="1" applyBorder="1"/>
    <xf numFmtId="2" fontId="8" fillId="0" borderId="23" xfId="0" applyNumberFormat="1" applyFont="1" applyBorder="1"/>
    <xf numFmtId="2" fontId="8" fillId="6" borderId="21" xfId="0" applyNumberFormat="1" applyFont="1" applyFill="1" applyBorder="1"/>
    <xf numFmtId="2" fontId="8" fillId="0" borderId="21" xfId="0" applyNumberFormat="1" applyFont="1" applyBorder="1"/>
    <xf numFmtId="0" fontId="11" fillId="5" borderId="18" xfId="0" applyFont="1" applyFill="1" applyBorder="1"/>
    <xf numFmtId="0" fontId="11" fillId="5" borderId="19" xfId="0" applyFont="1" applyFill="1" applyBorder="1"/>
    <xf numFmtId="0" fontId="11" fillId="5" borderId="20" xfId="0" applyFont="1" applyFill="1" applyBorder="1"/>
    <xf numFmtId="170" fontId="8" fillId="0" borderId="21" xfId="0" applyNumberFormat="1" applyFont="1" applyBorder="1"/>
    <xf numFmtId="170" fontId="8" fillId="6" borderId="21" xfId="0" applyNumberFormat="1" applyFont="1" applyFill="1" applyBorder="1"/>
    <xf numFmtId="1" fontId="8" fillId="0" borderId="15" xfId="0" applyNumberFormat="1" applyFont="1" applyBorder="1"/>
    <xf numFmtId="1" fontId="8" fillId="6" borderId="22" xfId="0" applyNumberFormat="1" applyFont="1" applyFill="1" applyBorder="1"/>
    <xf numFmtId="1" fontId="8" fillId="6" borderId="14" xfId="0" applyNumberFormat="1" applyFont="1" applyFill="1" applyBorder="1"/>
    <xf numFmtId="1" fontId="8" fillId="0" borderId="22" xfId="0" applyNumberFormat="1" applyFont="1" applyBorder="1"/>
    <xf numFmtId="1" fontId="8" fillId="0" borderId="14" xfId="0" applyNumberFormat="1" applyFont="1" applyBorder="1"/>
    <xf numFmtId="1" fontId="8" fillId="0" borderId="23" xfId="0" applyNumberFormat="1" applyFont="1" applyBorder="1"/>
    <xf numFmtId="6" fontId="8" fillId="6" borderId="21" xfId="0" applyNumberFormat="1" applyFont="1" applyFill="1" applyBorder="1"/>
    <xf numFmtId="6" fontId="8" fillId="0" borderId="21" xfId="0" applyNumberFormat="1" applyFont="1" applyBorder="1"/>
    <xf numFmtId="0" fontId="8" fillId="0" borderId="24" xfId="0" applyFont="1" applyBorder="1"/>
    <xf numFmtId="0" fontId="8" fillId="0" borderId="25" xfId="0" applyFont="1" applyBorder="1"/>
    <xf numFmtId="0" fontId="8" fillId="0" borderId="26" xfId="0" applyFont="1" applyBorder="1"/>
    <xf numFmtId="0" fontId="12" fillId="5" borderId="26" xfId="0" applyFont="1" applyFill="1" applyBorder="1"/>
    <xf numFmtId="0" fontId="11" fillId="5" borderId="26" xfId="0" applyFont="1" applyFill="1" applyBorder="1"/>
    <xf numFmtId="0" fontId="12" fillId="5" borderId="25" xfId="0" applyFont="1" applyFill="1" applyBorder="1"/>
    <xf numFmtId="0" fontId="8" fillId="6" borderId="26" xfId="0" applyFont="1" applyFill="1" applyBorder="1"/>
    <xf numFmtId="0" fontId="3" fillId="6" borderId="26" xfId="0" applyFont="1" applyFill="1" applyBorder="1"/>
    <xf numFmtId="0" fontId="8" fillId="6" borderId="25" xfId="0" applyFont="1" applyFill="1" applyBorder="1"/>
    <xf numFmtId="0" fontId="3" fillId="0" borderId="26" xfId="0" applyFont="1" applyBorder="1"/>
    <xf numFmtId="0" fontId="3" fillId="0" borderId="24" xfId="0" applyFont="1" applyBorder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21" xfId="0" pivotButton="1" applyFont="1" applyBorder="1" applyAlignment="1"/>
    <xf numFmtId="0" fontId="0" fillId="0" borderId="21" xfId="0" applyFont="1" applyBorder="1" applyAlignment="1"/>
    <xf numFmtId="0" fontId="0" fillId="0" borderId="21" xfId="0" applyFont="1" applyBorder="1" applyAlignment="1">
      <alignment horizontal="left"/>
    </xf>
    <xf numFmtId="2" fontId="0" fillId="0" borderId="21" xfId="0" applyNumberFormat="1" applyFont="1" applyBorder="1" applyAlignment="1"/>
    <xf numFmtId="0" fontId="13" fillId="0" borderId="21" xfId="0" pivotButton="1" applyFont="1" applyBorder="1" applyAlignment="1"/>
    <xf numFmtId="0" fontId="13" fillId="0" borderId="21" xfId="0" applyFont="1" applyBorder="1" applyAlignment="1"/>
    <xf numFmtId="6" fontId="8" fillId="7" borderId="21" xfId="0" applyNumberFormat="1" applyFont="1" applyFill="1" applyBorder="1"/>
    <xf numFmtId="171" fontId="0" fillId="0" borderId="0" xfId="0" applyNumberFormat="1" applyFont="1" applyAlignment="1"/>
    <xf numFmtId="0" fontId="13" fillId="9" borderId="0" xfId="0" applyFont="1" applyFill="1" applyAlignment="1"/>
    <xf numFmtId="2" fontId="13" fillId="9" borderId="0" xfId="0" applyNumberFormat="1" applyFont="1" applyFill="1" applyAlignment="1"/>
    <xf numFmtId="2" fontId="14" fillId="10" borderId="21" xfId="0" applyNumberFormat="1" applyFont="1" applyFill="1" applyBorder="1" applyAlignment="1"/>
    <xf numFmtId="0" fontId="13" fillId="0" borderId="0" xfId="0" applyFont="1" applyAlignment="1"/>
    <xf numFmtId="0" fontId="13" fillId="9" borderId="27" xfId="0" applyFont="1" applyFill="1" applyBorder="1" applyAlignment="1">
      <alignment horizontal="left"/>
    </xf>
    <xf numFmtId="2" fontId="13" fillId="9" borderId="27" xfId="0" applyNumberFormat="1" applyFont="1" applyFill="1" applyBorder="1" applyAlignment="1">
      <alignment horizontal="right"/>
    </xf>
    <xf numFmtId="171" fontId="2" fillId="6" borderId="21" xfId="0" applyNumberFormat="1" applyFont="1" applyFill="1" applyBorder="1"/>
    <xf numFmtId="0" fontId="2" fillId="6" borderId="26" xfId="0" applyFont="1" applyFill="1" applyBorder="1" applyAlignment="1">
      <alignment horizontal="center"/>
    </xf>
    <xf numFmtId="0" fontId="2" fillId="6" borderId="26" xfId="0" applyFont="1" applyFill="1" applyBorder="1"/>
    <xf numFmtId="2" fontId="2" fillId="6" borderId="26" xfId="0" applyNumberFormat="1" applyFont="1" applyFill="1" applyBorder="1"/>
    <xf numFmtId="171" fontId="2" fillId="6" borderId="26" xfId="0" applyNumberFormat="1" applyFont="1" applyFill="1" applyBorder="1"/>
    <xf numFmtId="171" fontId="2" fillId="6" borderId="25" xfId="0" applyNumberFormat="1" applyFont="1" applyFill="1" applyBorder="1"/>
    <xf numFmtId="0" fontId="2" fillId="0" borderId="26" xfId="0" applyFont="1" applyBorder="1" applyAlignment="1">
      <alignment horizontal="center"/>
    </xf>
    <xf numFmtId="0" fontId="2" fillId="0" borderId="26" xfId="0" applyFont="1" applyBorder="1"/>
    <xf numFmtId="2" fontId="2" fillId="0" borderId="26" xfId="0" applyNumberFormat="1" applyFont="1" applyBorder="1"/>
    <xf numFmtId="171" fontId="2" fillId="0" borderId="26" xfId="0" applyNumberFormat="1" applyFont="1" applyBorder="1"/>
    <xf numFmtId="171" fontId="2" fillId="0" borderId="25" xfId="0" applyNumberFormat="1" applyFont="1" applyBorder="1"/>
    <xf numFmtId="0" fontId="2" fillId="6" borderId="26" xfId="0" applyFont="1" applyFill="1" applyBorder="1" applyAlignment="1">
      <alignment horizontal="right"/>
    </xf>
    <xf numFmtId="0" fontId="2" fillId="0" borderId="26" xfId="0" applyFont="1" applyBorder="1" applyAlignment="1">
      <alignment horizontal="right"/>
    </xf>
    <xf numFmtId="0" fontId="2" fillId="6" borderId="24" xfId="0" applyFont="1" applyFill="1" applyBorder="1" applyAlignment="1">
      <alignment horizontal="center"/>
    </xf>
    <xf numFmtId="0" fontId="2" fillId="6" borderId="24" xfId="0" applyFont="1" applyFill="1" applyBorder="1"/>
    <xf numFmtId="2" fontId="2" fillId="6" borderId="24" xfId="0" applyNumberFormat="1" applyFont="1" applyFill="1" applyBorder="1"/>
    <xf numFmtId="171" fontId="2" fillId="6" borderId="24" xfId="0" applyNumberFormat="1" applyFont="1" applyFill="1" applyBorder="1"/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28" xfId="0" applyFont="1" applyBorder="1" applyAlignment="1"/>
    <xf numFmtId="0" fontId="0" fillId="0" borderId="31" xfId="0" applyFont="1" applyBorder="1" applyAlignment="1"/>
    <xf numFmtId="171" fontId="0" fillId="0" borderId="24" xfId="0" applyNumberFormat="1" applyFont="1" applyBorder="1" applyAlignment="1"/>
    <xf numFmtId="171" fontId="0" fillId="0" borderId="26" xfId="0" applyNumberFormat="1" applyFont="1" applyBorder="1" applyAlignment="1"/>
    <xf numFmtId="0" fontId="11" fillId="11" borderId="26" xfId="0" applyFont="1" applyFill="1" applyBorder="1"/>
    <xf numFmtId="0" fontId="11" fillId="11" borderId="25" xfId="0" applyFont="1" applyFill="1" applyBorder="1"/>
    <xf numFmtId="0" fontId="0" fillId="8" borderId="26" xfId="0" applyFont="1" applyFill="1" applyBorder="1"/>
    <xf numFmtId="6" fontId="0" fillId="8" borderId="26" xfId="0" applyNumberFormat="1" applyFont="1" applyFill="1" applyBorder="1"/>
    <xf numFmtId="6" fontId="0" fillId="8" borderId="25" xfId="0" applyNumberFormat="1" applyFont="1" applyFill="1" applyBorder="1"/>
    <xf numFmtId="0" fontId="0" fillId="0" borderId="26" xfId="0" applyFont="1" applyBorder="1"/>
    <xf numFmtId="6" fontId="0" fillId="0" borderId="26" xfId="0" applyNumberFormat="1" applyFont="1" applyBorder="1"/>
    <xf numFmtId="6" fontId="0" fillId="0" borderId="25" xfId="0" applyNumberFormat="1" applyFont="1" applyBorder="1"/>
    <xf numFmtId="0" fontId="0" fillId="8" borderId="24" xfId="0" applyFont="1" applyFill="1" applyBorder="1"/>
    <xf numFmtId="6" fontId="0" fillId="8" borderId="24" xfId="0" applyNumberFormat="1" applyFont="1" applyFill="1" applyBorder="1"/>
    <xf numFmtId="6" fontId="0" fillId="8" borderId="21" xfId="0" applyNumberFormat="1" applyFont="1" applyFill="1" applyBorder="1"/>
    <xf numFmtId="6" fontId="5" fillId="0" borderId="0" xfId="0" applyNumberFormat="1" applyFont="1"/>
    <xf numFmtId="171" fontId="5" fillId="0" borderId="0" xfId="0" applyNumberFormat="1" applyFont="1"/>
    <xf numFmtId="172" fontId="5" fillId="0" borderId="0" xfId="0" applyNumberFormat="1" applyFont="1"/>
    <xf numFmtId="0" fontId="15" fillId="5" borderId="26" xfId="0" applyFont="1" applyFill="1" applyBorder="1" applyAlignment="1"/>
    <xf numFmtId="0" fontId="15" fillId="5" borderId="25" xfId="0" applyFont="1" applyFill="1" applyBorder="1" applyAlignment="1"/>
    <xf numFmtId="0" fontId="16" fillId="6" borderId="26" xfId="0" applyFont="1" applyFill="1" applyBorder="1" applyAlignment="1"/>
    <xf numFmtId="2" fontId="16" fillId="6" borderId="25" xfId="0" applyNumberFormat="1" applyFont="1" applyFill="1" applyBorder="1" applyAlignment="1"/>
    <xf numFmtId="0" fontId="16" fillId="0" borderId="26" xfId="0" applyFont="1" applyBorder="1" applyAlignment="1"/>
    <xf numFmtId="2" fontId="16" fillId="0" borderId="25" xfId="0" applyNumberFormat="1" applyFont="1" applyBorder="1" applyAlignment="1"/>
    <xf numFmtId="0" fontId="16" fillId="6" borderId="24" xfId="0" applyFont="1" applyFill="1" applyBorder="1" applyAlignment="1"/>
    <xf numFmtId="2" fontId="16" fillId="6" borderId="21" xfId="0" applyNumberFormat="1" applyFont="1" applyFill="1" applyBorder="1" applyAlignment="1"/>
    <xf numFmtId="0" fontId="5" fillId="0" borderId="0" xfId="0" applyFont="1" applyBorder="1"/>
    <xf numFmtId="0" fontId="0" fillId="0" borderId="0" xfId="0" applyFont="1" applyBorder="1" applyAlignment="1"/>
    <xf numFmtId="0" fontId="0" fillId="0" borderId="0" xfId="0" pivotButton="1" applyFont="1" applyAlignment="1"/>
    <xf numFmtId="9" fontId="0" fillId="0" borderId="0" xfId="0" applyNumberFormat="1" applyFont="1" applyAlignment="1">
      <alignment horizontal="left"/>
    </xf>
    <xf numFmtId="10" fontId="0" fillId="0" borderId="0" xfId="0" applyNumberFormat="1" applyFont="1" applyAlignment="1"/>
    <xf numFmtId="0" fontId="5" fillId="2" borderId="9" xfId="0" applyFont="1" applyFill="1" applyBorder="1" applyAlignment="1">
      <alignment horizontal="center"/>
    </xf>
    <xf numFmtId="0" fontId="9" fillId="0" borderId="10" xfId="0" applyFont="1" applyBorder="1"/>
    <xf numFmtId="0" fontId="5" fillId="3" borderId="9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left" vertical="top"/>
    </xf>
    <xf numFmtId="0" fontId="9" fillId="0" borderId="12" xfId="0" applyFont="1" applyBorder="1"/>
    <xf numFmtId="0" fontId="9" fillId="0" borderId="13" xfId="0" applyFont="1" applyBorder="1"/>
    <xf numFmtId="0" fontId="4" fillId="0" borderId="1" xfId="0" applyFont="1" applyBorder="1" applyAlignment="1">
      <alignment horizontal="left" vertical="top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0" fillId="0" borderId="0" xfId="0" applyFont="1" applyAlignment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4" fillId="0" borderId="11" xfId="0" applyFont="1" applyBorder="1" applyAlignment="1">
      <alignment horizontal="left" vertical="top"/>
    </xf>
    <xf numFmtId="0" fontId="5" fillId="0" borderId="14" xfId="0" applyFont="1" applyBorder="1" applyAlignment="1">
      <alignment horizontal="center" vertical="center"/>
    </xf>
    <xf numFmtId="0" fontId="9" fillId="0" borderId="16" xfId="0" applyFont="1" applyBorder="1"/>
    <xf numFmtId="0" fontId="9" fillId="0" borderId="17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9" fontId="8" fillId="0" borderId="21" xfId="0" applyNumberFormat="1" applyFont="1" applyBorder="1"/>
    <xf numFmtId="9" fontId="8" fillId="0" borderId="24" xfId="0" applyNumberFormat="1" applyFont="1" applyBorder="1"/>
    <xf numFmtId="3" fontId="8" fillId="6" borderId="26" xfId="0" applyNumberFormat="1" applyFont="1" applyFill="1" applyBorder="1"/>
    <xf numFmtId="172" fontId="8" fillId="6" borderId="26" xfId="0" applyNumberFormat="1" applyFont="1" applyFill="1" applyBorder="1"/>
    <xf numFmtId="171" fontId="8" fillId="6" borderId="26" xfId="0" applyNumberFormat="1" applyFont="1" applyFill="1" applyBorder="1"/>
    <xf numFmtId="9" fontId="8" fillId="6" borderId="26" xfId="0" applyNumberFormat="1" applyFont="1" applyFill="1" applyBorder="1"/>
    <xf numFmtId="6" fontId="1" fillId="6" borderId="26" xfId="0" applyNumberFormat="1" applyFont="1" applyFill="1" applyBorder="1"/>
    <xf numFmtId="1" fontId="8" fillId="6" borderId="26" xfId="0" applyNumberFormat="1" applyFont="1" applyFill="1" applyBorder="1"/>
    <xf numFmtId="4" fontId="8" fillId="6" borderId="26" xfId="0" applyNumberFormat="1" applyFont="1" applyFill="1" applyBorder="1"/>
    <xf numFmtId="9" fontId="8" fillId="6" borderId="25" xfId="0" applyNumberFormat="1" applyFont="1" applyFill="1" applyBorder="1"/>
    <xf numFmtId="3" fontId="8" fillId="0" borderId="26" xfId="0" applyNumberFormat="1" applyFont="1" applyBorder="1"/>
    <xf numFmtId="172" fontId="8" fillId="0" borderId="26" xfId="0" applyNumberFormat="1" applyFont="1" applyBorder="1"/>
    <xf numFmtId="171" fontId="8" fillId="0" borderId="26" xfId="0" applyNumberFormat="1" applyFont="1" applyBorder="1"/>
    <xf numFmtId="9" fontId="8" fillId="0" borderId="26" xfId="0" applyNumberFormat="1" applyFont="1" applyBorder="1"/>
    <xf numFmtId="6" fontId="1" fillId="0" borderId="26" xfId="0" applyNumberFormat="1" applyFont="1" applyBorder="1"/>
    <xf numFmtId="1" fontId="8" fillId="0" borderId="26" xfId="0" applyNumberFormat="1" applyFont="1" applyBorder="1"/>
    <xf numFmtId="4" fontId="8" fillId="0" borderId="26" xfId="0" applyNumberFormat="1" applyFont="1" applyBorder="1"/>
    <xf numFmtId="9" fontId="8" fillId="0" borderId="25" xfId="0" applyNumberFormat="1" applyFont="1" applyBorder="1"/>
    <xf numFmtId="3" fontId="8" fillId="0" borderId="24" xfId="0" applyNumberFormat="1" applyFont="1" applyBorder="1"/>
    <xf numFmtId="172" fontId="8" fillId="0" borderId="24" xfId="0" applyNumberFormat="1" applyFont="1" applyBorder="1"/>
    <xf numFmtId="171" fontId="8" fillId="0" borderId="24" xfId="0" applyNumberFormat="1" applyFont="1" applyBorder="1"/>
    <xf numFmtId="6" fontId="1" fillId="0" borderId="24" xfId="0" applyNumberFormat="1" applyFont="1" applyBorder="1"/>
    <xf numFmtId="1" fontId="8" fillId="0" borderId="24" xfId="0" applyNumberFormat="1" applyFont="1" applyBorder="1"/>
    <xf numFmtId="4" fontId="8" fillId="0" borderId="24" xfId="0" applyNumberFormat="1" applyFont="1" applyBorder="1"/>
  </cellXfs>
  <cellStyles count="1">
    <cellStyle name="Normal" xfId="0" builtinId="0"/>
  </cellStyles>
  <dxfs count="60">
    <dxf>
      <fill>
        <patternFill patternType="solid">
          <fgColor rgb="FFB7E1CD"/>
          <bgColor rgb="FFB7E1CD"/>
        </patternFill>
      </fill>
    </dxf>
    <dxf>
      <numFmt numFmtId="171" formatCode="&quot;₹&quot;\ #,##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font>
        <b/>
      </font>
    </dxf>
    <dxf>
      <font>
        <b/>
      </font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font>
        <b/>
      </font>
    </dxf>
    <dxf>
      <font>
        <b/>
      </font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[Milestone-5-Analyzing Excess Payments to Last Mile Delivery Partners.xlsx]Utilization vs Profit Margin!PivotTable1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002060"/>
                </a:solidFill>
              </a:rPr>
              <a:t>Utilization</a:t>
            </a:r>
            <a:r>
              <a:rPr lang="en-US" sz="1400" baseline="0">
                <a:solidFill>
                  <a:srgbClr val="002060"/>
                </a:solidFill>
              </a:rPr>
              <a:t> vs Profit Margin</a:t>
            </a:r>
            <a:endParaRPr lang="en-US" sz="1400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4105593814588267"/>
          <c:y val="1.6120257695060845E-2"/>
        </c:manualLayout>
      </c:layout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'Utilization vs Profit Margin'!$B$1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'Utilization vs Profit Margin'!$A$2:$A$50</c:f>
              <c:strCache>
                <c:ptCount val="48"/>
                <c:pt idx="0">
                  <c:v>1%</c:v>
                </c:pt>
                <c:pt idx="1">
                  <c:v>2%</c:v>
                </c:pt>
                <c:pt idx="2">
                  <c:v>3%</c:v>
                </c:pt>
                <c:pt idx="3">
                  <c:v>4%</c:v>
                </c:pt>
                <c:pt idx="4">
                  <c:v>5%</c:v>
                </c:pt>
                <c:pt idx="5">
                  <c:v>6%</c:v>
                </c:pt>
                <c:pt idx="6">
                  <c:v>6%</c:v>
                </c:pt>
                <c:pt idx="7">
                  <c:v>6%</c:v>
                </c:pt>
                <c:pt idx="8">
                  <c:v>6%</c:v>
                </c:pt>
                <c:pt idx="9">
                  <c:v>7%</c:v>
                </c:pt>
                <c:pt idx="10">
                  <c:v>7%</c:v>
                </c:pt>
                <c:pt idx="11">
                  <c:v>7%</c:v>
                </c:pt>
                <c:pt idx="12">
                  <c:v>8%</c:v>
                </c:pt>
                <c:pt idx="13">
                  <c:v>9%</c:v>
                </c:pt>
                <c:pt idx="14">
                  <c:v>10%</c:v>
                </c:pt>
                <c:pt idx="15">
                  <c:v>12%</c:v>
                </c:pt>
                <c:pt idx="16">
                  <c:v>12%</c:v>
                </c:pt>
                <c:pt idx="17">
                  <c:v>12%</c:v>
                </c:pt>
                <c:pt idx="18">
                  <c:v>13%</c:v>
                </c:pt>
                <c:pt idx="19">
                  <c:v>14%</c:v>
                </c:pt>
                <c:pt idx="20">
                  <c:v>15%</c:v>
                </c:pt>
                <c:pt idx="21">
                  <c:v>15%</c:v>
                </c:pt>
                <c:pt idx="22">
                  <c:v>16%</c:v>
                </c:pt>
                <c:pt idx="23">
                  <c:v>18%</c:v>
                </c:pt>
                <c:pt idx="24">
                  <c:v>18%</c:v>
                </c:pt>
                <c:pt idx="25">
                  <c:v>18%</c:v>
                </c:pt>
                <c:pt idx="26">
                  <c:v>19%</c:v>
                </c:pt>
                <c:pt idx="27">
                  <c:v>19%</c:v>
                </c:pt>
                <c:pt idx="28">
                  <c:v>20%</c:v>
                </c:pt>
                <c:pt idx="29">
                  <c:v>22%</c:v>
                </c:pt>
                <c:pt idx="30">
                  <c:v>23%</c:v>
                </c:pt>
                <c:pt idx="31">
                  <c:v>26%</c:v>
                </c:pt>
                <c:pt idx="32">
                  <c:v>28%</c:v>
                </c:pt>
                <c:pt idx="33">
                  <c:v>29%</c:v>
                </c:pt>
                <c:pt idx="34">
                  <c:v>29%</c:v>
                </c:pt>
                <c:pt idx="35">
                  <c:v>30%</c:v>
                </c:pt>
                <c:pt idx="36">
                  <c:v>32%</c:v>
                </c:pt>
                <c:pt idx="37">
                  <c:v>33%</c:v>
                </c:pt>
                <c:pt idx="38">
                  <c:v>35%</c:v>
                </c:pt>
                <c:pt idx="39">
                  <c:v>36%</c:v>
                </c:pt>
                <c:pt idx="40">
                  <c:v>45%</c:v>
                </c:pt>
                <c:pt idx="41">
                  <c:v>58%</c:v>
                </c:pt>
                <c:pt idx="42">
                  <c:v>67%</c:v>
                </c:pt>
                <c:pt idx="43">
                  <c:v>69%</c:v>
                </c:pt>
                <c:pt idx="44">
                  <c:v>70%</c:v>
                </c:pt>
                <c:pt idx="45">
                  <c:v>73%</c:v>
                </c:pt>
                <c:pt idx="46">
                  <c:v>83%</c:v>
                </c:pt>
                <c:pt idx="47">
                  <c:v>105%</c:v>
                </c:pt>
              </c:strCache>
            </c:strRef>
          </c:cat>
          <c:val>
            <c:numRef>
              <c:f>'Utilization vs Profit Margin'!$B$2:$B$50</c:f>
              <c:numCache>
                <c:formatCode>0.00%</c:formatCode>
                <c:ptCount val="48"/>
                <c:pt idx="0">
                  <c:v>-76.186569700422268</c:v>
                </c:pt>
                <c:pt idx="1">
                  <c:v>-11.084481491860066</c:v>
                </c:pt>
                <c:pt idx="2">
                  <c:v>-2.6681823392304458</c:v>
                </c:pt>
                <c:pt idx="3">
                  <c:v>-2.8031538742530171</c:v>
                </c:pt>
                <c:pt idx="4">
                  <c:v>-2.2661537003357917</c:v>
                </c:pt>
                <c:pt idx="5">
                  <c:v>-1.7545556561257505</c:v>
                </c:pt>
                <c:pt idx="6">
                  <c:v>-1.1456909108640301</c:v>
                </c:pt>
                <c:pt idx="7">
                  <c:v>-1.6680795817533152</c:v>
                </c:pt>
                <c:pt idx="8">
                  <c:v>-1.6421322692152889</c:v>
                </c:pt>
                <c:pt idx="9">
                  <c:v>-2.8230887892163565</c:v>
                </c:pt>
                <c:pt idx="10">
                  <c:v>-1.9526665395892602</c:v>
                </c:pt>
                <c:pt idx="11">
                  <c:v>-0.57679900612434964</c:v>
                </c:pt>
                <c:pt idx="12">
                  <c:v>-0.55374108808099987</c:v>
                </c:pt>
                <c:pt idx="13">
                  <c:v>-0.11740757351211208</c:v>
                </c:pt>
                <c:pt idx="14">
                  <c:v>-0.76122914235875105</c:v>
                </c:pt>
                <c:pt idx="15">
                  <c:v>-1.1374205895522556</c:v>
                </c:pt>
                <c:pt idx="16">
                  <c:v>-1.8697552742022869</c:v>
                </c:pt>
                <c:pt idx="17">
                  <c:v>-0.48673380089246293</c:v>
                </c:pt>
                <c:pt idx="18">
                  <c:v>-0.34424129935486247</c:v>
                </c:pt>
                <c:pt idx="19">
                  <c:v>-0.66829548961852647</c:v>
                </c:pt>
                <c:pt idx="20">
                  <c:v>-2.6760324099908082</c:v>
                </c:pt>
                <c:pt idx="21">
                  <c:v>-1.0900973110301606</c:v>
                </c:pt>
                <c:pt idx="22">
                  <c:v>0.26131074068649057</c:v>
                </c:pt>
                <c:pt idx="23">
                  <c:v>-1.4647143920320487</c:v>
                </c:pt>
                <c:pt idx="24">
                  <c:v>0.36468971253938126</c:v>
                </c:pt>
                <c:pt idx="25">
                  <c:v>0.38766884879515406</c:v>
                </c:pt>
                <c:pt idx="26">
                  <c:v>-0.38363119704072701</c:v>
                </c:pt>
                <c:pt idx="27">
                  <c:v>0.48610554910051695</c:v>
                </c:pt>
                <c:pt idx="28">
                  <c:v>-0.41830250462221918</c:v>
                </c:pt>
                <c:pt idx="29">
                  <c:v>-0.69023598969080691</c:v>
                </c:pt>
                <c:pt idx="30">
                  <c:v>-0.8507412195625591</c:v>
                </c:pt>
                <c:pt idx="31">
                  <c:v>0.32254459889850406</c:v>
                </c:pt>
                <c:pt idx="32">
                  <c:v>4.2940491841903704E-2</c:v>
                </c:pt>
                <c:pt idx="33">
                  <c:v>0.36466174937661777</c:v>
                </c:pt>
                <c:pt idx="34">
                  <c:v>0.18105864918147815</c:v>
                </c:pt>
                <c:pt idx="35">
                  <c:v>0.26631879100547212</c:v>
                </c:pt>
                <c:pt idx="36">
                  <c:v>-0.47685347259608868</c:v>
                </c:pt>
                <c:pt idx="37">
                  <c:v>0.32383491735385822</c:v>
                </c:pt>
                <c:pt idx="38">
                  <c:v>-0.19464518773465525</c:v>
                </c:pt>
                <c:pt idx="39">
                  <c:v>-0.19226944130691073</c:v>
                </c:pt>
                <c:pt idx="40">
                  <c:v>0.15389650076160605</c:v>
                </c:pt>
                <c:pt idx="41">
                  <c:v>0.73636259610676302</c:v>
                </c:pt>
                <c:pt idx="42">
                  <c:v>0.7767012993952056</c:v>
                </c:pt>
                <c:pt idx="43">
                  <c:v>0.62448335198766236</c:v>
                </c:pt>
                <c:pt idx="44">
                  <c:v>0.53596478103947953</c:v>
                </c:pt>
                <c:pt idx="45">
                  <c:v>0.54071096638950433</c:v>
                </c:pt>
                <c:pt idx="46">
                  <c:v>0.62513780916951556</c:v>
                </c:pt>
                <c:pt idx="47">
                  <c:v>-6.8437715607900476E-2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045056"/>
        <c:axId val="256046592"/>
      </c:lineChart>
      <c:catAx>
        <c:axId val="25604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6046592"/>
        <c:crosses val="autoZero"/>
        <c:auto val="1"/>
        <c:lblAlgn val="ctr"/>
        <c:lblOffset val="100"/>
        <c:noMultiLvlLbl val="0"/>
      </c:catAx>
      <c:valAx>
        <c:axId val="2560465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56045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57150</xdr:rowOff>
    </xdr:from>
    <xdr:to>
      <xdr:col>18</xdr:col>
      <xdr:colOff>390525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lestone-3-Analyzing%20Excess%20Payments%20to%20Last%20Mile%20Delivery%20Partn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 Profitability_Sample"/>
      <sheetName val="cost_base"/>
      <sheetName val="payouts_table_AMD"/>
      <sheetName val="Pivot Table Cost Base"/>
      <sheetName val="Payout"/>
      <sheetName val="EDA"/>
    </sheetNames>
    <sheetDataSet>
      <sheetData sheetId="0">
        <row r="2">
          <cell r="B2">
            <v>131928.81299810967</v>
          </cell>
        </row>
        <row r="3">
          <cell r="B3">
            <v>73409.33628931237</v>
          </cell>
        </row>
        <row r="4">
          <cell r="B4">
            <v>110486.0952449482</v>
          </cell>
        </row>
        <row r="5">
          <cell r="B5">
            <v>73814.976221147692</v>
          </cell>
        </row>
        <row r="6">
          <cell r="B6">
            <v>68714.971483488625</v>
          </cell>
        </row>
        <row r="7">
          <cell r="B7">
            <v>75988.762423492648</v>
          </cell>
        </row>
        <row r="8">
          <cell r="B8">
            <v>63656.645092919869</v>
          </cell>
        </row>
        <row r="9">
          <cell r="B9">
            <v>317152.13161320286</v>
          </cell>
        </row>
        <row r="10">
          <cell r="B10">
            <v>65267.81613793927</v>
          </cell>
        </row>
        <row r="11">
          <cell r="B11">
            <v>198658.37142896923</v>
          </cell>
        </row>
        <row r="12">
          <cell r="B12">
            <v>70706.369224623049</v>
          </cell>
        </row>
        <row r="13">
          <cell r="B13">
            <v>58519.476708797287</v>
          </cell>
        </row>
        <row r="14">
          <cell r="B14">
            <v>63559.996679567601</v>
          </cell>
        </row>
        <row r="15">
          <cell r="B15">
            <v>73814.976221147692</v>
          </cell>
        </row>
        <row r="16">
          <cell r="B16">
            <v>82053.448630315048</v>
          </cell>
        </row>
        <row r="17">
          <cell r="B17">
            <v>110486.0952449482</v>
          </cell>
        </row>
        <row r="18">
          <cell r="B18">
            <v>106882.56690538794</v>
          </cell>
        </row>
        <row r="19">
          <cell r="B19">
            <v>145232.87277043145</v>
          </cell>
        </row>
        <row r="20">
          <cell r="B20">
            <v>72535.252052086318</v>
          </cell>
        </row>
        <row r="21">
          <cell r="B21">
            <v>228212.64093712968</v>
          </cell>
        </row>
        <row r="22">
          <cell r="B22">
            <v>143895.37927733135</v>
          </cell>
        </row>
        <row r="23">
          <cell r="B23">
            <v>72877.954733737948</v>
          </cell>
        </row>
        <row r="24">
          <cell r="B24">
            <v>69214.494049405592</v>
          </cell>
        </row>
        <row r="25">
          <cell r="B25">
            <v>158482.11879816838</v>
          </cell>
        </row>
        <row r="26">
          <cell r="B26">
            <v>68356.054875376125</v>
          </cell>
        </row>
        <row r="27">
          <cell r="B27">
            <v>99147.792084913439</v>
          </cell>
        </row>
        <row r="28">
          <cell r="B28">
            <v>82591.180462160468</v>
          </cell>
        </row>
        <row r="29">
          <cell r="B29">
            <v>77359.168054586597</v>
          </cell>
        </row>
        <row r="30">
          <cell r="B30">
            <v>110486.0952449482</v>
          </cell>
        </row>
        <row r="31">
          <cell r="B31">
            <v>68356.054875376125</v>
          </cell>
        </row>
        <row r="32">
          <cell r="B32">
            <v>125986.91042105544</v>
          </cell>
        </row>
        <row r="33">
          <cell r="B33">
            <v>70706.369224623049</v>
          </cell>
        </row>
        <row r="34">
          <cell r="B34">
            <v>70260.734628566177</v>
          </cell>
        </row>
        <row r="35">
          <cell r="B35">
            <v>110486.0952449482</v>
          </cell>
        </row>
        <row r="36">
          <cell r="B36">
            <v>82591.180462160468</v>
          </cell>
        </row>
        <row r="37">
          <cell r="B37">
            <v>146983.61801476817</v>
          </cell>
        </row>
        <row r="38">
          <cell r="B38">
            <v>66286.415973155439</v>
          </cell>
        </row>
        <row r="39">
          <cell r="B39">
            <v>161346.15764781405</v>
          </cell>
        </row>
        <row r="40">
          <cell r="B40">
            <v>110486.0952449482</v>
          </cell>
        </row>
        <row r="41">
          <cell r="B41">
            <v>77359.168054586597</v>
          </cell>
        </row>
        <row r="42">
          <cell r="B42">
            <v>68356.054875376125</v>
          </cell>
        </row>
        <row r="43">
          <cell r="B43">
            <v>70260.734628566177</v>
          </cell>
        </row>
        <row r="44">
          <cell r="B44">
            <v>344478.12695248611</v>
          </cell>
        </row>
        <row r="45">
          <cell r="B45">
            <v>72667.720972774769</v>
          </cell>
        </row>
        <row r="46">
          <cell r="B46">
            <v>87211.221857848665</v>
          </cell>
        </row>
        <row r="47">
          <cell r="B47">
            <v>72877.954733737948</v>
          </cell>
        </row>
        <row r="48">
          <cell r="B48">
            <v>72152.681035118585</v>
          </cell>
        </row>
        <row r="49">
          <cell r="B49">
            <v>81229.022922361488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ilestone-4%20&amp;%205-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Milestone-4%20&amp;%205-A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Milestone-5-Analyzing%20Excess%20Payments%20to%20Last%20Mile%20Delivery%20Partners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itra Basu" refreshedDate="45102.718719097225" createdVersion="4" refreshedVersion="4" minRefreshableVersion="3" recordCount="63">
  <cacheSource type="worksheet">
    <worksheetSource ref="A1:R64" sheet="cost_base_improved" r:id="rId2"/>
  </cacheSource>
  <cacheFields count="18">
    <cacheField name="Index" numFmtId="0">
      <sharedItems containsSemiMixedTypes="0" containsString="0" containsNumber="1" containsInteger="1" minValue="1" maxValue="63"/>
    </cacheField>
    <cacheField name="OU" numFmtId="0">
      <sharedItems/>
    </cacheField>
    <cacheField name="OU Code" numFmtId="0">
      <sharedItems count="14">
        <s v="VAPT1"/>
        <s v="AMDT1"/>
        <s v="GNCB1"/>
        <s v="AMDBP"/>
        <s v="JGAB1"/>
        <s v="STVT1"/>
        <s v="BDQT1"/>
        <s v="AMDBL"/>
        <s v="AMDBC"/>
        <s v="RAJB1"/>
        <s v="BVCB1"/>
        <s v="AKVB1"/>
        <s v="JNDB1"/>
        <s v="MSHB1"/>
      </sharedItems>
    </cacheField>
    <cacheField name="BP name" numFmtId="0">
      <sharedItems/>
    </cacheField>
    <cacheField name="Vehicles" numFmtId="0">
      <sharedItems count="10">
        <s v="14 ft"/>
        <s v="Tata Ace"/>
        <s v="17 ft"/>
        <s v="Mahindra"/>
        <s v="AL Dost"/>
        <s v="22 ft"/>
        <s v="19 ft"/>
        <s v="Super ace"/>
        <s v="Pickup"/>
        <s v="20 ft"/>
      </sharedItems>
    </cacheField>
    <cacheField name="Vehicle name" numFmtId="0">
      <sharedItems count="10">
        <s v="Eicher 14"/>
        <s v="Tata Ace"/>
        <s v="Eicher 17"/>
        <s v="Mahindra"/>
        <s v="AL Dost"/>
        <s v="22 ft"/>
        <s v="Eicher 19"/>
        <s v="Super ace"/>
        <s v="Pickup"/>
        <s v="Eicher 20"/>
      </sharedItems>
    </cacheField>
    <cacheField name="Vehicles ownership" numFmtId="0">
      <sharedItems/>
    </cacheField>
    <cacheField name="Year of purchase" numFmtId="0">
      <sharedItems containsMixedTypes="1" containsNumber="1" containsInteger="1" minValue="2010" maxValue="2020"/>
    </cacheField>
    <cacheField name="Mileage" numFmtId="1">
      <sharedItems containsSemiMixedTypes="0" containsString="0" containsNumber="1" minValue="3.5462174548919334" maxValue="18.889971546597494"/>
    </cacheField>
    <cacheField name="Vehicle Capacity" numFmtId="170">
      <sharedItems containsSemiMixedTypes="0" containsString="0" containsNumber="1" minValue="0.44282249549748876" maxValue="8.6536756158497194" count="37">
        <n v="2.5"/>
        <n v="0.75"/>
        <n v="6.5900268382448797"/>
        <n v="1.3894248629666022"/>
        <n v="1.5806763812306639"/>
        <n v="0.75264980525332092"/>
        <n v="0.78423707313208679"/>
        <n v="2.042136553081618"/>
        <n v="5.1635046388777424"/>
        <n v="8.2407106661901022"/>
        <n v="0.79022382032227789"/>
        <n v="2.4855141620694923"/>
        <n v="8.6536756158497194"/>
        <n v="1.0426350561035722"/>
        <n v="1.1466290648202664"/>
        <n v="2.1170956821339351"/>
        <n v="6.3444422201305457"/>
        <n v="3.0291773948414247"/>
        <n v="1.3434882381767432"/>
        <n v="2.7317924077831095"/>
        <n v="0.97146367060579686"/>
        <n v="1.6651510049498304"/>
        <n v="1.4794834103460122"/>
        <n v="1.4205369964896497"/>
        <n v="1.0764283836997799"/>
        <n v="1.2307641755925045"/>
        <n v="0.9429848152367003"/>
        <n v="1.4849540362195355"/>
        <n v="1.6537934308679081"/>
        <n v="0.44282249549748876"/>
        <n v="1.020976097530419"/>
        <n v="1.7903212444492185"/>
        <n v="2.6680743558814162"/>
        <n v="1.2007936330416782"/>
        <n v="0.76558845019723076"/>
        <n v="6.5"/>
        <n v="1.8308787786446832"/>
      </sharedItems>
    </cacheField>
    <cacheField name="vehicle type" numFmtId="0">
      <sharedItems containsNonDate="0" containsString="0" containsBlank="1" count="1">
        <m/>
      </sharedItems>
    </cacheField>
    <cacheField name="km travelled" numFmtId="0">
      <sharedItems containsSemiMixedTypes="0" containsString="0" containsNumber="1" containsInteger="1" minValue="1600" maxValue="3100"/>
    </cacheField>
    <cacheField name="Fuel Cost" numFmtId="0">
      <sharedItems containsNonDate="0" containsString="0" containsBlank="1"/>
    </cacheField>
    <cacheField name="EMI" numFmtId="0">
      <sharedItems containsNonDate="0" containsString="0" containsBlank="1"/>
    </cacheField>
    <cacheField name="Maintenance" numFmtId="0">
      <sharedItems containsNonDate="0" containsString="0" containsBlank="1"/>
    </cacheField>
    <cacheField name="Vehicle cost" numFmtId="0">
      <sharedItems containsNonDate="0" containsString="0" containsBlank="1"/>
    </cacheField>
    <cacheField name="Team cost" numFmtId="0">
      <sharedItems containsNonDate="0" containsString="0" containsBlank="1"/>
    </cacheField>
    <cacheField name="Total cos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ritra Basu" refreshedDate="45102.811780787037" createdVersion="4" refreshedVersion="4" minRefreshableVersion="3" recordCount="63">
  <cacheSource type="worksheet">
    <worksheetSource ref="B1:R64" sheet="cost_base_improved" r:id="rId2"/>
  </cacheSource>
  <cacheFields count="17">
    <cacheField name="OU" numFmtId="0">
      <sharedItems/>
    </cacheField>
    <cacheField name="OU Code" numFmtId="0">
      <sharedItems count="14">
        <s v="VAPT1"/>
        <s v="AMDT1"/>
        <s v="GNCB1"/>
        <s v="AMDBP"/>
        <s v="JGAB1"/>
        <s v="STVT1"/>
        <s v="BDQT1"/>
        <s v="AMDBL"/>
        <s v="AMDBC"/>
        <s v="RAJB1"/>
        <s v="BVCB1"/>
        <s v="AKVB1"/>
        <s v="JNDB1"/>
        <s v="MSHB1"/>
      </sharedItems>
    </cacheField>
    <cacheField name="BP name" numFmtId="0">
      <sharedItems/>
    </cacheField>
    <cacheField name="Vehicles" numFmtId="0">
      <sharedItems/>
    </cacheField>
    <cacheField name="Vehicle name" numFmtId="0">
      <sharedItems count="10">
        <s v="Eicher 14"/>
        <s v="Tata Ace"/>
        <s v="Eicher 17"/>
        <s v="Mahindra"/>
        <s v="AL Dost"/>
        <s v="22 ft"/>
        <s v="Eicher 19"/>
        <s v="Super ace"/>
        <s v="Pickup"/>
        <s v="Eicher 20"/>
      </sharedItems>
    </cacheField>
    <cacheField name="Vehicles ownership" numFmtId="0">
      <sharedItems/>
    </cacheField>
    <cacheField name="Year of purchase" numFmtId="0">
      <sharedItems containsMixedTypes="1" containsNumber="1" containsInteger="1" minValue="2010" maxValue="2020"/>
    </cacheField>
    <cacheField name="Mileage" numFmtId="1">
      <sharedItems containsSemiMixedTypes="0" containsString="0" containsNumber="1" minValue="3.5462174548919334" maxValue="18.889971546597494"/>
    </cacheField>
    <cacheField name="Vehicle Capacity" numFmtId="2">
      <sharedItems containsSemiMixedTypes="0" containsString="0" containsNumber="1" minValue="0.44282249549748876" maxValue="8.6536756158497194" count="37">
        <n v="2.5"/>
        <n v="0.75"/>
        <n v="6.5900268382448797"/>
        <n v="1.3894248629666022"/>
        <n v="1.5806763812306639"/>
        <n v="0.75264980525332092"/>
        <n v="0.78423707313208679"/>
        <n v="2.042136553081618"/>
        <n v="5.1635046388777424"/>
        <n v="8.2407106661901022"/>
        <n v="0.79022382032227789"/>
        <n v="2.4855141620694923"/>
        <n v="8.6536756158497194"/>
        <n v="1.0426350561035722"/>
        <n v="1.1466290648202664"/>
        <n v="2.1170956821339351"/>
        <n v="6.3444422201305457"/>
        <n v="3.0291773948414247"/>
        <n v="1.3434882381767432"/>
        <n v="2.7317924077831095"/>
        <n v="0.97146367060579686"/>
        <n v="1.6651510049498304"/>
        <n v="1.4794834103460122"/>
        <n v="1.4205369964896497"/>
        <n v="1.0764283836997799"/>
        <n v="1.2307641755925045"/>
        <n v="0.9429848152367003"/>
        <n v="1.4849540362195355"/>
        <n v="1.6537934308679081"/>
        <n v="0.44282249549748876"/>
        <n v="1.020976097530419"/>
        <n v="1.7903212444492185"/>
        <n v="2.6680743558814162"/>
        <n v="1.2007936330416782"/>
        <n v="0.76558845019723076"/>
        <n v="6.5"/>
        <n v="1.8308787786446832"/>
      </sharedItems>
    </cacheField>
    <cacheField name="vehicle type" numFmtId="0">
      <sharedItems containsNonDate="0" containsString="0" containsBlank="1"/>
    </cacheField>
    <cacheField name="km travelled" numFmtId="0">
      <sharedItems containsSemiMixedTypes="0" containsString="0" containsNumber="1" containsInteger="1" minValue="1600" maxValue="3100"/>
    </cacheField>
    <cacheField name="Fuel Cost" numFmtId="0">
      <sharedItems containsNonDate="0" containsString="0" containsBlank="1"/>
    </cacheField>
    <cacheField name="EMI" numFmtId="0">
      <sharedItems containsNonDate="0" containsString="0" containsBlank="1"/>
    </cacheField>
    <cacheField name="Maintenance" numFmtId="0">
      <sharedItems containsNonDate="0" containsString="0" containsBlank="1"/>
    </cacheField>
    <cacheField name="Vehicle cost" numFmtId="0">
      <sharedItems containsNonDate="0" containsString="0" containsBlank="1"/>
    </cacheField>
    <cacheField name="Team cost" numFmtId="0">
      <sharedItems containsNonDate="0" containsString="0" containsBlank="1"/>
    </cacheField>
    <cacheField name="Total cos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ritra Basu" refreshedDate="45105.693127546299" createdVersion="4" refreshedVersion="4" minRefreshableVersion="3" recordCount="48">
  <cacheSource type="worksheet">
    <worksheetSource ref="A1:O49" sheet="profit_analysis" r:id="rId2"/>
  </cacheSource>
  <cacheFields count="15">
    <cacheField name="BP name" numFmtId="0">
      <sharedItems/>
    </cacheField>
    <cacheField name="Total cost" numFmtId="3">
      <sharedItems containsSemiMixedTypes="0" containsString="0" containsNumber="1" minValue="44428.571428571428" maxValue="300950.1874519171"/>
    </cacheField>
    <cacheField name="per kg rate" numFmtId="172">
      <sharedItems containsSemiMixedTypes="0" containsString="0" containsNumber="1" minValue="3" maxValue="19"/>
    </cacheField>
    <cacheField name="kg delivered" numFmtId="3">
      <sharedItems containsSemiMixedTypes="0" containsString="0" containsNumber="1" minValue="162.47999999999999" maxValue="66343"/>
    </cacheField>
    <cacheField name="payout" numFmtId="171">
      <sharedItems containsSemiMixedTypes="0" containsString="0" containsNumber="1" minValue="812.4" maxValue="265372.02880000015"/>
    </cacheField>
    <cacheField name="budget" numFmtId="171">
      <sharedItems containsSemiMixedTypes="0" containsString="0" containsNumber="1" minValue="744.30830420710652" maxValue="171703.4978070069"/>
    </cacheField>
    <cacheField name="difference" numFmtId="171">
      <sharedItems containsSemiMixedTypes="0" containsString="0" containsNumber="1" minValue="68.091695792893461" maxValue="232330.95562132465"/>
    </cacheField>
    <cacheField name="difference %" numFmtId="9">
      <sharedItems containsSemiMixedTypes="0" containsString="0" containsNumber="1" minValue="5.1105284503034799E-3" maxValue="12.09128133438286"/>
    </cacheField>
    <cacheField name="profit" numFmtId="6">
      <sharedItems containsSemiMixedTypes="0" containsString="0" containsNumber="1" minValue="-208149.6603459187" maxValue="195375.87690165977"/>
    </cacheField>
    <cacheField name="profit margin" numFmtId="9">
      <sharedItems containsSemiMixedTypes="0" containsString="0" containsNumber="1" minValue="-76.186569700422268" maxValue="0.7767012993952056" count="48">
        <n v="-0.41830250462221918"/>
        <n v="0.73636259610676302"/>
        <n v="0.36468971253938126"/>
        <n v="0.48610554910051695"/>
        <n v="-1.6421322692152889"/>
        <n v="-0.69023598969080691"/>
        <n v="0.54071096638950433"/>
        <n v="-2.8031538742530171"/>
        <n v="0.62448335198766236"/>
        <n v="-0.48673380089246293"/>
        <n v="-76.186569700422268"/>
        <n v="-0.47685347259608868"/>
        <n v="-0.66829548961852647"/>
        <n v="-0.11740757351211208"/>
        <n v="-2.2661537003357917"/>
        <n v="0.38766884879515406"/>
        <n v="-1.1456909108640301"/>
        <n v="0.53596478103947953"/>
        <n v="0.32383491735385822"/>
        <n v="4.2940491841903704E-2"/>
        <n v="0.36466174937661777"/>
        <n v="0.62513780916951556"/>
        <n v="0.15389650076160605"/>
        <n v="-0.38363119704072701"/>
        <n v="-0.8507412195625591"/>
        <n v="-2.6760324099908082"/>
        <n v="-1.6680795817533152"/>
        <n v="0.32254459889850406"/>
        <n v="0.26131074068649057"/>
        <n v="-1.4647143920320487"/>
        <n v="-2.8230887892163565"/>
        <n v="0.18105864918147815"/>
        <n v="0.7767012993952056"/>
        <n v="-2.6681823392304458"/>
        <n v="-1.7545556561257505"/>
        <n v="0.26631879100547212"/>
        <n v="-1.8697552742022869"/>
        <n v="-11.084481491860066"/>
        <n v="-0.55374108808099987"/>
        <n v="-0.34424129935486247"/>
        <n v="-0.19226944130691073"/>
        <n v="-0.19464518773465525"/>
        <n v="-1.9526665395892602"/>
        <n v="-6.8437715607900476E-2"/>
        <n v="-0.57679900612434964"/>
        <n v="-1.0900973110301606"/>
        <n v="-1.1374205895522556"/>
        <n v="-0.76122914235875105"/>
      </sharedItems>
    </cacheField>
    <cacheField name="cost per kg" numFmtId="1">
      <sharedItems containsSemiMixedTypes="0" containsString="0" containsNumber="1" minValue="1.3181888085770153" maxValue="385.93284850211137"/>
    </cacheField>
    <cacheField name="status" numFmtId="4">
      <sharedItems/>
    </cacheField>
    <cacheField name="profitability" numFmtId="9">
      <sharedItems/>
    </cacheField>
    <cacheField name="Monthly capacity" numFmtId="1">
      <sharedItems containsSemiMixedTypes="0" containsString="0" containsNumber="1" minValue="18750" maxValue="386158.79645373655"/>
    </cacheField>
    <cacheField name="Utilization" numFmtId="9">
      <sharedItems containsSemiMixedTypes="0" containsString="0" containsNumber="1" minValue="6.2334370611785653E-3" maxValue="1.0540911370751489" count="48">
        <n v="0.20120123076923077"/>
        <n v="0.58261759999999996"/>
        <n v="0.17765633262759339"/>
        <n v="0.19405378806814819"/>
        <n v="6.4613689776154934E-2"/>
        <n v="0.21624930859474484"/>
        <n v="0.72715106575096167"/>
        <n v="3.8458789846003774E-2"/>
        <n v="0.68985012344689445"/>
        <n v="0.12456441575464913"/>
        <n v="6.2334370611785653E-3"/>
        <n v="0.32088533333333336"/>
        <n v="0.14094980479365077"/>
        <n v="8.9245560019160688E-2"/>
        <n v="5.1758238317643791E-2"/>
        <n v="0.18432337679576274"/>
        <n v="5.6415991758001244E-2"/>
        <n v="0.69589078823897543"/>
        <n v="0.33411106473358937"/>
        <n v="0.27868825459293101"/>
        <n v="0.29084602181699831"/>
        <n v="0.8260234561969072"/>
        <n v="0.44595811412548153"/>
        <n v="0.1931324221908351"/>
        <n v="0.23468093238919682"/>
        <n v="0.14770660667993785"/>
        <n v="5.7318554278333898E-2"/>
        <n v="0.25597200815343735"/>
        <n v="0.15776567008290027"/>
        <n v="0.17622069170455551"/>
        <n v="6.7011387775109899E-2"/>
        <n v="0.2946935037135906"/>
        <n v="0.66767363999880003"/>
        <n v="3.1770432069402763E-2"/>
        <n v="5.5519116919592097E-2"/>
        <n v="0.29723152467656277"/>
        <n v="0.11876216654496234"/>
        <n v="1.7685573045075509E-2"/>
        <n v="7.5005460847507505E-2"/>
        <n v="0.12900062582925614"/>
        <n v="0.36429154348027576"/>
        <n v="0.34943708814808438"/>
        <n v="7.4183589572151848E-2"/>
        <n v="1.0540911370751489"/>
        <n v="7.4932923076923078E-2"/>
        <n v="0.14814900827359642"/>
        <n v="0.115581655360411"/>
        <n v="0.102772084438083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n v="1"/>
    <s v="Vapi"/>
    <x v="0"/>
    <s v="AGARWAL SUGANDHA AMIT"/>
    <x v="0"/>
    <x v="0"/>
    <s v="EMI"/>
    <n v="2018"/>
    <n v="9"/>
    <x v="0"/>
    <x v="0"/>
    <n v="1600"/>
    <m/>
    <m/>
    <m/>
    <m/>
    <m/>
    <m/>
  </r>
  <r>
    <n v="2"/>
    <s v="Vapi"/>
    <x v="0"/>
    <s v="AGARWAL SUGANDHA AMIT"/>
    <x v="1"/>
    <x v="1"/>
    <s v="EMI"/>
    <n v="2017"/>
    <n v="14"/>
    <x v="1"/>
    <x v="0"/>
    <n v="1600"/>
    <m/>
    <m/>
    <m/>
    <m/>
    <m/>
    <m/>
  </r>
  <r>
    <n v="3"/>
    <s v="Vapi"/>
    <x v="0"/>
    <s v="Amit Ramesh Agarwal"/>
    <x v="0"/>
    <x v="0"/>
    <s v="Market"/>
    <s v="NA"/>
    <n v="9"/>
    <x v="0"/>
    <x v="0"/>
    <n v="1600"/>
    <m/>
    <m/>
    <m/>
    <m/>
    <m/>
    <m/>
  </r>
  <r>
    <n v="4"/>
    <s v="Ahmedabad Branch"/>
    <x v="1"/>
    <s v="ASHISH SAXENA"/>
    <x v="2"/>
    <x v="2"/>
    <s v="EMI"/>
    <n v="2014"/>
    <n v="6.5525461364709248"/>
    <x v="2"/>
    <x v="0"/>
    <n v="2900"/>
    <m/>
    <m/>
    <m/>
    <m/>
    <m/>
    <m/>
  </r>
  <r>
    <n v="5"/>
    <s v="Gandhi Nager"/>
    <x v="2"/>
    <s v="Ashok Kumar_GNCB1"/>
    <x v="3"/>
    <x v="3"/>
    <s v="EMI"/>
    <n v="2019"/>
    <n v="16.829787347508621"/>
    <x v="3"/>
    <x v="0"/>
    <n v="2700"/>
    <m/>
    <m/>
    <m/>
    <m/>
    <m/>
    <m/>
  </r>
  <r>
    <n v="6"/>
    <s v="Rampura Branch"/>
    <x v="3"/>
    <s v="BELIM RIYAZUDDIN MEHBOOBBHAI"/>
    <x v="4"/>
    <x v="4"/>
    <s v="EMI"/>
    <n v="2016"/>
    <n v="15.340744990271009"/>
    <x v="4"/>
    <x v="0"/>
    <n v="2600"/>
    <m/>
    <m/>
    <m/>
    <m/>
    <m/>
    <m/>
  </r>
  <r>
    <n v="7"/>
    <s v="Rampura Branch"/>
    <x v="3"/>
    <s v="Bharat madhusing lodha"/>
    <x v="1"/>
    <x v="1"/>
    <s v="EMI"/>
    <n v="2012"/>
    <n v="7.7853868200690899"/>
    <x v="5"/>
    <x v="0"/>
    <n v="2600"/>
    <m/>
    <m/>
    <m/>
    <m/>
    <m/>
    <m/>
  </r>
  <r>
    <n v="8"/>
    <s v="Jamnager"/>
    <x v="4"/>
    <s v="DENISH B. BAVARIYA"/>
    <x v="1"/>
    <x v="1"/>
    <s v="EMI"/>
    <n v="2019"/>
    <n v="17.527489465012966"/>
    <x v="6"/>
    <x v="0"/>
    <n v="1900"/>
    <m/>
    <m/>
    <m/>
    <m/>
    <m/>
    <m/>
  </r>
  <r>
    <n v="9"/>
    <s v="Surat"/>
    <x v="5"/>
    <s v="Devendar Vanga"/>
    <x v="0"/>
    <x v="0"/>
    <s v="EMI"/>
    <n v="2016"/>
    <n v="13.044642984582476"/>
    <x v="7"/>
    <x v="0"/>
    <n v="2900"/>
    <m/>
    <m/>
    <m/>
    <m/>
    <m/>
    <m/>
  </r>
  <r>
    <n v="10"/>
    <s v="Surat"/>
    <x v="5"/>
    <s v="Devendar Vanga"/>
    <x v="2"/>
    <x v="2"/>
    <s v="EMI"/>
    <n v="2017"/>
    <n v="7.7766332599738792"/>
    <x v="8"/>
    <x v="0"/>
    <n v="2900"/>
    <m/>
    <m/>
    <m/>
    <m/>
    <m/>
    <m/>
  </r>
  <r>
    <n v="11"/>
    <s v="Surat"/>
    <x v="5"/>
    <s v="Devendar Vanga"/>
    <x v="5"/>
    <x v="5"/>
    <s v="Market"/>
    <s v="NA"/>
    <n v="6.653749290515103"/>
    <x v="9"/>
    <x v="0"/>
    <n v="2900"/>
    <m/>
    <m/>
    <m/>
    <m/>
    <m/>
    <m/>
  </r>
  <r>
    <n v="12"/>
    <s v="Vadodara"/>
    <x v="6"/>
    <s v="Devendra r. mistry"/>
    <x v="1"/>
    <x v="1"/>
    <s v="Owned"/>
    <n v="2016"/>
    <n v="18.889971546597494"/>
    <x v="10"/>
    <x v="0"/>
    <n v="3000"/>
    <m/>
    <m/>
    <m/>
    <m/>
    <m/>
    <m/>
  </r>
  <r>
    <n v="13"/>
    <s v="Ahmmedabad City"/>
    <x v="7"/>
    <s v="Dharmendra Sharma"/>
    <x v="0"/>
    <x v="0"/>
    <s v="EMI"/>
    <n v="2013"/>
    <n v="9.095012736983012"/>
    <x v="11"/>
    <x v="0"/>
    <n v="1800"/>
    <m/>
    <m/>
    <m/>
    <m/>
    <m/>
    <m/>
  </r>
  <r>
    <n v="14"/>
    <s v="Ahmmedabad City"/>
    <x v="7"/>
    <s v="Dharmendra Sharma"/>
    <x v="6"/>
    <x v="6"/>
    <s v="Market"/>
    <s v="NA"/>
    <n v="3.5462174548919334"/>
    <x v="12"/>
    <x v="0"/>
    <n v="1800"/>
    <m/>
    <m/>
    <m/>
    <m/>
    <m/>
    <m/>
  </r>
  <r>
    <n v="15"/>
    <s v="Sanand"/>
    <x v="8"/>
    <s v="DINESHBHAI MOHANBHAI SOLANKI"/>
    <x v="1"/>
    <x v="1"/>
    <s v="EMI"/>
    <n v="2020"/>
    <n v="17.157710528177709"/>
    <x v="13"/>
    <x v="0"/>
    <n v="3100"/>
    <m/>
    <m/>
    <m/>
    <m/>
    <m/>
    <m/>
  </r>
  <r>
    <n v="16"/>
    <s v="Vapi"/>
    <x v="0"/>
    <s v="EKTA AGARWAL"/>
    <x v="1"/>
    <x v="1"/>
    <s v="EMI"/>
    <n v="2010"/>
    <n v="14"/>
    <x v="1"/>
    <x v="0"/>
    <n v="1600"/>
    <m/>
    <m/>
    <m/>
    <m/>
    <m/>
    <m/>
  </r>
  <r>
    <n v="17"/>
    <s v="Rajkot"/>
    <x v="9"/>
    <s v="FAIZILA Theba"/>
    <x v="7"/>
    <x v="7"/>
    <s v="Owned"/>
    <n v="2019"/>
    <n v="17.582051377297987"/>
    <x v="14"/>
    <x v="0"/>
    <n v="1800"/>
    <m/>
    <m/>
    <m/>
    <m/>
    <m/>
    <m/>
  </r>
  <r>
    <n v="18"/>
    <s v="Gandhi Nager"/>
    <x v="2"/>
    <s v="GAJRAJSINGH B RATHOD"/>
    <x v="3"/>
    <x v="3"/>
    <s v="EMI"/>
    <n v="2019"/>
    <n v="16.829787347508621"/>
    <x v="3"/>
    <x v="0"/>
    <n v="2700"/>
    <m/>
    <m/>
    <m/>
    <m/>
    <m/>
    <m/>
  </r>
  <r>
    <n v="19"/>
    <s v="Bhavnager"/>
    <x v="10"/>
    <s v="GOHIL RAGHUVIRSINH R"/>
    <x v="3"/>
    <x v="3"/>
    <s v="Owned"/>
    <n v="2020"/>
    <n v="9.8332980589745791"/>
    <x v="15"/>
    <x v="0"/>
    <n v="2500"/>
    <m/>
    <m/>
    <m/>
    <m/>
    <m/>
    <m/>
  </r>
  <r>
    <n v="20"/>
    <s v="Ahmedabad Branch"/>
    <x v="1"/>
    <s v="Gulamhusen Mohamad Ghanchi"/>
    <x v="2"/>
    <x v="2"/>
    <s v="Owned"/>
    <n v="2012"/>
    <n v="6.5525461364709248"/>
    <x v="2"/>
    <x v="0"/>
    <n v="2900"/>
    <m/>
    <m/>
    <m/>
    <m/>
    <m/>
    <m/>
  </r>
  <r>
    <n v="21"/>
    <s v="Ahmedabad Branch"/>
    <x v="1"/>
    <s v="GULZAR F MEMON"/>
    <x v="6"/>
    <x v="6"/>
    <s v="Market"/>
    <s v="NA"/>
    <n v="6.9433969910850388"/>
    <x v="16"/>
    <x v="0"/>
    <n v="2900"/>
    <m/>
    <m/>
    <m/>
    <m/>
    <m/>
    <m/>
  </r>
  <r>
    <n v="22"/>
    <s v="Jamnager"/>
    <x v="4"/>
    <s v="Hardik Patel"/>
    <x v="0"/>
    <x v="0"/>
    <s v="EMI"/>
    <n v="2020"/>
    <n v="8.5572888357740542"/>
    <x v="17"/>
    <x v="0"/>
    <n v="1900"/>
    <m/>
    <m/>
    <m/>
    <m/>
    <m/>
    <m/>
  </r>
  <r>
    <n v="23"/>
    <s v="Jamnager"/>
    <x v="4"/>
    <s v="Hardik Patel"/>
    <x v="1"/>
    <x v="1"/>
    <s v="Owned"/>
    <n v="2018"/>
    <n v="17.527489465012966"/>
    <x v="6"/>
    <x v="0"/>
    <n v="1900"/>
    <m/>
    <m/>
    <m/>
    <m/>
    <m/>
    <m/>
  </r>
  <r>
    <n v="24"/>
    <s v="Rajkot"/>
    <x v="9"/>
    <s v="Harun Abdul Bhai Theba"/>
    <x v="3"/>
    <x v="3"/>
    <s v="Owned"/>
    <n v="2013"/>
    <n v="9.8850325042295175"/>
    <x v="18"/>
    <x v="0"/>
    <n v="1800"/>
    <m/>
    <m/>
    <m/>
    <m/>
    <m/>
    <m/>
  </r>
  <r>
    <n v="25"/>
    <s v="Vadodara"/>
    <x v="6"/>
    <s v="Inderkumar moolchand gupta"/>
    <x v="0"/>
    <x v="0"/>
    <s v="Market"/>
    <s v="NA"/>
    <n v="12.597885435760045"/>
    <x v="19"/>
    <x v="0"/>
    <n v="3000"/>
    <m/>
    <m/>
    <m/>
    <m/>
    <m/>
    <m/>
  </r>
  <r>
    <n v="26"/>
    <s v="Vadodara"/>
    <x v="6"/>
    <s v="Inderkumar moolchand gupta"/>
    <x v="4"/>
    <x v="4"/>
    <s v="EMI"/>
    <n v="2019"/>
    <n v="16.206961290646341"/>
    <x v="20"/>
    <x v="0"/>
    <n v="3000"/>
    <m/>
    <m/>
    <m/>
    <m/>
    <m/>
    <m/>
  </r>
  <r>
    <n v="27"/>
    <s v="Vadodara"/>
    <x v="6"/>
    <s v="Inderkumar moolchand gupta"/>
    <x v="7"/>
    <x v="7"/>
    <s v="EMI"/>
    <n v="2018"/>
    <n v="9.9226528824228826"/>
    <x v="21"/>
    <x v="0"/>
    <n v="3000"/>
    <m/>
    <m/>
    <m/>
    <m/>
    <m/>
    <m/>
  </r>
  <r>
    <n v="28"/>
    <s v="Vadodara"/>
    <x v="6"/>
    <s v="Karan Mistry_Delivery"/>
    <x v="1"/>
    <x v="1"/>
    <s v="EMI"/>
    <n v="2013"/>
    <n v="18.889971546597494"/>
    <x v="10"/>
    <x v="0"/>
    <n v="3000"/>
    <m/>
    <m/>
    <m/>
    <m/>
    <m/>
    <m/>
  </r>
  <r>
    <n v="29"/>
    <s v="Vadodara"/>
    <x v="6"/>
    <s v="Karan Mistry_Delivery"/>
    <x v="7"/>
    <x v="7"/>
    <s v="Owned"/>
    <n v="2015"/>
    <n v="9.9226528824228826"/>
    <x v="21"/>
    <x v="0"/>
    <n v="3000"/>
    <m/>
    <m/>
    <m/>
    <m/>
    <m/>
    <m/>
  </r>
  <r>
    <n v="30"/>
    <s v="Ahmedabad Branch"/>
    <x v="1"/>
    <s v="LALAJI BHAI THAKOR"/>
    <x v="4"/>
    <x v="4"/>
    <s v="EMI"/>
    <n v="2013"/>
    <n v="13.451738176402987"/>
    <x v="22"/>
    <x v="0"/>
    <n v="2900"/>
    <m/>
    <m/>
    <m/>
    <m/>
    <m/>
    <m/>
  </r>
  <r>
    <n v="31"/>
    <s v="Amreli"/>
    <x v="11"/>
    <s v="MAMATA PAL"/>
    <x v="4"/>
    <x v="4"/>
    <s v="Owned"/>
    <n v="2011"/>
    <n v="12.342261159350826"/>
    <x v="23"/>
    <x v="0"/>
    <n v="2400"/>
    <m/>
    <m/>
    <m/>
    <m/>
    <m/>
    <m/>
  </r>
  <r>
    <n v="32"/>
    <s v="Surat"/>
    <x v="5"/>
    <s v="MANISHA PRAVIN PATIL"/>
    <x v="0"/>
    <x v="0"/>
    <s v="Market"/>
    <s v="NA"/>
    <n v="13.044642984582476"/>
    <x v="7"/>
    <x v="0"/>
    <n v="2900"/>
    <m/>
    <m/>
    <m/>
    <m/>
    <m/>
    <m/>
  </r>
  <r>
    <n v="33"/>
    <s v="Surat"/>
    <x v="5"/>
    <s v="MANISHA PRAVIN PATIL"/>
    <x v="1"/>
    <x v="1"/>
    <s v="Owned"/>
    <n v="2013"/>
    <n v="17.294647938760768"/>
    <x v="24"/>
    <x v="0"/>
    <n v="2900"/>
    <m/>
    <m/>
    <m/>
    <m/>
    <m/>
    <m/>
  </r>
  <r>
    <n v="34"/>
    <s v="Vadodara"/>
    <x v="6"/>
    <s v="Meenakshi Gupta"/>
    <x v="4"/>
    <x v="4"/>
    <s v="Owned"/>
    <n v="2015"/>
    <n v="16.206961290646341"/>
    <x v="20"/>
    <x v="0"/>
    <n v="3000"/>
    <m/>
    <m/>
    <m/>
    <m/>
    <m/>
    <m/>
  </r>
  <r>
    <n v="35"/>
    <s v="Surat"/>
    <x v="5"/>
    <s v="mo. Farukh"/>
    <x v="4"/>
    <x v="4"/>
    <s v="Owned"/>
    <n v="2014"/>
    <n v="6.5028597954101208"/>
    <x v="25"/>
    <x v="0"/>
    <n v="2900"/>
    <m/>
    <m/>
    <m/>
    <m/>
    <m/>
    <m/>
  </r>
  <r>
    <n v="36"/>
    <s v="Gandhi Nager"/>
    <x v="2"/>
    <s v="MOINUDDIN R SHAIKH"/>
    <x v="1"/>
    <x v="1"/>
    <s v="EMI"/>
    <n v="2012"/>
    <n v="9.3641429387747763"/>
    <x v="26"/>
    <x v="0"/>
    <n v="2700"/>
    <m/>
    <m/>
    <m/>
    <m/>
    <m/>
    <m/>
  </r>
  <r>
    <n v="37"/>
    <s v="Rampura Branch"/>
    <x v="3"/>
    <s v="MUKESHBHAI RAJABHAI BHARWAD"/>
    <x v="3"/>
    <x v="3"/>
    <s v="EMI"/>
    <n v="2015"/>
    <n v="11.216814907083885"/>
    <x v="27"/>
    <x v="0"/>
    <n v="2600"/>
    <m/>
    <m/>
    <m/>
    <m/>
    <m/>
    <m/>
  </r>
  <r>
    <n v="38"/>
    <s v="Ahmedabad Branch"/>
    <x v="1"/>
    <s v="MULIYA TOFIKHUSEN HABIBBHAI"/>
    <x v="2"/>
    <x v="2"/>
    <s v="Market"/>
    <s v="NA"/>
    <n v="6.5525461364709248"/>
    <x v="2"/>
    <x v="0"/>
    <n v="2900"/>
    <m/>
    <m/>
    <m/>
    <m/>
    <m/>
    <m/>
  </r>
  <r>
    <n v="39"/>
    <s v="Vadodara"/>
    <x v="6"/>
    <s v="OD Maheshbhai Bhikhabhai"/>
    <x v="4"/>
    <x v="4"/>
    <s v="Owned"/>
    <n v="2014"/>
    <n v="16.206961290646341"/>
    <x v="20"/>
    <x v="0"/>
    <n v="3000"/>
    <m/>
    <m/>
    <m/>
    <m/>
    <m/>
    <m/>
  </r>
  <r>
    <n v="40"/>
    <s v="Rajkot"/>
    <x v="9"/>
    <s v="Patani Salim Gafarbhai"/>
    <x v="8"/>
    <x v="8"/>
    <s v="Owned"/>
    <n v="2014"/>
    <n v="13.840671454814565"/>
    <x v="28"/>
    <x v="0"/>
    <n v="1800"/>
    <m/>
    <m/>
    <m/>
    <m/>
    <m/>
    <m/>
  </r>
  <r>
    <n v="41"/>
    <s v="Rajkot"/>
    <x v="9"/>
    <s v="Patani Salim Gafarbhai"/>
    <x v="1"/>
    <x v="1"/>
    <s v="Owned"/>
    <n v="2020"/>
    <n v="15.252132362435546"/>
    <x v="29"/>
    <x v="0"/>
    <n v="1800"/>
    <m/>
    <m/>
    <m/>
    <m/>
    <m/>
    <m/>
  </r>
  <r>
    <n v="42"/>
    <s v="Rampura Branch"/>
    <x v="8"/>
    <s v="PATHAN PARVEZBHAI"/>
    <x v="1"/>
    <x v="1"/>
    <s v="EMI"/>
    <n v="2012"/>
    <n v="17.157710528177709"/>
    <x v="13"/>
    <x v="0"/>
    <n v="3100"/>
    <m/>
    <m/>
    <m/>
    <m/>
    <m/>
    <m/>
  </r>
  <r>
    <n v="43"/>
    <s v="Surat"/>
    <x v="5"/>
    <s v="Pravin Patil"/>
    <x v="1"/>
    <x v="1"/>
    <s v="Owned"/>
    <n v="2019"/>
    <n v="17.294647938760768"/>
    <x v="24"/>
    <x v="0"/>
    <n v="2900"/>
    <m/>
    <m/>
    <m/>
    <m/>
    <m/>
    <m/>
  </r>
  <r>
    <n v="44"/>
    <s v="Ahmedabad Branch"/>
    <x v="1"/>
    <s v="Pravin Thakor"/>
    <x v="2"/>
    <x v="2"/>
    <s v="Market"/>
    <s v="NA"/>
    <n v="6.5525461364709248"/>
    <x v="2"/>
    <x v="0"/>
    <n v="2900"/>
    <m/>
    <m/>
    <m/>
    <m/>
    <m/>
    <m/>
  </r>
  <r>
    <n v="45"/>
    <s v="Gandhi Nager"/>
    <x v="2"/>
    <s v="RAJENDRASINH L CHAVDA"/>
    <x v="1"/>
    <x v="1"/>
    <s v="Owned"/>
    <n v="2020"/>
    <n v="9.3641429387747763"/>
    <x v="26"/>
    <x v="0"/>
    <n v="2700"/>
    <m/>
    <m/>
    <m/>
    <m/>
    <m/>
    <m/>
  </r>
  <r>
    <n v="46"/>
    <s v="Vadodara"/>
    <x v="6"/>
    <s v="Rajesh Kumar Misra_Delivery"/>
    <x v="7"/>
    <x v="7"/>
    <s v="Owned"/>
    <n v="2014"/>
    <n v="9.9226528824228826"/>
    <x v="21"/>
    <x v="0"/>
    <n v="3000"/>
    <m/>
    <m/>
    <m/>
    <m/>
    <m/>
    <m/>
  </r>
  <r>
    <n v="47"/>
    <s v="Vadodara"/>
    <x v="6"/>
    <s v="Rajesh Kumar Misra_Delivery"/>
    <x v="4"/>
    <x v="4"/>
    <s v="Owned"/>
    <n v="2018"/>
    <n v="16.206961290646341"/>
    <x v="20"/>
    <x v="0"/>
    <n v="3000"/>
    <m/>
    <m/>
    <m/>
    <m/>
    <m/>
    <m/>
  </r>
  <r>
    <n v="48"/>
    <s v="Junagarh"/>
    <x v="12"/>
    <s v="RAKIB GULAMKADAR BLOCH"/>
    <x v="1"/>
    <x v="1"/>
    <s v="Owned"/>
    <n v="2015"/>
    <n v="10.173410042173559"/>
    <x v="30"/>
    <x v="0"/>
    <n v="1800"/>
    <m/>
    <m/>
    <m/>
    <m/>
    <m/>
    <m/>
  </r>
  <r>
    <n v="49"/>
    <s v="Mehsana"/>
    <x v="13"/>
    <s v="SADHU RAM KARGWAL"/>
    <x v="3"/>
    <x v="3"/>
    <s v="EMI"/>
    <n v="2019"/>
    <n v="8.6217992604575731"/>
    <x v="31"/>
    <x v="0"/>
    <n v="2000"/>
    <m/>
    <m/>
    <m/>
    <m/>
    <m/>
    <m/>
  </r>
  <r>
    <n v="50"/>
    <s v="Mehsana"/>
    <x v="13"/>
    <s v="SADHU RAM KARGWAL"/>
    <x v="3"/>
    <x v="3"/>
    <s v="Owned"/>
    <n v="2018"/>
    <n v="8.6217992604575731"/>
    <x v="31"/>
    <x v="0"/>
    <n v="2000"/>
    <m/>
    <m/>
    <m/>
    <m/>
    <m/>
    <m/>
  </r>
  <r>
    <n v="51"/>
    <s v="Ahmedabad Branch"/>
    <x v="1"/>
    <s v="SANDEEP KUMAR"/>
    <x v="2"/>
    <x v="2"/>
    <s v="Market"/>
    <s v="NA"/>
    <n v="6.5525461364709248"/>
    <x v="2"/>
    <x v="0"/>
    <n v="2900"/>
    <m/>
    <m/>
    <m/>
    <m/>
    <m/>
    <m/>
  </r>
  <r>
    <n v="52"/>
    <s v="Rampura Branch"/>
    <x v="3"/>
    <s v="SHEKH JENULABEDEEN BADRUDIN"/>
    <x v="3"/>
    <x v="3"/>
    <s v="EMI"/>
    <n v="2011"/>
    <n v="11.216814907083885"/>
    <x v="27"/>
    <x v="0"/>
    <n v="2600"/>
    <m/>
    <m/>
    <m/>
    <m/>
    <m/>
    <m/>
  </r>
  <r>
    <n v="53"/>
    <s v="Vadodara"/>
    <x v="6"/>
    <s v="Shekh Seemabanu Mohammad"/>
    <x v="4"/>
    <x v="4"/>
    <s v="Owned"/>
    <n v="2015"/>
    <n v="16.206961290646341"/>
    <x v="20"/>
    <x v="0"/>
    <n v="3000"/>
    <m/>
    <m/>
    <m/>
    <m/>
    <m/>
    <m/>
  </r>
  <r>
    <n v="54"/>
    <s v="Surat"/>
    <x v="5"/>
    <s v="Siddhant Subhash Borse"/>
    <x v="1"/>
    <x v="1"/>
    <s v="Owned"/>
    <n v="2019"/>
    <n v="17.294647938760768"/>
    <x v="24"/>
    <x v="0"/>
    <n v="2900"/>
    <m/>
    <m/>
    <m/>
    <m/>
    <m/>
    <m/>
  </r>
  <r>
    <n v="55"/>
    <s v="Rampura Branch"/>
    <x v="3"/>
    <s v="SURESHBHAI RAJABHAI BHARWAD"/>
    <x v="2"/>
    <x v="2"/>
    <s v="Market"/>
    <s v="NA"/>
    <n v="4.6995094079618678"/>
    <x v="32"/>
    <x v="0"/>
    <n v="2600"/>
    <m/>
    <m/>
    <m/>
    <m/>
    <m/>
    <m/>
  </r>
  <r>
    <n v="56"/>
    <s v="Rampura Branch"/>
    <x v="3"/>
    <s v="SURESHBHAI RAJABHAI BHARWAD"/>
    <x v="3"/>
    <x v="3"/>
    <s v="EMI"/>
    <n v="2018"/>
    <n v="11.216814907083885"/>
    <x v="27"/>
    <x v="0"/>
    <n v="2600"/>
    <m/>
    <m/>
    <m/>
    <m/>
    <m/>
    <m/>
  </r>
  <r>
    <n v="57"/>
    <s v="Rampura Branch"/>
    <x v="3"/>
    <s v="SURESHBHAI RAJABHAI BHARWAD"/>
    <x v="8"/>
    <x v="8"/>
    <s v="EMI"/>
    <n v="2018"/>
    <n v="8.0856008470429561"/>
    <x v="33"/>
    <x v="0"/>
    <n v="2600"/>
    <m/>
    <m/>
    <m/>
    <m/>
    <m/>
    <m/>
  </r>
  <r>
    <n v="58"/>
    <s v="Rampura Branch"/>
    <x v="3"/>
    <s v="SURESHBHAI RAJABHAI BHARWAD"/>
    <x v="1"/>
    <x v="1"/>
    <s v="EMI"/>
    <n v="2014"/>
    <n v="7.7853868200690899"/>
    <x v="5"/>
    <x v="0"/>
    <n v="2600"/>
    <m/>
    <m/>
    <m/>
    <m/>
    <m/>
    <m/>
  </r>
  <r>
    <n v="59"/>
    <s v="Ahmmedabad City"/>
    <x v="7"/>
    <s v="SWAPNIL PANDEY_BP"/>
    <x v="3"/>
    <x v="3"/>
    <s v="EMI"/>
    <n v="2019"/>
    <n v="12.660297306770655"/>
    <x v="34"/>
    <x v="0"/>
    <n v="1800"/>
    <m/>
    <m/>
    <m/>
    <m/>
    <m/>
    <m/>
  </r>
  <r>
    <n v="60"/>
    <s v="Vapi"/>
    <x v="0"/>
    <s v="VIKAS AGARWAL"/>
    <x v="9"/>
    <x v="9"/>
    <s v="Market"/>
    <s v="NA"/>
    <n v="7"/>
    <x v="35"/>
    <x v="0"/>
    <n v="1600"/>
    <m/>
    <m/>
    <m/>
    <m/>
    <m/>
    <m/>
  </r>
  <r>
    <n v="61"/>
    <s v="Sanand"/>
    <x v="1"/>
    <s v="VIRENDRA SOLANKI"/>
    <x v="4"/>
    <x v="4"/>
    <s v="EMI"/>
    <n v="2010"/>
    <n v="13.451738176402987"/>
    <x v="22"/>
    <x v="0"/>
    <n v="2900"/>
    <m/>
    <m/>
    <m/>
    <m/>
    <m/>
    <m/>
  </r>
  <r>
    <n v="62"/>
    <s v="Sanand"/>
    <x v="8"/>
    <s v="Visharad Chauhan"/>
    <x v="4"/>
    <x v="4"/>
    <s v="EMI"/>
    <n v="2015"/>
    <n v="17.133678707427691"/>
    <x v="36"/>
    <x v="0"/>
    <n v="3100"/>
    <m/>
    <m/>
    <m/>
    <m/>
    <m/>
    <m/>
  </r>
  <r>
    <n v="63"/>
    <s v="Vadodara"/>
    <x v="6"/>
    <s v="ZAINULSHA.M.DIWAN"/>
    <x v="0"/>
    <x v="0"/>
    <s v="EMI"/>
    <n v="2015"/>
    <n v="12.597885435760045"/>
    <x v="19"/>
    <x v="0"/>
    <n v="300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3">
  <r>
    <s v="Vapi"/>
    <x v="0"/>
    <s v="AGARWAL SUGANDHA AMIT"/>
    <s v="14 ft"/>
    <x v="0"/>
    <s v="EMI"/>
    <n v="2018"/>
    <n v="9"/>
    <x v="0"/>
    <m/>
    <n v="1600"/>
    <m/>
    <m/>
    <m/>
    <m/>
    <m/>
    <m/>
  </r>
  <r>
    <s v="Vapi"/>
    <x v="0"/>
    <s v="AGARWAL SUGANDHA AMIT"/>
    <s v="Tata Ace"/>
    <x v="1"/>
    <s v="EMI"/>
    <n v="2017"/>
    <n v="14"/>
    <x v="1"/>
    <m/>
    <n v="1600"/>
    <m/>
    <m/>
    <m/>
    <m/>
    <m/>
    <m/>
  </r>
  <r>
    <s v="Vapi"/>
    <x v="0"/>
    <s v="Amit Ramesh Agarwal"/>
    <s v="14 ft"/>
    <x v="0"/>
    <s v="Market"/>
    <s v="NA"/>
    <n v="9"/>
    <x v="0"/>
    <m/>
    <n v="1600"/>
    <m/>
    <m/>
    <m/>
    <m/>
    <m/>
    <m/>
  </r>
  <r>
    <s v="Ahmedabad Branch"/>
    <x v="1"/>
    <s v="ASHISH SAXENA"/>
    <s v="17 ft"/>
    <x v="2"/>
    <s v="EMI"/>
    <n v="2014"/>
    <n v="6.5525461364709248"/>
    <x v="2"/>
    <m/>
    <n v="2900"/>
    <m/>
    <m/>
    <m/>
    <m/>
    <m/>
    <m/>
  </r>
  <r>
    <s v="Gandhi Nager"/>
    <x v="2"/>
    <s v="Ashok Kumar_GNCB1"/>
    <s v="Mahindra"/>
    <x v="3"/>
    <s v="EMI"/>
    <n v="2019"/>
    <n v="16.829787347508621"/>
    <x v="3"/>
    <m/>
    <n v="2700"/>
    <m/>
    <m/>
    <m/>
    <m/>
    <m/>
    <m/>
  </r>
  <r>
    <s v="Rampura Branch"/>
    <x v="3"/>
    <s v="BELIM RIYAZUDDIN MEHBOOBBHAI"/>
    <s v="AL Dost"/>
    <x v="4"/>
    <s v="EMI"/>
    <n v="2016"/>
    <n v="15.340744990271009"/>
    <x v="4"/>
    <m/>
    <n v="2600"/>
    <m/>
    <m/>
    <m/>
    <m/>
    <m/>
    <m/>
  </r>
  <r>
    <s v="Rampura Branch"/>
    <x v="3"/>
    <s v="Bharat madhusing lodha"/>
    <s v="Tata Ace"/>
    <x v="1"/>
    <s v="EMI"/>
    <n v="2012"/>
    <n v="7.7853868200690899"/>
    <x v="5"/>
    <m/>
    <n v="2600"/>
    <m/>
    <m/>
    <m/>
    <m/>
    <m/>
    <m/>
  </r>
  <r>
    <s v="Jamnager"/>
    <x v="4"/>
    <s v="DENISH B. BAVARIYA"/>
    <s v="Tata Ace"/>
    <x v="1"/>
    <s v="EMI"/>
    <n v="2019"/>
    <n v="17.527489465012966"/>
    <x v="6"/>
    <m/>
    <n v="1900"/>
    <m/>
    <m/>
    <m/>
    <m/>
    <m/>
    <m/>
  </r>
  <r>
    <s v="Surat"/>
    <x v="5"/>
    <s v="Devendar Vanga"/>
    <s v="14 ft"/>
    <x v="0"/>
    <s v="EMI"/>
    <n v="2016"/>
    <n v="13.044642984582476"/>
    <x v="7"/>
    <m/>
    <n v="2900"/>
    <m/>
    <m/>
    <m/>
    <m/>
    <m/>
    <m/>
  </r>
  <r>
    <s v="Surat"/>
    <x v="5"/>
    <s v="Devendar Vanga"/>
    <s v="17 ft"/>
    <x v="2"/>
    <s v="EMI"/>
    <n v="2017"/>
    <n v="7.7766332599738792"/>
    <x v="8"/>
    <m/>
    <n v="2900"/>
    <m/>
    <m/>
    <m/>
    <m/>
    <m/>
    <m/>
  </r>
  <r>
    <s v="Surat"/>
    <x v="5"/>
    <s v="Devendar Vanga"/>
    <s v="22 ft"/>
    <x v="5"/>
    <s v="Market"/>
    <s v="NA"/>
    <n v="6.653749290515103"/>
    <x v="9"/>
    <m/>
    <n v="2900"/>
    <m/>
    <m/>
    <m/>
    <m/>
    <m/>
    <m/>
  </r>
  <r>
    <s v="Vadodara"/>
    <x v="6"/>
    <s v="Devendra r. mistry"/>
    <s v="Tata Ace"/>
    <x v="1"/>
    <s v="Owned"/>
    <n v="2016"/>
    <n v="18.889971546597494"/>
    <x v="10"/>
    <m/>
    <n v="3000"/>
    <m/>
    <m/>
    <m/>
    <m/>
    <m/>
    <m/>
  </r>
  <r>
    <s v="Ahmmedabad City"/>
    <x v="7"/>
    <s v="Dharmendra Sharma"/>
    <s v="14 ft"/>
    <x v="0"/>
    <s v="EMI"/>
    <n v="2013"/>
    <n v="9.095012736983012"/>
    <x v="11"/>
    <m/>
    <n v="1800"/>
    <m/>
    <m/>
    <m/>
    <m/>
    <m/>
    <m/>
  </r>
  <r>
    <s v="Ahmmedabad City"/>
    <x v="7"/>
    <s v="Dharmendra Sharma"/>
    <s v="19 ft"/>
    <x v="6"/>
    <s v="Market"/>
    <s v="NA"/>
    <n v="3.5462174548919334"/>
    <x v="12"/>
    <m/>
    <n v="1800"/>
    <m/>
    <m/>
    <m/>
    <m/>
    <m/>
    <m/>
  </r>
  <r>
    <s v="Sanand"/>
    <x v="8"/>
    <s v="DINESHBHAI MOHANBHAI SOLANKI"/>
    <s v="Tata Ace"/>
    <x v="1"/>
    <s v="EMI"/>
    <n v="2020"/>
    <n v="17.157710528177709"/>
    <x v="13"/>
    <m/>
    <n v="3100"/>
    <m/>
    <m/>
    <m/>
    <m/>
    <m/>
    <m/>
  </r>
  <r>
    <s v="Vapi"/>
    <x v="0"/>
    <s v="EKTA AGARWAL"/>
    <s v="Tata Ace"/>
    <x v="1"/>
    <s v="EMI"/>
    <n v="2010"/>
    <n v="14"/>
    <x v="1"/>
    <m/>
    <n v="1600"/>
    <m/>
    <m/>
    <m/>
    <m/>
    <m/>
    <m/>
  </r>
  <r>
    <s v="Rajkot"/>
    <x v="9"/>
    <s v="FAIZILA Theba"/>
    <s v="Super ace"/>
    <x v="7"/>
    <s v="Owned"/>
    <n v="2019"/>
    <n v="17.582051377297987"/>
    <x v="14"/>
    <m/>
    <n v="1800"/>
    <m/>
    <m/>
    <m/>
    <m/>
    <m/>
    <m/>
  </r>
  <r>
    <s v="Gandhi Nager"/>
    <x v="2"/>
    <s v="GAJRAJSINGH B RATHOD"/>
    <s v="Mahindra"/>
    <x v="3"/>
    <s v="EMI"/>
    <n v="2019"/>
    <n v="16.829787347508621"/>
    <x v="3"/>
    <m/>
    <n v="2700"/>
    <m/>
    <m/>
    <m/>
    <m/>
    <m/>
    <m/>
  </r>
  <r>
    <s v="Bhavnager"/>
    <x v="10"/>
    <s v="GOHIL RAGHUVIRSINH R"/>
    <s v="Mahindra"/>
    <x v="3"/>
    <s v="Owned"/>
    <n v="2020"/>
    <n v="9.8332980589745791"/>
    <x v="15"/>
    <m/>
    <n v="2500"/>
    <m/>
    <m/>
    <m/>
    <m/>
    <m/>
    <m/>
  </r>
  <r>
    <s v="Ahmedabad Branch"/>
    <x v="1"/>
    <s v="Gulamhusen Mohamad Ghanchi"/>
    <s v="17 ft"/>
    <x v="2"/>
    <s v="Owned"/>
    <n v="2012"/>
    <n v="6.5525461364709248"/>
    <x v="2"/>
    <m/>
    <n v="2900"/>
    <m/>
    <m/>
    <m/>
    <m/>
    <m/>
    <m/>
  </r>
  <r>
    <s v="Ahmedabad Branch"/>
    <x v="1"/>
    <s v="GULZAR F MEMON"/>
    <s v="19 ft"/>
    <x v="6"/>
    <s v="Market"/>
    <s v="NA"/>
    <n v="6.9433969910850388"/>
    <x v="16"/>
    <m/>
    <n v="2900"/>
    <m/>
    <m/>
    <m/>
    <m/>
    <m/>
    <m/>
  </r>
  <r>
    <s v="Jamnager"/>
    <x v="4"/>
    <s v="Hardik Patel"/>
    <s v="14 ft"/>
    <x v="0"/>
    <s v="EMI"/>
    <n v="2020"/>
    <n v="8.5572888357740542"/>
    <x v="17"/>
    <m/>
    <n v="1900"/>
    <m/>
    <m/>
    <m/>
    <m/>
    <m/>
    <m/>
  </r>
  <r>
    <s v="Jamnager"/>
    <x v="4"/>
    <s v="Hardik Patel"/>
    <s v="Tata Ace"/>
    <x v="1"/>
    <s v="Owned"/>
    <n v="2018"/>
    <n v="17.527489465012966"/>
    <x v="6"/>
    <m/>
    <n v="1900"/>
    <m/>
    <m/>
    <m/>
    <m/>
    <m/>
    <m/>
  </r>
  <r>
    <s v="Rajkot"/>
    <x v="9"/>
    <s v="Harun Abdul Bhai Theba"/>
    <s v="Mahindra"/>
    <x v="3"/>
    <s v="Owned"/>
    <n v="2013"/>
    <n v="9.8850325042295175"/>
    <x v="18"/>
    <m/>
    <n v="1800"/>
    <m/>
    <m/>
    <m/>
    <m/>
    <m/>
    <m/>
  </r>
  <r>
    <s v="Vadodara"/>
    <x v="6"/>
    <s v="Inderkumar moolchand gupta"/>
    <s v="14 ft"/>
    <x v="0"/>
    <s v="Market"/>
    <s v="NA"/>
    <n v="12.597885435760045"/>
    <x v="19"/>
    <m/>
    <n v="3000"/>
    <m/>
    <m/>
    <m/>
    <m/>
    <m/>
    <m/>
  </r>
  <r>
    <s v="Vadodara"/>
    <x v="6"/>
    <s v="Inderkumar moolchand gupta"/>
    <s v="AL Dost"/>
    <x v="4"/>
    <s v="EMI"/>
    <n v="2019"/>
    <n v="16.206961290646341"/>
    <x v="20"/>
    <m/>
    <n v="3000"/>
    <m/>
    <m/>
    <m/>
    <m/>
    <m/>
    <m/>
  </r>
  <r>
    <s v="Vadodara"/>
    <x v="6"/>
    <s v="Inderkumar moolchand gupta"/>
    <s v="Super ace"/>
    <x v="7"/>
    <s v="EMI"/>
    <n v="2018"/>
    <n v="9.9226528824228826"/>
    <x v="21"/>
    <m/>
    <n v="3000"/>
    <m/>
    <m/>
    <m/>
    <m/>
    <m/>
    <m/>
  </r>
  <r>
    <s v="Vadodara"/>
    <x v="6"/>
    <s v="Karan Mistry_Delivery"/>
    <s v="Tata Ace"/>
    <x v="1"/>
    <s v="EMI"/>
    <n v="2013"/>
    <n v="18.889971546597494"/>
    <x v="10"/>
    <m/>
    <n v="3000"/>
    <m/>
    <m/>
    <m/>
    <m/>
    <m/>
    <m/>
  </r>
  <r>
    <s v="Vadodara"/>
    <x v="6"/>
    <s v="Karan Mistry_Delivery"/>
    <s v="Super ace"/>
    <x v="7"/>
    <s v="Owned"/>
    <n v="2015"/>
    <n v="9.9226528824228826"/>
    <x v="21"/>
    <m/>
    <n v="3000"/>
    <m/>
    <m/>
    <m/>
    <m/>
    <m/>
    <m/>
  </r>
  <r>
    <s v="Ahmedabad Branch"/>
    <x v="1"/>
    <s v="LALAJI BHAI THAKOR"/>
    <s v="AL Dost"/>
    <x v="4"/>
    <s v="EMI"/>
    <n v="2013"/>
    <n v="13.451738176402987"/>
    <x v="22"/>
    <m/>
    <n v="2900"/>
    <m/>
    <m/>
    <m/>
    <m/>
    <m/>
    <m/>
  </r>
  <r>
    <s v="Amreli"/>
    <x v="11"/>
    <s v="MAMATA PAL"/>
    <s v="AL Dost"/>
    <x v="4"/>
    <s v="Owned"/>
    <n v="2011"/>
    <n v="12.342261159350826"/>
    <x v="23"/>
    <m/>
    <n v="2400"/>
    <m/>
    <m/>
    <m/>
    <m/>
    <m/>
    <m/>
  </r>
  <r>
    <s v="Surat"/>
    <x v="5"/>
    <s v="MANISHA PRAVIN PATIL"/>
    <s v="14 ft"/>
    <x v="0"/>
    <s v="Market"/>
    <s v="NA"/>
    <n v="13.044642984582476"/>
    <x v="7"/>
    <m/>
    <n v="2900"/>
    <m/>
    <m/>
    <m/>
    <m/>
    <m/>
    <m/>
  </r>
  <r>
    <s v="Surat"/>
    <x v="5"/>
    <s v="MANISHA PRAVIN PATIL"/>
    <s v="Tata Ace"/>
    <x v="1"/>
    <s v="Owned"/>
    <n v="2013"/>
    <n v="17.294647938760768"/>
    <x v="24"/>
    <m/>
    <n v="2900"/>
    <m/>
    <m/>
    <m/>
    <m/>
    <m/>
    <m/>
  </r>
  <r>
    <s v="Vadodara"/>
    <x v="6"/>
    <s v="Meenakshi Gupta"/>
    <s v="AL Dost"/>
    <x v="4"/>
    <s v="Owned"/>
    <n v="2015"/>
    <n v="16.206961290646341"/>
    <x v="20"/>
    <m/>
    <n v="3000"/>
    <m/>
    <m/>
    <m/>
    <m/>
    <m/>
    <m/>
  </r>
  <r>
    <s v="Surat"/>
    <x v="5"/>
    <s v="mo. Farukh"/>
    <s v="AL Dost"/>
    <x v="4"/>
    <s v="Owned"/>
    <n v="2014"/>
    <n v="6.5028597954101208"/>
    <x v="25"/>
    <m/>
    <n v="2900"/>
    <m/>
    <m/>
    <m/>
    <m/>
    <m/>
    <m/>
  </r>
  <r>
    <s v="Gandhi Nager"/>
    <x v="2"/>
    <s v="MOINUDDIN R SHAIKH"/>
    <s v="Tata Ace"/>
    <x v="1"/>
    <s v="EMI"/>
    <n v="2012"/>
    <n v="9.3641429387747763"/>
    <x v="26"/>
    <m/>
    <n v="2700"/>
    <m/>
    <m/>
    <m/>
    <m/>
    <m/>
    <m/>
  </r>
  <r>
    <s v="Rampura Branch"/>
    <x v="3"/>
    <s v="MUKESHBHAI RAJABHAI BHARWAD"/>
    <s v="Mahindra"/>
    <x v="3"/>
    <s v="EMI"/>
    <n v="2015"/>
    <n v="11.216814907083885"/>
    <x v="27"/>
    <m/>
    <n v="2600"/>
    <m/>
    <m/>
    <m/>
    <m/>
    <m/>
    <m/>
  </r>
  <r>
    <s v="Ahmedabad Branch"/>
    <x v="1"/>
    <s v="MULIYA TOFIKHUSEN HABIBBHAI"/>
    <s v="17 ft"/>
    <x v="2"/>
    <s v="Market"/>
    <s v="NA"/>
    <n v="6.5525461364709248"/>
    <x v="2"/>
    <m/>
    <n v="2900"/>
    <m/>
    <m/>
    <m/>
    <m/>
    <m/>
    <m/>
  </r>
  <r>
    <s v="Vadodara"/>
    <x v="6"/>
    <s v="OD Maheshbhai Bhikhabhai"/>
    <s v="AL Dost"/>
    <x v="4"/>
    <s v="Owned"/>
    <n v="2014"/>
    <n v="16.206961290646341"/>
    <x v="20"/>
    <m/>
    <n v="3000"/>
    <m/>
    <m/>
    <m/>
    <m/>
    <m/>
    <m/>
  </r>
  <r>
    <s v="Rajkot"/>
    <x v="9"/>
    <s v="Patani Salim Gafarbhai"/>
    <s v="Pickup"/>
    <x v="8"/>
    <s v="Owned"/>
    <n v="2014"/>
    <n v="13.840671454814565"/>
    <x v="28"/>
    <m/>
    <n v="1800"/>
    <m/>
    <m/>
    <m/>
    <m/>
    <m/>
    <m/>
  </r>
  <r>
    <s v="Rajkot"/>
    <x v="9"/>
    <s v="Patani Salim Gafarbhai"/>
    <s v="Tata Ace"/>
    <x v="1"/>
    <s v="Owned"/>
    <n v="2020"/>
    <n v="15.252132362435546"/>
    <x v="29"/>
    <m/>
    <n v="1800"/>
    <m/>
    <m/>
    <m/>
    <m/>
    <m/>
    <m/>
  </r>
  <r>
    <s v="Rampura Branch"/>
    <x v="8"/>
    <s v="PATHAN PARVEZBHAI"/>
    <s v="Tata Ace"/>
    <x v="1"/>
    <s v="EMI"/>
    <n v="2012"/>
    <n v="17.157710528177709"/>
    <x v="13"/>
    <m/>
    <n v="3100"/>
    <m/>
    <m/>
    <m/>
    <m/>
    <m/>
    <m/>
  </r>
  <r>
    <s v="Surat"/>
    <x v="5"/>
    <s v="Pravin Patil"/>
    <s v="Tata Ace"/>
    <x v="1"/>
    <s v="Owned"/>
    <n v="2019"/>
    <n v="17.294647938760768"/>
    <x v="24"/>
    <m/>
    <n v="2900"/>
    <m/>
    <m/>
    <m/>
    <m/>
    <m/>
    <m/>
  </r>
  <r>
    <s v="Ahmedabad Branch"/>
    <x v="1"/>
    <s v="Pravin Thakor"/>
    <s v="17 ft"/>
    <x v="2"/>
    <s v="Market"/>
    <s v="NA"/>
    <n v="6.5525461364709248"/>
    <x v="2"/>
    <m/>
    <n v="2900"/>
    <m/>
    <m/>
    <m/>
    <m/>
    <m/>
    <m/>
  </r>
  <r>
    <s v="Gandhi Nager"/>
    <x v="2"/>
    <s v="RAJENDRASINH L CHAVDA"/>
    <s v="Tata Ace"/>
    <x v="1"/>
    <s v="Owned"/>
    <n v="2020"/>
    <n v="9.3641429387747763"/>
    <x v="26"/>
    <m/>
    <n v="2700"/>
    <m/>
    <m/>
    <m/>
    <m/>
    <m/>
    <m/>
  </r>
  <r>
    <s v="Vadodara"/>
    <x v="6"/>
    <s v="Rajesh Kumar Misra_Delivery"/>
    <s v="Super ace"/>
    <x v="7"/>
    <s v="Owned"/>
    <n v="2014"/>
    <n v="9.9226528824228826"/>
    <x v="21"/>
    <m/>
    <n v="3000"/>
    <m/>
    <m/>
    <m/>
    <m/>
    <m/>
    <m/>
  </r>
  <r>
    <s v="Vadodara"/>
    <x v="6"/>
    <s v="Rajesh Kumar Misra_Delivery"/>
    <s v="AL Dost"/>
    <x v="4"/>
    <s v="Owned"/>
    <n v="2018"/>
    <n v="16.206961290646341"/>
    <x v="20"/>
    <m/>
    <n v="3000"/>
    <m/>
    <m/>
    <m/>
    <m/>
    <m/>
    <m/>
  </r>
  <r>
    <s v="Junagarh"/>
    <x v="12"/>
    <s v="RAKIB GULAMKADAR BLOCH"/>
    <s v="Tata Ace"/>
    <x v="1"/>
    <s v="Owned"/>
    <n v="2015"/>
    <n v="10.173410042173559"/>
    <x v="30"/>
    <m/>
    <n v="1800"/>
    <m/>
    <m/>
    <m/>
    <m/>
    <m/>
    <m/>
  </r>
  <r>
    <s v="Mehsana"/>
    <x v="13"/>
    <s v="SADHU RAM KARGWAL"/>
    <s v="Mahindra"/>
    <x v="3"/>
    <s v="EMI"/>
    <n v="2019"/>
    <n v="8.6217992604575731"/>
    <x v="31"/>
    <m/>
    <n v="2000"/>
    <m/>
    <m/>
    <m/>
    <m/>
    <m/>
    <m/>
  </r>
  <r>
    <s v="Mehsana"/>
    <x v="13"/>
    <s v="SADHU RAM KARGWAL"/>
    <s v="Mahindra"/>
    <x v="3"/>
    <s v="Owned"/>
    <n v="2018"/>
    <n v="8.6217992604575731"/>
    <x v="31"/>
    <m/>
    <n v="2000"/>
    <m/>
    <m/>
    <m/>
    <m/>
    <m/>
    <m/>
  </r>
  <r>
    <s v="Ahmedabad Branch"/>
    <x v="1"/>
    <s v="SANDEEP KUMAR"/>
    <s v="17 ft"/>
    <x v="2"/>
    <s v="Market"/>
    <s v="NA"/>
    <n v="6.5525461364709248"/>
    <x v="2"/>
    <m/>
    <n v="2900"/>
    <m/>
    <m/>
    <m/>
    <m/>
    <m/>
    <m/>
  </r>
  <r>
    <s v="Rampura Branch"/>
    <x v="3"/>
    <s v="SHEKH JENULABEDEEN BADRUDIN"/>
    <s v="Mahindra"/>
    <x v="3"/>
    <s v="EMI"/>
    <n v="2011"/>
    <n v="11.216814907083885"/>
    <x v="27"/>
    <m/>
    <n v="2600"/>
    <m/>
    <m/>
    <m/>
    <m/>
    <m/>
    <m/>
  </r>
  <r>
    <s v="Vadodara"/>
    <x v="6"/>
    <s v="Shekh Seemabanu Mohammad"/>
    <s v="AL Dost"/>
    <x v="4"/>
    <s v="Owned"/>
    <n v="2015"/>
    <n v="16.206961290646341"/>
    <x v="20"/>
    <m/>
    <n v="3000"/>
    <m/>
    <m/>
    <m/>
    <m/>
    <m/>
    <m/>
  </r>
  <r>
    <s v="Surat"/>
    <x v="5"/>
    <s v="Siddhant Subhash Borse"/>
    <s v="Tata Ace"/>
    <x v="1"/>
    <s v="Owned"/>
    <n v="2019"/>
    <n v="17.294647938760768"/>
    <x v="24"/>
    <m/>
    <n v="2900"/>
    <m/>
    <m/>
    <m/>
    <m/>
    <m/>
    <m/>
  </r>
  <r>
    <s v="Rampura Branch"/>
    <x v="3"/>
    <s v="SURESHBHAI RAJABHAI BHARWAD"/>
    <s v="17 ft"/>
    <x v="2"/>
    <s v="Market"/>
    <s v="NA"/>
    <n v="4.6995094079618678"/>
    <x v="32"/>
    <m/>
    <n v="2600"/>
    <m/>
    <m/>
    <m/>
    <m/>
    <m/>
    <m/>
  </r>
  <r>
    <s v="Rampura Branch"/>
    <x v="3"/>
    <s v="SURESHBHAI RAJABHAI BHARWAD"/>
    <s v="Mahindra"/>
    <x v="3"/>
    <s v="EMI"/>
    <n v="2018"/>
    <n v="11.216814907083885"/>
    <x v="27"/>
    <m/>
    <n v="2600"/>
    <m/>
    <m/>
    <m/>
    <m/>
    <m/>
    <m/>
  </r>
  <r>
    <s v="Rampura Branch"/>
    <x v="3"/>
    <s v="SURESHBHAI RAJABHAI BHARWAD"/>
    <s v="Pickup"/>
    <x v="8"/>
    <s v="EMI"/>
    <n v="2018"/>
    <n v="8.0856008470429561"/>
    <x v="33"/>
    <m/>
    <n v="2600"/>
    <m/>
    <m/>
    <m/>
    <m/>
    <m/>
    <m/>
  </r>
  <r>
    <s v="Rampura Branch"/>
    <x v="3"/>
    <s v="SURESHBHAI RAJABHAI BHARWAD"/>
    <s v="Tata Ace"/>
    <x v="1"/>
    <s v="EMI"/>
    <n v="2014"/>
    <n v="7.7853868200690899"/>
    <x v="5"/>
    <m/>
    <n v="2600"/>
    <m/>
    <m/>
    <m/>
    <m/>
    <m/>
    <m/>
  </r>
  <r>
    <s v="Ahmmedabad City"/>
    <x v="7"/>
    <s v="SWAPNIL PANDEY_BP"/>
    <s v="Mahindra"/>
    <x v="3"/>
    <s v="EMI"/>
    <n v="2019"/>
    <n v="12.660297306770655"/>
    <x v="34"/>
    <m/>
    <n v="1800"/>
    <m/>
    <m/>
    <m/>
    <m/>
    <m/>
    <m/>
  </r>
  <r>
    <s v="Vapi"/>
    <x v="0"/>
    <s v="VIKAS AGARWAL"/>
    <s v="20 ft"/>
    <x v="9"/>
    <s v="Market"/>
    <s v="NA"/>
    <n v="7"/>
    <x v="35"/>
    <m/>
    <n v="1600"/>
    <m/>
    <m/>
    <m/>
    <m/>
    <m/>
    <m/>
  </r>
  <r>
    <s v="Sanand"/>
    <x v="1"/>
    <s v="VIRENDRA SOLANKI"/>
    <s v="AL Dost"/>
    <x v="4"/>
    <s v="EMI"/>
    <n v="2010"/>
    <n v="13.451738176402987"/>
    <x v="22"/>
    <m/>
    <n v="2900"/>
    <m/>
    <m/>
    <m/>
    <m/>
    <m/>
    <m/>
  </r>
  <r>
    <s v="Sanand"/>
    <x v="8"/>
    <s v="Visharad Chauhan"/>
    <s v="AL Dost"/>
    <x v="4"/>
    <s v="EMI"/>
    <n v="2015"/>
    <n v="17.133678707427691"/>
    <x v="36"/>
    <m/>
    <n v="3100"/>
    <m/>
    <m/>
    <m/>
    <m/>
    <m/>
    <m/>
  </r>
  <r>
    <s v="Vadodara"/>
    <x v="6"/>
    <s v="ZAINULSHA.M.DIWAN"/>
    <s v="14 ft"/>
    <x v="0"/>
    <s v="EMI"/>
    <n v="2015"/>
    <n v="12.597885435760045"/>
    <x v="19"/>
    <m/>
    <n v="3000"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8">
  <r>
    <s v="AGARWAL SUGANDHA AMIT"/>
    <n v="115928.81299810966"/>
    <n v="5"/>
    <n v="16347.6"/>
    <n v="81737.72"/>
    <n v="67307.695444082405"/>
    <n v="14430.024555917596"/>
    <n v="0.21438892626929576"/>
    <n v="-34191.092998109656"/>
    <x v="0"/>
    <n v="7.0914882305726623"/>
    <s v="overpaid"/>
    <s v="in loss"/>
    <n v="81250"/>
    <x v="0"/>
  </r>
  <r>
    <s v="Amit Ramesh Agarwal"/>
    <n v="48000"/>
    <n v="5"/>
    <n v="36413.599999999999"/>
    <n v="182068.2471119999"/>
    <n v="151594.20238356592"/>
    <n v="30474.044728433975"/>
    <n v="0.20102381390106261"/>
    <n v="134068.2471119999"/>
    <x v="1"/>
    <n v="1.3181888085770153"/>
    <s v="overpaid"/>
    <s v="profitable"/>
    <n v="62500"/>
    <x v="1"/>
  </r>
  <r>
    <s v="ASHISH SAXENA"/>
    <n v="92974.742564298867"/>
    <n v="5"/>
    <n v="29269"/>
    <n v="146345.40696000005"/>
    <n v="27180.821150192936"/>
    <n v="119164.58580980712"/>
    <n v="4.3841422284978044"/>
    <n v="53370.664395701184"/>
    <x v="2"/>
    <n v="3.1765602707403349"/>
    <s v="overpaid"/>
    <s v="profitable"/>
    <n v="164750.67095612199"/>
    <x v="2"/>
  </r>
  <r>
    <s v="Ashok Kumar_GNCB1"/>
    <n v="65814.976221147692"/>
    <n v="19"/>
    <n v="6740.5789473684208"/>
    <n v="128071"/>
    <n v="23560.66190357352"/>
    <n v="104510.33809642648"/>
    <n v="4.4357980486352577"/>
    <n v="62256.023778852308"/>
    <x v="3"/>
    <n v="9.7639945670901778"/>
    <s v="overpaid"/>
    <s v="profitable"/>
    <n v="34735.621574165052"/>
    <x v="3"/>
  </r>
  <r>
    <s v="BELIM RIYAZUDDIN MEHBOOBBHAI"/>
    <n v="60714.971483488618"/>
    <n v="9"/>
    <n v="2553.3333333333335"/>
    <n v="22979.535200000002"/>
    <n v="14574.070793404973"/>
    <n v="8405.4644065950288"/>
    <n v="0.57674101668276867"/>
    <n v="-37735.436283488612"/>
    <x v="4"/>
    <n v="23.778709458285359"/>
    <s v="overpaid"/>
    <s v="in loss"/>
    <n v="39516.909530766599"/>
    <x v="4"/>
  </r>
  <r>
    <s v="Bharat madhusing lodha"/>
    <n v="61897.857143266796"/>
    <n v="9"/>
    <n v="4069"/>
    <n v="36620.83728"/>
    <n v="11610.612907422201"/>
    <n v="25010.224372577799"/>
    <n v="2.1540830421268944"/>
    <n v="-25277.019863266796"/>
    <x v="5"/>
    <n v="15.212056314393413"/>
    <s v="overpaid"/>
    <s v="in loss"/>
    <n v="18816.245131333024"/>
    <x v="5"/>
  </r>
  <r>
    <s v="DENISH B. BAVARIYA"/>
    <n v="55656.645092919869"/>
    <n v="8.5"/>
    <n v="14256.470588235294"/>
    <n v="121180"/>
    <n v="73367.308383054638"/>
    <n v="47812.691616945362"/>
    <n v="0.6516893241784576"/>
    <n v="65523.354907080131"/>
    <x v="6"/>
    <n v="3.9039567856892137"/>
    <s v="overpaid"/>
    <s v="profitable"/>
    <n v="19605.92682830217"/>
    <x v="6"/>
  </r>
  <r>
    <s v="Devendar Vanga"/>
    <n v="282405.18454591872"/>
    <n v="5"/>
    <n v="14851.2"/>
    <n v="74255.524200000014"/>
    <n v="44310.062860390266"/>
    <n v="29945.461339609748"/>
    <n v="0.67581626850677867"/>
    <n v="-208149.6603459187"/>
    <x v="7"/>
    <n v="19.015647526524369"/>
    <s v="overpaid"/>
    <s v="in loss"/>
    <n v="386158.79645373655"/>
    <x v="7"/>
  </r>
  <r>
    <s v="Devendra r. mistry"/>
    <n v="51176.910857713417"/>
    <n v="10"/>
    <n v="13628.4"/>
    <n v="136284"/>
    <n v="61680.103608114805"/>
    <n v="74603.896391885195"/>
    <n v="1.2095293624323631"/>
    <n v="85107.089142286583"/>
    <x v="8"/>
    <n v="3.7551664801233762"/>
    <s v="overpaid"/>
    <s v="profitable"/>
    <n v="19755.595508056947"/>
    <x v="8"/>
  </r>
  <r>
    <s v="Dharmendra Sharma"/>
    <n v="154718.66332843876"/>
    <n v="3"/>
    <n v="34688.666666666664"/>
    <n v="104066.15040000004"/>
    <n v="91629.307316704435"/>
    <n v="12436.843083295607"/>
    <n v="0.13572996945518015"/>
    <n v="-50652.512928438722"/>
    <x v="9"/>
    <n v="4.4602078487240435"/>
    <s v="overpaid"/>
    <s v="in loss"/>
    <n v="278479.74444798031"/>
    <x v="9"/>
  </r>
  <r>
    <s v="DINESHBHAI MOHANBHAI SOLANKI"/>
    <n v="62706.369224623049"/>
    <n v="5"/>
    <n v="162.47999999999999"/>
    <n v="812.4"/>
    <n v="744.30830420710652"/>
    <n v="68.091695792893461"/>
    <n v="9.1483187018086387E-2"/>
    <n v="-61893.969224623048"/>
    <x v="10"/>
    <n v="385.93284850211137"/>
    <s v="overpaid"/>
    <s v="in loss"/>
    <n v="26065.876402589303"/>
    <x v="10"/>
  </r>
  <r>
    <s v="EKTA AGARWAL"/>
    <n v="44428.571428571428"/>
    <n v="5"/>
    <n v="6016.6"/>
    <n v="30083.262999999999"/>
    <n v="6448.8527245637169"/>
    <n v="23634.410275436283"/>
    <n v="3.6649015390617743"/>
    <n v="-14345.308428571429"/>
    <x v="11"/>
    <n v="7.3843319197838353"/>
    <s v="overpaid"/>
    <s v="in loss"/>
    <n v="18750"/>
    <x v="11"/>
  </r>
  <r>
    <s v="FAIZILA Theba"/>
    <n v="47185.001919257047"/>
    <n v="7"/>
    <n v="4040.4285714285716"/>
    <n v="28283.360000000001"/>
    <n v="6489.8369612275828"/>
    <n v="21793.523038772419"/>
    <n v="3.3581002371822408"/>
    <n v="-18901.641919257047"/>
    <x v="12"/>
    <n v="11.678217071555327"/>
    <s v="overpaid"/>
    <s v="in loss"/>
    <n v="28665.726620506659"/>
    <x v="12"/>
  </r>
  <r>
    <s v="GAJRAJSINGH B RATHOD"/>
    <n v="65814.976221147692"/>
    <n v="19"/>
    <n v="3100"/>
    <n v="58899.704799999992"/>
    <n v="17011.759078401352"/>
    <n v="41887.94572159864"/>
    <n v="2.4622936128210782"/>
    <n v="-6915.2714211476996"/>
    <x v="13"/>
    <n v="21.230637490692803"/>
    <s v="overpaid"/>
    <s v="in loss"/>
    <n v="34735.621574165052"/>
    <x v="13"/>
  </r>
  <r>
    <s v="GOHIL RAGHUVIRSINH R"/>
    <n v="62633.001229891568"/>
    <n v="7"/>
    <n v="2739.4285714285716"/>
    <n v="19176.379000000001"/>
    <n v="5958.8762529929299"/>
    <n v="13217.502747007071"/>
    <n v="2.2181200256287239"/>
    <n v="-43456.622229891567"/>
    <x v="14"/>
    <n v="22.863527774783112"/>
    <s v="overpaid"/>
    <s v="in loss"/>
    <n v="52927.392053348376"/>
    <x v="14"/>
  </r>
  <r>
    <s v="Gulamhusen Mohamad Ghanchi"/>
    <n v="92974.742564298867"/>
    <n v="5"/>
    <n v="30367.4"/>
    <n v="151837.35529599997"/>
    <n v="32793.876250880952"/>
    <n v="119043.47904511902"/>
    <n v="3.6300520906527822"/>
    <n v="58862.612731701098"/>
    <x v="15"/>
    <n v="3.0616629202466745"/>
    <s v="overpaid"/>
    <s v="profitable"/>
    <n v="164750.67095612199"/>
    <x v="15"/>
  </r>
  <r>
    <s v="GULZAR F MEMON"/>
    <n v="96000"/>
    <n v="5"/>
    <n v="8948.2000000000007"/>
    <n v="44740.833599999998"/>
    <n v="7103.2057058461787"/>
    <n v="37637.627894153818"/>
    <n v="5.2986819547090942"/>
    <n v="-51259.166400000002"/>
    <x v="16"/>
    <n v="10.728414653226347"/>
    <s v="overpaid"/>
    <s v="in loss"/>
    <n v="158611.05550326366"/>
    <x v="16"/>
  </r>
  <r>
    <s v="Hardik Patel"/>
    <n v="123141.96749020558"/>
    <n v="4"/>
    <n v="66343"/>
    <n v="265372.02880000015"/>
    <n v="171703.4978070069"/>
    <n v="93668.530992993241"/>
    <n v="0.54552488556916745"/>
    <n v="142230.06130979455"/>
    <x v="17"/>
    <n v="1.8561410772832942"/>
    <s v="overpaid"/>
    <s v="profitable"/>
    <n v="95335.36169933778"/>
    <x v="17"/>
  </r>
  <r>
    <s v="Harun Abdul Bhai Theba"/>
    <n v="53114.804651662824"/>
    <n v="7"/>
    <n v="11221.857142857143"/>
    <n v="78553.013183999996"/>
    <n v="11737.89370301184"/>
    <n v="66815.119480988156"/>
    <n v="5.692258012512414"/>
    <n v="25438.208532337172"/>
    <x v="18"/>
    <n v="4.7331563729156079"/>
    <s v="overpaid"/>
    <s v="profitable"/>
    <n v="33587.205954418576"/>
    <x v="18"/>
  </r>
  <r>
    <s v="Inderkumar moolchand gupta"/>
    <n v="178983.61801476817"/>
    <n v="5"/>
    <n v="37402.800000000003"/>
    <n v="187014.09524600004"/>
    <n v="92225.256194979564"/>
    <n v="94788.839051020477"/>
    <n v="1.0277969719121307"/>
    <n v="8030.4772312318673"/>
    <x v="19"/>
    <n v="4.7852999779366296"/>
    <s v="overpaid"/>
    <s v="profitable"/>
    <n v="134210.17708346841"/>
    <x v="19"/>
  </r>
  <r>
    <s v="Karan Mistry_Delivery"/>
    <n v="113429.47923679493"/>
    <n v="10"/>
    <n v="17853.400000000001"/>
    <n v="178534"/>
    <n v="79369.259316286232"/>
    <n v="99164.740683713768"/>
    <n v="1.2494099294607577"/>
    <n v="65104.520763205073"/>
    <x v="20"/>
    <n v="6.3533825062338218"/>
    <s v="overpaid"/>
    <s v="profitable"/>
    <n v="61384.370631802711"/>
    <x v="20"/>
  </r>
  <r>
    <s v="LALAJI BHAI THAKOR"/>
    <n v="57264.323133455633"/>
    <n v="5"/>
    <n v="30552.2"/>
    <n v="152761"/>
    <n v="86832.960867592148"/>
    <n v="65928.039132407852"/>
    <n v="0.75925130818628528"/>
    <n v="95496.676866544367"/>
    <x v="21"/>
    <n v="1.8743109541524221"/>
    <s v="overpaid"/>
    <s v="profitable"/>
    <n v="36987.085258650302"/>
    <x v="21"/>
  </r>
  <r>
    <s v="MAMATA PAL"/>
    <n v="53600.862449123269"/>
    <n v="4"/>
    <n v="15837.5"/>
    <n v="63350.243199999997"/>
    <n v="23340.920231854023"/>
    <n v="40009.322968145978"/>
    <n v="1.7141279165824879"/>
    <n v="9749.3807508767277"/>
    <x v="22"/>
    <n v="3.3844269896841843"/>
    <s v="overpaid"/>
    <s v="profitable"/>
    <n v="35513.424912241244"/>
    <x v="22"/>
  </r>
  <r>
    <s v="MANISHA PRAVIN PATIL"/>
    <n v="104169.82934834032"/>
    <n v="5"/>
    <n v="15057.4"/>
    <n v="75287.279999999955"/>
    <n v="32247.584676247403"/>
    <n v="43039.695323752552"/>
    <n v="1.334664154101882"/>
    <n v="-28882.54934834037"/>
    <x v="23"/>
    <n v="6.9181817145284263"/>
    <s v="overpaid"/>
    <s v="in loss"/>
    <n v="77964.123419534953"/>
    <x v="23"/>
  </r>
  <r>
    <s v="Meenakshi Gupta"/>
    <n v="52742.42327509381"/>
    <n v="5"/>
    <n v="5699.6"/>
    <n v="28498"/>
    <n v="26302.187589666148"/>
    <n v="2195.8124103338523"/>
    <n v="8.348402211215937E-2"/>
    <n v="-24244.42327509381"/>
    <x v="24"/>
    <n v="9.2537060978127954"/>
    <s v="overpaid"/>
    <s v="in loss"/>
    <n v="24286.591765144924"/>
    <x v="24"/>
  </r>
  <r>
    <s v="mo. Farukh"/>
    <n v="83534.160484631124"/>
    <n v="5"/>
    <n v="4544.8"/>
    <n v="22724"/>
    <n v="4466.0790200396841"/>
    <n v="18257.920979960316"/>
    <n v="4.088132094849966"/>
    <n v="-60810.160484631124"/>
    <x v="25"/>
    <n v="18.380162049954041"/>
    <s v="overpaid"/>
    <s v="in loss"/>
    <n v="30769.104389812612"/>
    <x v="25"/>
  </r>
  <r>
    <s v="MOINUDDIN R SHAIKH"/>
    <n v="68500.275181934616"/>
    <n v="19"/>
    <n v="1351.2631578947369"/>
    <n v="25674"/>
    <n v="4075.4628127403316"/>
    <n v="21598.53718725967"/>
    <n v="5.2996526234371073"/>
    <n v="-42826.275181934616"/>
    <x v="26"/>
    <n v="50.693512053312986"/>
    <s v="overpaid"/>
    <s v="in loss"/>
    <n v="23574.620380917509"/>
    <x v="26"/>
  </r>
  <r>
    <s v="MUKESHBHAI RAJABHAI BHARWAD"/>
    <n v="57938.720654163102"/>
    <n v="9"/>
    <n v="9502.6666666666661"/>
    <n v="85524.036800000002"/>
    <n v="57868.480364122479"/>
    <n v="27655.556435877523"/>
    <n v="0.47790362321357105"/>
    <n v="27585.3161458369"/>
    <x v="27"/>
    <n v="6.0971012334253301"/>
    <s v="overpaid"/>
    <s v="profitable"/>
    <n v="37123.850905488391"/>
    <x v="27"/>
  </r>
  <r>
    <s v="MULIYA TOFIKHUSEN HABIBBHAI"/>
    <n v="96000"/>
    <n v="5"/>
    <n v="25992"/>
    <n v="129959.92400000003"/>
    <n v="75155.343453675232"/>
    <n v="54804.580546324796"/>
    <n v="0.72921735205834859"/>
    <n v="33959.924000000028"/>
    <x v="28"/>
    <n v="3.6934441366574329"/>
    <s v="overpaid"/>
    <s v="profitable"/>
    <n v="164750.67095612199"/>
    <x v="28"/>
  </r>
  <r>
    <s v="OD Maheshbhai Bhikhabhai"/>
    <n v="52742.42327509381"/>
    <n v="5"/>
    <n v="4279.8"/>
    <n v="21399"/>
    <n v="17570.84919894964"/>
    <n v="3828.1508010503603"/>
    <n v="0.21786942439180468"/>
    <n v="-31343.42327509381"/>
    <x v="29"/>
    <n v="12.323571960160242"/>
    <s v="overpaid"/>
    <s v="in loss"/>
    <n v="24286.591765144924"/>
    <x v="29"/>
  </r>
  <r>
    <s v="Patani Salim Gafarbhai"/>
    <n v="93998.284060462553"/>
    <n v="7"/>
    <n v="3512.4285714285716"/>
    <n v="24587"/>
    <n v="6656.7476169818319"/>
    <n v="17930.252383018167"/>
    <n v="2.6935454691532588"/>
    <n v="-69411.284060462553"/>
    <x v="30"/>
    <n v="26.761621524514492"/>
    <s v="overpaid"/>
    <s v="in loss"/>
    <n v="52415.398159134915"/>
    <x v="30"/>
  </r>
  <r>
    <s v="PATHAN PARVEZBHAI"/>
    <n v="56615.46394439719"/>
    <n v="9"/>
    <n v="7681.4444444444443"/>
    <n v="69132.501231999981"/>
    <n v="52203.104997488474"/>
    <n v="16929.396234511507"/>
    <n v="0.32429864536460029"/>
    <n v="12517.03728760279"/>
    <x v="31"/>
    <n v="7.3704189822454502"/>
    <s v="overpaid"/>
    <s v="profitable"/>
    <n v="26065.876402589303"/>
    <x v="31"/>
  </r>
  <r>
    <s v="Pravin Patil"/>
    <n v="56169.829348340325"/>
    <n v="14"/>
    <n v="17967.571428571428"/>
    <n v="251545.7062500001"/>
    <n v="19214.75062867544"/>
    <n v="232330.95562132465"/>
    <n v="12.09128133438286"/>
    <n v="195375.87690165977"/>
    <x v="32"/>
    <n v="3.1261781577793508"/>
    <s v="overpaid"/>
    <s v="profitable"/>
    <n v="26910.709592494499"/>
    <x v="32"/>
  </r>
  <r>
    <s v="Pravin Thakor"/>
    <n v="96000"/>
    <n v="5"/>
    <n v="5234.2"/>
    <n v="26171"/>
    <n v="13791.290165725788"/>
    <n v="12379.709834274212"/>
    <n v="0.89764697033496943"/>
    <n v="-69829"/>
    <x v="33"/>
    <n v="18.340911696152229"/>
    <s v="overpaid"/>
    <s v="in loss"/>
    <n v="164750.67095612199"/>
    <x v="33"/>
  </r>
  <r>
    <s v="RAJENDRASINH L CHAVDA"/>
    <n v="68500.275181934616"/>
    <n v="19"/>
    <n v="1308.8421052631579"/>
    <n v="24867.994599999998"/>
    <n v="12643.490413589292"/>
    <n v="12224.504186410706"/>
    <n v="0.96686150631883605"/>
    <n v="-43632.280581934618"/>
    <x v="34"/>
    <n v="52.336546101687219"/>
    <s v="overpaid"/>
    <s v="in loss"/>
    <n v="23574.620380917509"/>
    <x v="34"/>
  </r>
  <r>
    <s v="Rajesh Kumar Misra_Delivery"/>
    <n v="114994.99165417532"/>
    <n v="8"/>
    <n v="19592.125"/>
    <n v="156737"/>
    <n v="123213.64071313376"/>
    <n v="33523.359286866238"/>
    <n v="0.27207506484542071"/>
    <n v="41742.008345824681"/>
    <x v="35"/>
    <n v="5.8694496719562235"/>
    <s v="overpaid"/>
    <s v="profitable"/>
    <n v="65915.366888890683"/>
    <x v="35"/>
  </r>
  <r>
    <s v="RAKIB GULAMKADAR BLOCH"/>
    <n v="52195.51069292958"/>
    <n v="6"/>
    <n v="3031.3333333333335"/>
    <n v="18188.14"/>
    <n v="5989.241978045161"/>
    <n v="12198.898021954839"/>
    <n v="2.0368016631607961"/>
    <n v="-34007.37069292958"/>
    <x v="36"/>
    <n v="17.218664182844595"/>
    <s v="overpaid"/>
    <s v="in loss"/>
    <n v="25524.402438260477"/>
    <x v="36"/>
  </r>
  <r>
    <s v="SADHU RAM KARGWAL"/>
    <n v="133925.71024739055"/>
    <n v="7"/>
    <n v="1583.1428571428571"/>
    <n v="11082.454"/>
    <n v="1041.6164535348087"/>
    <n v="10040.837546465191"/>
    <n v="9.6396687210448775"/>
    <n v="-122843.25624739056"/>
    <x v="37"/>
    <n v="84.594835925982125"/>
    <s v="overpaid"/>
    <s v="in loss"/>
    <n v="89516.062222460925"/>
    <x v="37"/>
  </r>
  <r>
    <s v="SANDEEP KUMAR"/>
    <n v="96000"/>
    <n v="5"/>
    <n v="12357.2"/>
    <n v="61786.355999999992"/>
    <n v="39833.290219168477"/>
    <n v="21953.065780831515"/>
    <n v="0.55112358683007601"/>
    <n v="-34213.644000000008"/>
    <x v="38"/>
    <n v="7.7687502023112032"/>
    <s v="overpaid"/>
    <s v="in loss"/>
    <n v="164750.67095612199"/>
    <x v="38"/>
  </r>
  <r>
    <s v="SHEKH JENULABEDEEN BADRUDIN"/>
    <n v="57938.720654163102"/>
    <n v="9"/>
    <n v="4789"/>
    <n v="43101.428800000009"/>
    <n v="14793.643655087924"/>
    <n v="28307.785144912086"/>
    <n v="1.9135100050335667"/>
    <n v="-14837.291854163093"/>
    <x v="39"/>
    <n v="12.098292055578012"/>
    <s v="overpaid"/>
    <s v="in loss"/>
    <n v="37123.850905488391"/>
    <x v="39"/>
  </r>
  <r>
    <s v="Shekh Seemabanu Mohammad"/>
    <n v="52742.42327509381"/>
    <n v="5"/>
    <n v="8847.4"/>
    <n v="44237"/>
    <n v="31992.051864244233"/>
    <n v="12244.948135755767"/>
    <n v="0.38274969632195666"/>
    <n v="-8505.4232750938099"/>
    <x v="40"/>
    <n v="5.9613472065345539"/>
    <s v="overpaid"/>
    <s v="in loss"/>
    <n v="24286.591765144924"/>
    <x v="40"/>
  </r>
  <r>
    <s v="Siddhant Subhash Borse"/>
    <n v="56169.829348340325"/>
    <n v="5"/>
    <n v="9403.6"/>
    <n v="47018.001600000003"/>
    <n v="36462.95362853499"/>
    <n v="10555.047971465014"/>
    <n v="0.28947320282921069"/>
    <n v="-9151.8277483403217"/>
    <x v="41"/>
    <n v="5.9732261419392918"/>
    <s v="overpaid"/>
    <s v="in loss"/>
    <n v="26910.709592494499"/>
    <x v="41"/>
  </r>
  <r>
    <s v="SURESHBHAI RAJABHAI BHARWAD"/>
    <n v="300950.1874519171"/>
    <n v="9"/>
    <n v="11325"/>
    <n v="101924.88160000001"/>
    <n v="68251.613256207391"/>
    <n v="33673.268343792617"/>
    <n v="0.49336955915441427"/>
    <n v="-199025.30585191707"/>
    <x v="42"/>
    <n v="26.573967986924249"/>
    <s v="overpaid"/>
    <s v="in loss"/>
    <n v="152661.79575989876"/>
    <x v="42"/>
  </r>
  <r>
    <s v="SWAPNIL PANDEY_BP"/>
    <n v="64667.720972774769"/>
    <n v="3"/>
    <n v="20175"/>
    <n v="60525.494399999996"/>
    <n v="5138.849705816694"/>
    <n v="55386.644694183298"/>
    <n v="10.778023850647127"/>
    <n v="-4142.2265727747726"/>
    <x v="43"/>
    <n v="3.2053393295055645"/>
    <s v="overpaid"/>
    <s v="in loss"/>
    <n v="19139.711254930768"/>
    <x v="43"/>
  </r>
  <r>
    <s v="VIKAS AGARWAL"/>
    <n v="96000"/>
    <n v="5"/>
    <n v="12176.6"/>
    <n v="60882.838983999995"/>
    <n v="60573.277525875877"/>
    <n v="309.56145812411705"/>
    <n v="5.1105284503034799E-3"/>
    <n v="-35117.161016000005"/>
    <x v="44"/>
    <n v="7.88397417998456"/>
    <s v="overpaid"/>
    <s v="in loss"/>
    <n v="162500"/>
    <x v="44"/>
  </r>
  <r>
    <s v="VIRENDRA SOLANKI"/>
    <n v="57264.323133455633"/>
    <n v="5"/>
    <n v="5479.6"/>
    <n v="27397.922015999997"/>
    <n v="9412.3100994900014"/>
    <n v="17985.611916509995"/>
    <n v="1.9108605354475658"/>
    <n v="-29866.401117455636"/>
    <x v="45"/>
    <n v="10.450456809521794"/>
    <s v="overpaid"/>
    <s v="in loss"/>
    <n v="36987.085258650302"/>
    <x v="45"/>
  </r>
  <r>
    <s v="Visharad Chauhan"/>
    <n v="56539.049434836263"/>
    <n v="5"/>
    <n v="5290.4"/>
    <n v="26452"/>
    <n v="10107.177123675472"/>
    <n v="16344.822876324528"/>
    <n v="1.6171501376024899"/>
    <n v="-30087.049434836263"/>
    <x v="46"/>
    <n v="10.687102947761279"/>
    <s v="overpaid"/>
    <s v="in loss"/>
    <n v="45771.96946611708"/>
    <x v="46"/>
  </r>
  <r>
    <s v="ZAINULSHA.M.DIWAN"/>
    <n v="61808.575521938008"/>
    <n v="5"/>
    <n v="7018.8"/>
    <n v="35094"/>
    <n v="5041.5172774335551"/>
    <n v="30052.482722566445"/>
    <n v="5.9609996492692812"/>
    <n v="-26714.575521938008"/>
    <x v="47"/>
    <n v="8.8061457117937554"/>
    <s v="overpaid"/>
    <s v="in loss"/>
    <n v="68294.810194577731"/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50" firstHeaderRow="1" firstDataRow="1" firstDataCol="1"/>
  <pivotFields count="15">
    <pivotField showAll="0"/>
    <pivotField numFmtId="3" showAll="0"/>
    <pivotField numFmtId="172" showAll="0"/>
    <pivotField numFmtId="3" showAll="0"/>
    <pivotField numFmtId="171" showAll="0"/>
    <pivotField numFmtId="171" showAll="0"/>
    <pivotField numFmtId="171" showAll="0"/>
    <pivotField numFmtId="9" showAll="0"/>
    <pivotField numFmtId="6" showAll="0"/>
    <pivotField dataField="1" numFmtId="9" showAll="0">
      <items count="49">
        <item x="10"/>
        <item x="37"/>
        <item x="30"/>
        <item x="7"/>
        <item x="25"/>
        <item x="33"/>
        <item x="14"/>
        <item x="42"/>
        <item x="36"/>
        <item x="34"/>
        <item x="26"/>
        <item x="4"/>
        <item x="29"/>
        <item x="16"/>
        <item x="46"/>
        <item x="45"/>
        <item x="24"/>
        <item x="47"/>
        <item x="5"/>
        <item x="12"/>
        <item x="44"/>
        <item x="38"/>
        <item x="9"/>
        <item x="11"/>
        <item x="0"/>
        <item x="23"/>
        <item x="39"/>
        <item x="41"/>
        <item x="40"/>
        <item x="13"/>
        <item x="43"/>
        <item x="19"/>
        <item x="22"/>
        <item x="31"/>
        <item x="28"/>
        <item x="35"/>
        <item x="27"/>
        <item x="18"/>
        <item x="20"/>
        <item x="2"/>
        <item x="15"/>
        <item x="3"/>
        <item x="17"/>
        <item x="6"/>
        <item x="8"/>
        <item x="21"/>
        <item x="1"/>
        <item x="32"/>
        <item t="default"/>
      </items>
    </pivotField>
    <pivotField numFmtId="1" showAll="0"/>
    <pivotField showAll="0"/>
    <pivotField showAll="0"/>
    <pivotField numFmtId="1" showAll="0"/>
    <pivotField axis="axisRow" numFmtId="9" showAll="0">
      <items count="49">
        <item x="10"/>
        <item x="37"/>
        <item x="33"/>
        <item x="7"/>
        <item x="14"/>
        <item x="34"/>
        <item x="16"/>
        <item x="26"/>
        <item x="4"/>
        <item x="30"/>
        <item x="42"/>
        <item x="44"/>
        <item x="38"/>
        <item x="13"/>
        <item x="47"/>
        <item x="46"/>
        <item x="36"/>
        <item x="9"/>
        <item x="39"/>
        <item x="12"/>
        <item x="25"/>
        <item x="45"/>
        <item x="28"/>
        <item x="29"/>
        <item x="2"/>
        <item x="15"/>
        <item x="23"/>
        <item x="3"/>
        <item x="0"/>
        <item x="5"/>
        <item x="24"/>
        <item x="27"/>
        <item x="19"/>
        <item x="20"/>
        <item x="31"/>
        <item x="35"/>
        <item x="11"/>
        <item x="18"/>
        <item x="41"/>
        <item x="40"/>
        <item x="22"/>
        <item x="1"/>
        <item x="32"/>
        <item x="8"/>
        <item x="17"/>
        <item x="6"/>
        <item x="21"/>
        <item x="43"/>
        <item t="default"/>
      </items>
    </pivotField>
  </pivotFields>
  <rowFields count="1">
    <field x="14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Sum of profit margin" fld="9" baseField="0" baseItem="0" numFmtId="10"/>
  </dataFields>
  <formats count="1">
    <format dxfId="59">
      <pivotArea outline="0" collapsedLevelsAreSubtotals="1" fieldPosition="0"/>
    </format>
  </formats>
  <chartFormats count="4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7"/>
          </reference>
        </references>
      </pivotArea>
    </chartFormat>
    <chartFormat chart="0" format="48">
      <pivotArea type="data" outline="0" fieldPosition="0">
        <references count="2">
          <reference field="4294967294" count="1" selected="0">
            <x v="0"/>
          </reference>
          <reference field="14" count="1" selected="0">
            <x v="4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3:N6" firstHeaderRow="1" firstDataRow="1" firstDataCol="1" rowPageCount="1" colPageCount="1"/>
  <pivotFields count="17">
    <pivotField showAll="0"/>
    <pivotField axis="axisRow" showAll="0">
      <items count="15">
        <item x="11"/>
        <item x="8"/>
        <item x="7"/>
        <item x="3"/>
        <item x="1"/>
        <item x="6"/>
        <item x="10"/>
        <item x="2"/>
        <item x="4"/>
        <item x="12"/>
        <item x="13"/>
        <item x="9"/>
        <item x="5"/>
        <item x="0"/>
        <item t="default"/>
      </items>
    </pivotField>
    <pivotField showAll="0"/>
    <pivotField showAll="0"/>
    <pivotField axis="axisPage" showAll="0">
      <items count="11">
        <item x="5"/>
        <item x="4"/>
        <item x="0"/>
        <item x="2"/>
        <item x="6"/>
        <item x="9"/>
        <item x="3"/>
        <item x="8"/>
        <item x="7"/>
        <item x="1"/>
        <item t="default"/>
      </items>
    </pivotField>
    <pivotField showAll="0"/>
    <pivotField showAll="0"/>
    <pivotField numFmtId="1"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 v="2"/>
    </i>
    <i>
      <x v="4"/>
    </i>
    <i t="grand">
      <x/>
    </i>
  </rowItems>
  <colItems count="1">
    <i/>
  </colItems>
  <pageFields count="1">
    <pageField fld="4" item="4" hier="-1"/>
  </pageFields>
  <dataFields count="1">
    <dataField name="Average of Vehicle Capacity" fld="8" subtotal="average" baseField="1" baseItem="0" numFmtId="2"/>
  </dataFields>
  <formats count="4"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4" type="button" dataOnly="0" labelOnly="1" outline="0" axis="axisPage" fieldPosition="0"/>
    </format>
    <format dxfId="51">
      <pivotArea dataOnly="0" labelOnly="1" outline="0" fieldPosition="0">
        <references count="1">
          <reference field="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20:L30" firstHeaderRow="1" firstDataRow="1" firstDataCol="1" rowPageCount="1" colPageCount="1"/>
  <pivotFields count="17">
    <pivotField showAll="0"/>
    <pivotField axis="axisRow" showAll="0">
      <items count="15">
        <item x="11"/>
        <item x="8"/>
        <item x="7"/>
        <item x="3"/>
        <item x="1"/>
        <item x="6"/>
        <item x="10"/>
        <item x="2"/>
        <item x="4"/>
        <item x="12"/>
        <item x="13"/>
        <item x="9"/>
        <item x="5"/>
        <item x="0"/>
        <item t="default"/>
      </items>
    </pivotField>
    <pivotField showAll="0"/>
    <pivotField showAll="0"/>
    <pivotField axis="axisPage" showAll="0">
      <items count="11">
        <item x="5"/>
        <item x="4"/>
        <item x="0"/>
        <item x="2"/>
        <item x="6"/>
        <item x="9"/>
        <item x="3"/>
        <item x="8"/>
        <item x="7"/>
        <item x="1"/>
        <item t="default"/>
      </items>
    </pivotField>
    <pivotField showAll="0"/>
    <pivotField showAll="0"/>
    <pivotField numFmtId="1"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 v="1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 t="grand">
      <x/>
    </i>
  </rowItems>
  <colItems count="1">
    <i/>
  </colItems>
  <pageFields count="1">
    <pageField fld="4" item="9" hier="-1"/>
  </pageFields>
  <dataFields count="1">
    <dataField name="Average of Vehicle Capacity" fld="8" subtotal="average" baseField="1" baseItem="0" numFmtId="2"/>
  </dataFields>
  <formats count="4">
    <format dxfId="58">
      <pivotArea type="all" dataOnly="0" outline="0" fieldPosition="0"/>
    </format>
    <format dxfId="57">
      <pivotArea field="4" type="button" dataOnly="0" labelOnly="1" outline="0" axis="axisPage" fieldPosition="0"/>
    </format>
    <format dxfId="56">
      <pivotArea dataOnly="0" labelOnly="1" outline="0" fieldPosition="0">
        <references count="1">
          <reference field="4" count="0"/>
        </references>
      </pivotArea>
    </format>
    <format dxfId="5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16:H23" firstHeaderRow="1" firstDataRow="1" firstDataCol="1" rowPageCount="1" colPageCount="1"/>
  <pivotFields count="17">
    <pivotField showAll="0"/>
    <pivotField axis="axisRow" showAll="0">
      <items count="15">
        <item x="11"/>
        <item x="8"/>
        <item x="7"/>
        <item x="3"/>
        <item x="1"/>
        <item x="6"/>
        <item x="10"/>
        <item x="2"/>
        <item x="4"/>
        <item x="12"/>
        <item x="13"/>
        <item x="9"/>
        <item x="5"/>
        <item x="0"/>
        <item t="default"/>
      </items>
    </pivotField>
    <pivotField showAll="0"/>
    <pivotField showAll="0"/>
    <pivotField axis="axisPage" showAll="0">
      <items count="11">
        <item x="5"/>
        <item x="4"/>
        <item x="0"/>
        <item x="2"/>
        <item x="6"/>
        <item x="9"/>
        <item x="3"/>
        <item x="8"/>
        <item x="7"/>
        <item x="1"/>
        <item t="default"/>
      </items>
    </pivotField>
    <pivotField showAll="0"/>
    <pivotField showAll="0"/>
    <pivotField numFmtId="1"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 v="2"/>
    </i>
    <i>
      <x v="3"/>
    </i>
    <i>
      <x v="6"/>
    </i>
    <i>
      <x v="7"/>
    </i>
    <i>
      <x v="10"/>
    </i>
    <i>
      <x v="11"/>
    </i>
    <i t="grand">
      <x/>
    </i>
  </rowItems>
  <colItems count="1">
    <i/>
  </colItems>
  <pageFields count="1">
    <pageField fld="4" item="6" hier="-1"/>
  </pageFields>
  <dataFields count="1">
    <dataField name="Average of Vehicle Capacity" fld="8" subtotal="average" baseField="1" baseItem="0" numFmtId="2"/>
  </dataFields>
  <formats count="4">
    <format dxfId="10">
      <pivotArea type="all" dataOnly="0" outline="0" fieldPosition="0"/>
    </format>
    <format dxfId="9">
      <pivotArea outline="0" collapsedLevelsAreSubtotals="1" fieldPosition="0"/>
    </format>
    <format dxfId="8">
      <pivotArea field="4" type="button" dataOnly="0" labelOnly="1" outline="0" axis="axisPage" fieldPosition="0"/>
    </format>
    <format dxfId="7">
      <pivotArea dataOnly="0" labelOnly="1" outline="0" fieldPosition="0">
        <references count="1">
          <reference field="4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" firstHeaderRow="1" firstDataRow="1" firstDataCol="1" rowPageCount="1" colPageCount="1"/>
  <pivotFields count="18">
    <pivotField showAll="0"/>
    <pivotField showAll="0"/>
    <pivotField axis="axisRow" showAll="0">
      <items count="15">
        <item x="11"/>
        <item x="8"/>
        <item x="7"/>
        <item x="3"/>
        <item x="1"/>
        <item x="6"/>
        <item x="10"/>
        <item x="2"/>
        <item x="4"/>
        <item x="12"/>
        <item x="13"/>
        <item x="9"/>
        <item x="5"/>
        <item x="0"/>
        <item t="default"/>
      </items>
    </pivotField>
    <pivotField showAll="0"/>
    <pivotField showAll="0"/>
    <pivotField axis="axisPage" showAll="0">
      <items count="11">
        <item x="5"/>
        <item x="4"/>
        <item x="0"/>
        <item x="2"/>
        <item x="6"/>
        <item x="9"/>
        <item x="3"/>
        <item x="8"/>
        <item x="7"/>
        <item x="1"/>
        <item t="default"/>
      </items>
    </pivotField>
    <pivotField showAll="0"/>
    <pivotField showAll="0"/>
    <pivotField numFmtId="1" showAll="0"/>
    <pivotField dataField="1" numFmtId="170" showAll="0">
      <items count="38">
        <item x="29"/>
        <item x="1"/>
        <item x="5"/>
        <item x="34"/>
        <item x="6"/>
        <item x="10"/>
        <item x="26"/>
        <item x="20"/>
        <item x="30"/>
        <item x="13"/>
        <item x="24"/>
        <item x="14"/>
        <item x="33"/>
        <item x="25"/>
        <item x="18"/>
        <item x="3"/>
        <item x="23"/>
        <item x="22"/>
        <item x="27"/>
        <item x="4"/>
        <item x="28"/>
        <item x="21"/>
        <item x="31"/>
        <item x="36"/>
        <item x="7"/>
        <item x="15"/>
        <item x="11"/>
        <item x="0"/>
        <item x="32"/>
        <item x="19"/>
        <item x="17"/>
        <item x="8"/>
        <item x="16"/>
        <item x="35"/>
        <item x="2"/>
        <item x="9"/>
        <item x="12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 v="12"/>
    </i>
    <i t="grand">
      <x/>
    </i>
  </rowItems>
  <colItems count="1">
    <i/>
  </colItems>
  <pageFields count="1">
    <pageField fld="5" item="0" hier="-1"/>
  </pageFields>
  <dataFields count="1">
    <dataField name="Average of Vehicle Capacity" fld="9" subtotal="average" baseField="2" baseItem="0" numFmtId="2"/>
  </dataFields>
  <formats count="8">
    <format dxfId="18">
      <pivotArea outline="0" collapsedLevelsAreSubtotals="1" fieldPosition="0"/>
    </format>
    <format dxfId="17">
      <pivotArea type="all" dataOnly="0" outline="0" fieldPosition="0"/>
    </format>
    <format dxfId="16">
      <pivotArea field="5" type="button" dataOnly="0" labelOnly="1" outline="0" axis="axisPage" fieldPosition="0"/>
    </format>
    <format dxfId="15">
      <pivotArea dataOnly="0" labelOnly="1" outline="0" fieldPosition="0">
        <references count="1">
          <reference field="5" count="1">
            <x v="0"/>
          </reference>
        </references>
      </pivotArea>
    </format>
    <format dxfId="14">
      <pivotArea field="2" type="button" dataOnly="0" labelOnly="1" outline="0" axis="axisRow" fieldPosition="0"/>
    </format>
    <format dxfId="13">
      <pivotArea dataOnly="0" labelOnly="1" outline="0" axis="axisValues" fieldPosition="0"/>
    </format>
    <format dxfId="12">
      <pivotArea field="5" type="button" dataOnly="0" labelOnly="1" outline="0" axis="axisPage" fieldPosition="0"/>
    </format>
    <format dxfId="11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2:B14" firstHeaderRow="1" firstDataRow="1" firstDataCol="1" rowPageCount="1" colPageCount="1"/>
  <pivotFields count="17">
    <pivotField showAll="0"/>
    <pivotField axis="axisRow" showAll="0">
      <items count="15">
        <item x="11"/>
        <item x="8"/>
        <item x="7"/>
        <item x="3"/>
        <item x="1"/>
        <item x="6"/>
        <item x="10"/>
        <item x="2"/>
        <item x="4"/>
        <item x="12"/>
        <item x="13"/>
        <item x="9"/>
        <item x="5"/>
        <item x="0"/>
        <item t="default"/>
      </items>
    </pivotField>
    <pivotField showAll="0"/>
    <pivotField showAll="0"/>
    <pivotField axis="axisPage" showAll="0">
      <items count="11">
        <item x="5"/>
        <item x="4"/>
        <item x="0"/>
        <item x="2"/>
        <item x="6"/>
        <item x="9"/>
        <item x="3"/>
        <item x="8"/>
        <item x="7"/>
        <item x="1"/>
        <item t="default"/>
      </items>
    </pivotField>
    <pivotField showAll="0"/>
    <pivotField showAll="0"/>
    <pivotField numFmtId="1" showAll="0"/>
    <pivotField dataField="1" numFmtId="2" showAll="0">
      <items count="38">
        <item x="29"/>
        <item x="1"/>
        <item x="5"/>
        <item x="34"/>
        <item x="6"/>
        <item x="10"/>
        <item x="26"/>
        <item x="20"/>
        <item x="30"/>
        <item x="13"/>
        <item x="24"/>
        <item x="14"/>
        <item x="33"/>
        <item x="25"/>
        <item x="18"/>
        <item x="3"/>
        <item x="23"/>
        <item x="22"/>
        <item x="27"/>
        <item x="4"/>
        <item x="28"/>
        <item x="21"/>
        <item x="31"/>
        <item x="36"/>
        <item x="7"/>
        <item x="15"/>
        <item x="11"/>
        <item x="0"/>
        <item x="32"/>
        <item x="19"/>
        <item x="17"/>
        <item x="8"/>
        <item x="16"/>
        <item x="35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 v="13"/>
    </i>
    <i t="grand">
      <x/>
    </i>
  </rowItems>
  <colItems count="1">
    <i/>
  </colItems>
  <pageFields count="1">
    <pageField fld="4" item="5" hier="-1"/>
  </pageFields>
  <dataFields count="1">
    <dataField name="Average of Vehicle Capacity" fld="8" subtotal="average" baseField="1" baseItem="0" numFmtId="2"/>
  </dataFields>
  <formats count="4">
    <format dxfId="22">
      <pivotArea field="4" type="button" dataOnly="0" labelOnly="1" outline="0" axis="axisPage" fieldPosition="0"/>
    </format>
    <format dxfId="21">
      <pivotArea dataOnly="0" labelOnly="1" outline="0" fieldPosition="0">
        <references count="1">
          <reference field="4" count="0"/>
        </references>
      </pivotArea>
    </format>
    <format dxfId="20">
      <pivotArea type="all" dataOnly="0" outline="0" fieldPosition="0"/>
    </format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3:H9" firstHeaderRow="1" firstDataRow="1" firstDataCol="1" rowPageCount="1" colPageCount="1"/>
  <pivotFields count="17">
    <pivotField showAll="0"/>
    <pivotField axis="axisRow" showAll="0">
      <items count="15">
        <item x="11"/>
        <item x="8"/>
        <item x="7"/>
        <item x="3"/>
        <item x="1"/>
        <item x="6"/>
        <item x="10"/>
        <item x="2"/>
        <item x="4"/>
        <item x="12"/>
        <item x="13"/>
        <item x="9"/>
        <item x="5"/>
        <item x="0"/>
        <item t="default"/>
      </items>
    </pivotField>
    <pivotField showAll="0"/>
    <pivotField showAll="0"/>
    <pivotField axis="axisPage" showAll="0">
      <items count="11">
        <item x="5"/>
        <item x="4"/>
        <item x="0"/>
        <item x="2"/>
        <item x="6"/>
        <item x="9"/>
        <item x="3"/>
        <item x="8"/>
        <item x="7"/>
        <item x="1"/>
        <item t="default"/>
      </items>
    </pivotField>
    <pivotField showAll="0"/>
    <pivotField showAll="0"/>
    <pivotField numFmtId="1"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2"/>
    </i>
    <i>
      <x v="5"/>
    </i>
    <i>
      <x v="8"/>
    </i>
    <i>
      <x v="12"/>
    </i>
    <i>
      <x v="13"/>
    </i>
    <i t="grand">
      <x/>
    </i>
  </rowItems>
  <colItems count="1">
    <i/>
  </colItems>
  <pageFields count="1">
    <pageField fld="4" item="2" hier="-1"/>
  </pageFields>
  <dataFields count="1">
    <dataField name="Average of Vehicle Capacity" fld="8" subtotal="average" baseField="1" baseItem="0" numFmtId="2"/>
  </dataFields>
  <formats count="8">
    <format dxfId="30">
      <pivotArea outline="0" collapsedLevelsAreSubtotals="1" fieldPosition="0"/>
    </format>
    <format dxfId="29">
      <pivotArea type="all" dataOnly="0" outline="0" fieldPosition="0"/>
    </format>
    <format dxfId="28">
      <pivotArea field="4" type="button" dataOnly="0" labelOnly="1" outline="0" axis="axisPage" fieldPosition="0"/>
    </format>
    <format dxfId="27">
      <pivotArea dataOnly="0" labelOnly="1" outline="0" fieldPosition="0">
        <references count="1">
          <reference field="4" count="0"/>
        </references>
      </pivotArea>
    </format>
    <format dxfId="26">
      <pivotArea field="1" type="button" dataOnly="0" labelOnly="1" outline="0" axis="axisRow" fieldPosition="0"/>
    </format>
    <format dxfId="25">
      <pivotArea dataOnly="0" labelOnly="1" outline="0" axis="axisValues" fieldPosition="0"/>
    </format>
    <format dxfId="24">
      <pivotArea field="4" type="button" dataOnly="0" labelOnly="1" outline="0" axis="axisPage" fieldPosition="0"/>
    </format>
    <format dxfId="23">
      <pivotArea dataOnly="0" labelOnly="1" outline="0" fieldPosition="0">
        <references count="1">
          <reference field="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3:K7" firstHeaderRow="1" firstDataRow="1" firstDataCol="1" rowPageCount="1" colPageCount="1"/>
  <pivotFields count="17">
    <pivotField showAll="0"/>
    <pivotField axis="axisRow" showAll="0">
      <items count="15">
        <item x="11"/>
        <item x="8"/>
        <item x="7"/>
        <item x="3"/>
        <item x="1"/>
        <item x="6"/>
        <item x="10"/>
        <item x="2"/>
        <item x="4"/>
        <item x="12"/>
        <item x="13"/>
        <item x="9"/>
        <item x="5"/>
        <item x="0"/>
        <item t="default"/>
      </items>
    </pivotField>
    <pivotField showAll="0"/>
    <pivotField showAll="0"/>
    <pivotField axis="axisPage" showAll="0">
      <items count="11">
        <item x="5"/>
        <item x="4"/>
        <item x="0"/>
        <item x="2"/>
        <item x="6"/>
        <item x="9"/>
        <item x="3"/>
        <item x="8"/>
        <item x="7"/>
        <item x="1"/>
        <item t="default"/>
      </items>
    </pivotField>
    <pivotField showAll="0"/>
    <pivotField showAll="0"/>
    <pivotField numFmtId="1"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 v="3"/>
    </i>
    <i>
      <x v="4"/>
    </i>
    <i>
      <x v="12"/>
    </i>
    <i t="grand">
      <x/>
    </i>
  </rowItems>
  <colItems count="1">
    <i/>
  </colItems>
  <pageFields count="1">
    <pageField fld="4" item="3" hier="-1"/>
  </pageFields>
  <dataFields count="1">
    <dataField name="Average of Vehicle Capacity" fld="8" subtotal="average" baseField="1" baseItem="0" numFmtId="2"/>
  </dataFields>
  <formats count="4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4" type="button" dataOnly="0" labelOnly="1" outline="0" axis="axisPage" fieldPosition="0"/>
    </format>
    <format dxfId="31">
      <pivotArea dataOnly="0" labelOnly="1" outline="0" fieldPosition="0">
        <references count="1">
          <reference field="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8:B21" firstHeaderRow="1" firstDataRow="1" firstDataCol="1" rowPageCount="1" colPageCount="1"/>
  <pivotFields count="17">
    <pivotField showAll="0"/>
    <pivotField axis="axisRow" showAll="0">
      <items count="15">
        <item x="11"/>
        <item x="8"/>
        <item x="7"/>
        <item x="3"/>
        <item x="1"/>
        <item x="6"/>
        <item x="10"/>
        <item x="2"/>
        <item x="4"/>
        <item x="12"/>
        <item x="13"/>
        <item x="9"/>
        <item x="5"/>
        <item x="0"/>
        <item t="default"/>
      </items>
    </pivotField>
    <pivotField showAll="0"/>
    <pivotField showAll="0"/>
    <pivotField axis="axisPage" showAll="0">
      <items count="11">
        <item x="5"/>
        <item x="4"/>
        <item x="0"/>
        <item x="2"/>
        <item x="6"/>
        <item x="9"/>
        <item x="3"/>
        <item x="8"/>
        <item x="7"/>
        <item x="1"/>
        <item t="default"/>
      </items>
    </pivotField>
    <pivotField showAll="0"/>
    <pivotField showAll="0"/>
    <pivotField numFmtId="1"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 v="5"/>
    </i>
    <i>
      <x v="11"/>
    </i>
    <i t="grand">
      <x/>
    </i>
  </rowItems>
  <colItems count="1">
    <i/>
  </colItems>
  <pageFields count="1">
    <pageField fld="4" item="8" hier="-1"/>
  </pageFields>
  <dataFields count="1">
    <dataField name="Average of Vehicle Capacity" fld="8" subtotal="average" baseField="1" baseItem="0" numFmtId="2"/>
  </dataFields>
  <formats count="4">
    <format dxfId="38">
      <pivotArea type="all" dataOnly="0" outline="0" fieldPosition="0"/>
    </format>
    <format dxfId="37">
      <pivotArea field="4" type="button" dataOnly="0" labelOnly="1" outline="0" axis="axisPage" fieldPosition="0"/>
    </format>
    <format dxfId="36">
      <pivotArea dataOnly="0" labelOnly="1" outline="0" fieldPosition="0">
        <references count="1">
          <reference field="4" count="0"/>
        </references>
      </pivotArea>
    </format>
    <format dxfId="3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11:L14" firstHeaderRow="1" firstDataRow="1" firstDataCol="1" rowPageCount="1" colPageCount="1"/>
  <pivotFields count="17">
    <pivotField showAll="0"/>
    <pivotField axis="axisRow" showAll="0">
      <items count="15">
        <item x="11"/>
        <item x="8"/>
        <item x="7"/>
        <item x="3"/>
        <item x="1"/>
        <item x="6"/>
        <item x="10"/>
        <item x="2"/>
        <item x="4"/>
        <item x="12"/>
        <item x="13"/>
        <item x="9"/>
        <item x="5"/>
        <item x="0"/>
        <item t="default"/>
      </items>
    </pivotField>
    <pivotField showAll="0"/>
    <pivotField showAll="0"/>
    <pivotField axis="axisPage" showAll="0">
      <items count="11">
        <item x="5"/>
        <item x="4"/>
        <item x="0"/>
        <item x="2"/>
        <item x="6"/>
        <item x="9"/>
        <item x="3"/>
        <item x="8"/>
        <item x="7"/>
        <item x="1"/>
        <item t="default"/>
      </items>
    </pivotField>
    <pivotField showAll="0"/>
    <pivotField showAll="0"/>
    <pivotField numFmtId="1"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 v="3"/>
    </i>
    <i>
      <x v="11"/>
    </i>
    <i t="grand">
      <x/>
    </i>
  </rowItems>
  <colItems count="1">
    <i/>
  </colItems>
  <pageFields count="1">
    <pageField fld="4" item="7" hier="-1"/>
  </pageFields>
  <dataFields count="1">
    <dataField name="Average of Vehicle Capacity" fld="8" subtotal="average" baseField="1" baseItem="0" numFmtId="2"/>
  </dataFields>
  <formats count="4">
    <format dxfId="42">
      <pivotArea type="all" dataOnly="0" outline="0" fieldPosition="0"/>
    </format>
    <format dxfId="41">
      <pivotArea field="4" type="button" dataOnly="0" labelOnly="1" outline="0" axis="axisPage" fieldPosition="0"/>
    </format>
    <format dxfId="40">
      <pivotArea dataOnly="0" labelOnly="1" outline="0" fieldPosition="0">
        <references count="1">
          <reference field="4" count="0"/>
        </references>
      </pivotArea>
    </format>
    <format dxfId="3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3:E10" firstHeaderRow="1" firstDataRow="1" firstDataCol="1" rowPageCount="1" colPageCount="1"/>
  <pivotFields count="17">
    <pivotField showAll="0"/>
    <pivotField axis="axisRow" showAll="0">
      <items count="15">
        <item x="11"/>
        <item x="8"/>
        <item x="7"/>
        <item x="3"/>
        <item x="1"/>
        <item x="6"/>
        <item x="10"/>
        <item x="2"/>
        <item x="4"/>
        <item x="12"/>
        <item x="13"/>
        <item x="9"/>
        <item x="5"/>
        <item x="0"/>
        <item t="default"/>
      </items>
    </pivotField>
    <pivotField showAll="0"/>
    <pivotField showAll="0"/>
    <pivotField axis="axisPage" showAll="0">
      <items count="11">
        <item x="5"/>
        <item x="4"/>
        <item x="0"/>
        <item x="2"/>
        <item x="6"/>
        <item x="9"/>
        <item x="3"/>
        <item x="8"/>
        <item x="7"/>
        <item x="1"/>
        <item t="default"/>
      </items>
    </pivotField>
    <pivotField showAll="0"/>
    <pivotField showAll="0"/>
    <pivotField numFmtId="1"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3"/>
    </i>
    <i>
      <x v="4"/>
    </i>
    <i>
      <x v="5"/>
    </i>
    <i>
      <x v="12"/>
    </i>
    <i t="grand">
      <x/>
    </i>
  </rowItems>
  <colItems count="1">
    <i/>
  </colItems>
  <pageFields count="1">
    <pageField fld="4" item="1" hier="-1"/>
  </pageFields>
  <dataFields count="1">
    <dataField name="Average of Vehicle Capacity" fld="8" subtotal="average" baseField="1" baseItem="0" numFmtId="2"/>
  </dataFields>
  <formats count="8">
    <format dxfId="50">
      <pivotArea outline="0" collapsedLevelsAreSubtotals="1" fieldPosition="0"/>
    </format>
    <format dxfId="49">
      <pivotArea type="all" dataOnly="0" outline="0" fieldPosition="0"/>
    </format>
    <format dxfId="48">
      <pivotArea field="4" type="button" dataOnly="0" labelOnly="1" outline="0" axis="axisPage" fieldPosition="0"/>
    </format>
    <format dxfId="47">
      <pivotArea dataOnly="0" labelOnly="1" outline="0" fieldPosition="0">
        <references count="1">
          <reference field="4" count="1">
            <x v="1"/>
          </reference>
        </references>
      </pivotArea>
    </format>
    <format dxfId="46">
      <pivotArea field="1" type="button" dataOnly="0" labelOnly="1" outline="0" axis="axisRow" fieldPosition="0"/>
    </format>
    <format dxfId="45">
      <pivotArea dataOnly="0" labelOnly="1" outline="0" axis="axisValues" fieldPosition="0"/>
    </format>
    <format dxfId="44">
      <pivotArea field="4" type="button" dataOnly="0" labelOnly="1" outline="0" axis="axisPage" fieldPosition="0"/>
    </format>
    <format dxfId="43">
      <pivotArea dataOnly="0" labelOnly="1" outline="0" fieldPosition="0">
        <references count="1"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B50" totalsRowShown="0" headerRowDxfId="6" headerRowBorderDxfId="5" tableBorderDxfId="4" totalsRowBorderDxfId="3">
  <tableColumns count="2">
    <tableColumn id="1" name="Partner Name" dataDxfId="2"/>
    <tableColumn id="2" name="Sum of Total cost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6.xml"/><Relationship Id="rId10" Type="http://schemas.openxmlformats.org/officeDocument/2006/relationships/pivotTable" Target="../pivotTables/pivotTable11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A1000"/>
  <sheetViews>
    <sheetView tabSelected="1" zoomScale="85" zoomScaleNormal="85" workbookViewId="0">
      <selection activeCell="A2" sqref="A2"/>
    </sheetView>
  </sheetViews>
  <sheetFormatPr defaultColWidth="14.42578125" defaultRowHeight="15" customHeight="1" x14ac:dyDescent="0.25"/>
  <cols>
    <col min="1" max="1" width="32.5703125" bestFit="1" customWidth="1"/>
    <col min="2" max="2" width="11.7109375" bestFit="1" customWidth="1"/>
    <col min="3" max="3" width="12.28515625" customWidth="1"/>
    <col min="4" max="4" width="13.42578125" customWidth="1"/>
    <col min="5" max="6" width="10.7109375" bestFit="1" customWidth="1"/>
    <col min="7" max="7" width="11.5703125" customWidth="1"/>
    <col min="8" max="8" width="13.5703125" customWidth="1"/>
    <col min="9" max="9" width="11.42578125" bestFit="1" customWidth="1"/>
    <col min="10" max="10" width="14.140625" customWidth="1"/>
    <col min="11" max="11" width="12.28515625" customWidth="1"/>
    <col min="12" max="12" width="8.85546875" bestFit="1" customWidth="1"/>
    <col min="13" max="13" width="13" customWidth="1"/>
    <col min="14" max="14" width="19.140625" style="134" bestFit="1" customWidth="1"/>
    <col min="15" max="15" width="11.7109375" style="134" customWidth="1"/>
    <col min="16" max="16" width="15" customWidth="1"/>
    <col min="17" max="17" width="35.7109375" bestFit="1" customWidth="1"/>
    <col min="18" max="18" width="10.7109375" bestFit="1" customWidth="1"/>
    <col min="19" max="27" width="8.7109375" customWidth="1"/>
  </cols>
  <sheetData>
    <row r="1" spans="1:27" x14ac:dyDescent="0.2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4" t="s">
        <v>11</v>
      </c>
      <c r="M1" s="64" t="s">
        <v>12</v>
      </c>
      <c r="N1" s="64" t="s">
        <v>304</v>
      </c>
      <c r="O1" s="66" t="s">
        <v>305</v>
      </c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5">
      <c r="A2" s="67" t="s">
        <v>13</v>
      </c>
      <c r="B2" s="161">
        <f>VLOOKUP(A2,Table2[#All],2,FALSE)</f>
        <v>115928.81299810966</v>
      </c>
      <c r="C2" s="162">
        <f>VLOOKUP(A2,payouts_table_AMD!$B$2:$E$52,3,FALSE)</f>
        <v>5</v>
      </c>
      <c r="D2" s="161">
        <f>VLOOKUP(A2,payouts_table_AMD!$B$2:$E$52,4,FALSE)</f>
        <v>16347.6</v>
      </c>
      <c r="E2" s="163">
        <f>VLOOKUP(A2,Payout!$B$1:$F$64,4,FALSE)</f>
        <v>81737.72</v>
      </c>
      <c r="F2" s="163">
        <f>VLOOKUP(A2,Payout!$B$1:$F$64,5,FALSE)</f>
        <v>67307.695444082405</v>
      </c>
      <c r="G2" s="163">
        <f>E2-F2</f>
        <v>14430.024555917596</v>
      </c>
      <c r="H2" s="164">
        <f>G2/F2</f>
        <v>0.21438892626929576</v>
      </c>
      <c r="I2" s="165">
        <f>E2-B2</f>
        <v>-34191.092998109656</v>
      </c>
      <c r="J2" s="164">
        <f>I2/E2</f>
        <v>-0.41830250462221918</v>
      </c>
      <c r="K2" s="166">
        <f>B2/D2</f>
        <v>7.0914882305726623</v>
      </c>
      <c r="L2" s="167" t="str">
        <f>IF(H2&gt;0,"overpaid","under budget")</f>
        <v>overpaid</v>
      </c>
      <c r="M2" s="164" t="str">
        <f>IF(J2&gt;0,"profitable","in loss")</f>
        <v>in loss</v>
      </c>
      <c r="N2" s="166">
        <f>(VLOOKUP(A2,'Pivot Table-3'!$A$1:$B$50,2,FALSE))*1000*25</f>
        <v>81250</v>
      </c>
      <c r="O2" s="168">
        <f>D2/N2</f>
        <v>0.20120123076923077</v>
      </c>
      <c r="P2" s="4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63" t="s">
        <v>14</v>
      </c>
      <c r="B3" s="169">
        <f>VLOOKUP(A3,Table2[#All],2,FALSE)</f>
        <v>48000</v>
      </c>
      <c r="C3" s="170">
        <f>VLOOKUP(A3,payouts_table_AMD!$B$2:$E$52,3,FALSE)</f>
        <v>5</v>
      </c>
      <c r="D3" s="169">
        <f>VLOOKUP(A3,payouts_table_AMD!$B$2:$E$52,4,FALSE)</f>
        <v>36413.599999999999</v>
      </c>
      <c r="E3" s="171">
        <f>VLOOKUP(A3,Payout!$B$1:$F$64,4,FALSE)</f>
        <v>182068.2471119999</v>
      </c>
      <c r="F3" s="171">
        <f>VLOOKUP(A3,Payout!$B$1:$F$64,5,FALSE)</f>
        <v>151594.20238356592</v>
      </c>
      <c r="G3" s="171">
        <f t="shared" ref="G3:G49" si="0">E3-F3</f>
        <v>30474.044728433975</v>
      </c>
      <c r="H3" s="172">
        <f t="shared" ref="H3:H49" si="1">G3/F3</f>
        <v>0.20102381390106261</v>
      </c>
      <c r="I3" s="173">
        <f t="shared" ref="I3:I49" si="2">E3-B3</f>
        <v>134068.2471119999</v>
      </c>
      <c r="J3" s="172">
        <f t="shared" ref="J3:J49" si="3">I3/E3</f>
        <v>0.73636259610676302</v>
      </c>
      <c r="K3" s="174">
        <f t="shared" ref="K3:K49" si="4">B3/D3</f>
        <v>1.3181888085770153</v>
      </c>
      <c r="L3" s="175" t="str">
        <f t="shared" ref="L3:L49" si="5">IF(H3&gt;0,"overpaid","under budget")</f>
        <v>overpaid</v>
      </c>
      <c r="M3" s="172" t="str">
        <f t="shared" ref="M3:M49" si="6">IF(J3&gt;0,"profitable","in loss")</f>
        <v>profitable</v>
      </c>
      <c r="N3" s="174">
        <f>(VLOOKUP(A3,'Pivot Table-3'!$A$1:$B$50,2,FALSE))*1000*25</f>
        <v>62500</v>
      </c>
      <c r="O3" s="176">
        <f t="shared" ref="O3:O49" si="7">D3/N3</f>
        <v>0.58261759999999996</v>
      </c>
      <c r="P3" s="4"/>
      <c r="Q3" s="2" t="s">
        <v>15</v>
      </c>
      <c r="R3" s="6">
        <f>CORREL(E2:E49,K2:K49)</f>
        <v>-0.29638366278820116</v>
      </c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67" t="s">
        <v>16</v>
      </c>
      <c r="B4" s="161">
        <f>VLOOKUP(A4,Table2[#All],2,FALSE)</f>
        <v>92974.742564298867</v>
      </c>
      <c r="C4" s="162">
        <f>VLOOKUP(A4,payouts_table_AMD!$B$2:$E$52,3,FALSE)</f>
        <v>5</v>
      </c>
      <c r="D4" s="161">
        <f>VLOOKUP(A4,payouts_table_AMD!$B$2:$E$52,4,FALSE)</f>
        <v>29269</v>
      </c>
      <c r="E4" s="163">
        <f>VLOOKUP(A4,Payout!$B$1:$F$64,4,FALSE)</f>
        <v>146345.40696000005</v>
      </c>
      <c r="F4" s="163">
        <f>VLOOKUP(A4,Payout!$B$1:$F$64,5,FALSE)</f>
        <v>27180.821150192936</v>
      </c>
      <c r="G4" s="163">
        <f t="shared" si="0"/>
        <v>119164.58580980712</v>
      </c>
      <c r="H4" s="164">
        <f t="shared" si="1"/>
        <v>4.3841422284978044</v>
      </c>
      <c r="I4" s="165">
        <f t="shared" si="2"/>
        <v>53370.664395701184</v>
      </c>
      <c r="J4" s="164">
        <f t="shared" si="3"/>
        <v>0.36468971253938126</v>
      </c>
      <c r="K4" s="166">
        <f t="shared" si="4"/>
        <v>3.1765602707403349</v>
      </c>
      <c r="L4" s="167" t="str">
        <f t="shared" si="5"/>
        <v>overpaid</v>
      </c>
      <c r="M4" s="164" t="str">
        <f t="shared" si="6"/>
        <v>profitable</v>
      </c>
      <c r="N4" s="166">
        <f>(VLOOKUP(A4,'Pivot Table-3'!$A$1:$B$50,2,FALSE))*1000*25</f>
        <v>164750.67095612199</v>
      </c>
      <c r="O4" s="168">
        <f t="shared" si="7"/>
        <v>0.17765633262759339</v>
      </c>
      <c r="P4" s="4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63" t="s">
        <v>17</v>
      </c>
      <c r="B5" s="169">
        <f>VLOOKUP(A5,Table2[#All],2,FALSE)</f>
        <v>65814.976221147692</v>
      </c>
      <c r="C5" s="170">
        <f>VLOOKUP(A5,payouts_table_AMD!$B$2:$E$52,3,FALSE)</f>
        <v>19</v>
      </c>
      <c r="D5" s="169">
        <f>VLOOKUP(A5,payouts_table_AMD!$B$2:$E$52,4,FALSE)</f>
        <v>6740.5789473684208</v>
      </c>
      <c r="E5" s="171">
        <f>VLOOKUP(A5,Payout!$B$1:$F$64,4,FALSE)</f>
        <v>128071</v>
      </c>
      <c r="F5" s="171">
        <f>VLOOKUP(A5,Payout!$B$1:$F$64,5,FALSE)</f>
        <v>23560.66190357352</v>
      </c>
      <c r="G5" s="171">
        <f t="shared" si="0"/>
        <v>104510.33809642648</v>
      </c>
      <c r="H5" s="172">
        <f t="shared" si="1"/>
        <v>4.4357980486352577</v>
      </c>
      <c r="I5" s="173">
        <f t="shared" si="2"/>
        <v>62256.023778852308</v>
      </c>
      <c r="J5" s="172">
        <f t="shared" si="3"/>
        <v>0.48610554910051695</v>
      </c>
      <c r="K5" s="174">
        <f t="shared" si="4"/>
        <v>9.7639945670901778</v>
      </c>
      <c r="L5" s="175" t="str">
        <f t="shared" si="5"/>
        <v>overpaid</v>
      </c>
      <c r="M5" s="172" t="str">
        <f t="shared" si="6"/>
        <v>profitable</v>
      </c>
      <c r="N5" s="174">
        <f>(VLOOKUP(A5,'Pivot Table-3'!$A$1:$B$50,2,FALSE))*1000*25</f>
        <v>34735.621574165052</v>
      </c>
      <c r="O5" s="176">
        <f t="shared" si="7"/>
        <v>0.19405378806814819</v>
      </c>
      <c r="P5" s="4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 s="67" t="s">
        <v>18</v>
      </c>
      <c r="B6" s="161">
        <f>VLOOKUP(A6,Table2[#All],2,FALSE)</f>
        <v>60714.971483488618</v>
      </c>
      <c r="C6" s="162">
        <f>VLOOKUP(A6,payouts_table_AMD!$B$2:$E$52,3,FALSE)</f>
        <v>9</v>
      </c>
      <c r="D6" s="161">
        <f>VLOOKUP(A6,payouts_table_AMD!$B$2:$E$52,4,FALSE)</f>
        <v>2553.3333333333335</v>
      </c>
      <c r="E6" s="163">
        <f>VLOOKUP(A6,Payout!$B$1:$F$64,4,FALSE)</f>
        <v>22979.535200000002</v>
      </c>
      <c r="F6" s="163">
        <f>VLOOKUP(A6,Payout!$B$1:$F$64,5,FALSE)</f>
        <v>14574.070793404973</v>
      </c>
      <c r="G6" s="163">
        <f t="shared" si="0"/>
        <v>8405.4644065950288</v>
      </c>
      <c r="H6" s="164">
        <f t="shared" si="1"/>
        <v>0.57674101668276867</v>
      </c>
      <c r="I6" s="165">
        <f t="shared" si="2"/>
        <v>-37735.436283488612</v>
      </c>
      <c r="J6" s="164">
        <f t="shared" si="3"/>
        <v>-1.6421322692152889</v>
      </c>
      <c r="K6" s="166">
        <f t="shared" si="4"/>
        <v>23.778709458285359</v>
      </c>
      <c r="L6" s="167" t="str">
        <f t="shared" si="5"/>
        <v>overpaid</v>
      </c>
      <c r="M6" s="164" t="str">
        <f t="shared" si="6"/>
        <v>in loss</v>
      </c>
      <c r="N6" s="166">
        <f>(VLOOKUP(A6,'Pivot Table-3'!$A$1:$B$50,2,FALSE))*1000*25</f>
        <v>39516.909530766599</v>
      </c>
      <c r="O6" s="168">
        <f t="shared" si="7"/>
        <v>6.4613689776154934E-2</v>
      </c>
      <c r="P6" s="4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5">
      <c r="A7" s="63" t="s">
        <v>19</v>
      </c>
      <c r="B7" s="169">
        <f>VLOOKUP(A7,Table2[#All],2,FALSE)</f>
        <v>61897.857143266796</v>
      </c>
      <c r="C7" s="170">
        <f>VLOOKUP(A7,payouts_table_AMD!$B$2:$E$52,3,FALSE)</f>
        <v>9</v>
      </c>
      <c r="D7" s="169">
        <f>VLOOKUP(A7,payouts_table_AMD!$B$2:$E$52,4,FALSE)</f>
        <v>4069</v>
      </c>
      <c r="E7" s="171">
        <f>VLOOKUP(A7,Payout!$B$1:$F$64,4,FALSE)</f>
        <v>36620.83728</v>
      </c>
      <c r="F7" s="171">
        <f>VLOOKUP(A7,Payout!$B$1:$F$64,5,FALSE)</f>
        <v>11610.612907422201</v>
      </c>
      <c r="G7" s="171">
        <f t="shared" si="0"/>
        <v>25010.224372577799</v>
      </c>
      <c r="H7" s="172">
        <f t="shared" si="1"/>
        <v>2.1540830421268944</v>
      </c>
      <c r="I7" s="173">
        <f t="shared" si="2"/>
        <v>-25277.019863266796</v>
      </c>
      <c r="J7" s="172">
        <f t="shared" si="3"/>
        <v>-0.69023598969080691</v>
      </c>
      <c r="K7" s="174">
        <f t="shared" si="4"/>
        <v>15.212056314393413</v>
      </c>
      <c r="L7" s="175" t="str">
        <f t="shared" si="5"/>
        <v>overpaid</v>
      </c>
      <c r="M7" s="172" t="str">
        <f t="shared" si="6"/>
        <v>in loss</v>
      </c>
      <c r="N7" s="174">
        <f>(VLOOKUP(A7,'Pivot Table-3'!$A$1:$B$50,2,FALSE))*1000*25</f>
        <v>18816.245131333024</v>
      </c>
      <c r="O7" s="176">
        <f t="shared" si="7"/>
        <v>0.21624930859474484</v>
      </c>
      <c r="P7" s="4"/>
      <c r="Q7" s="2" t="s">
        <v>20</v>
      </c>
      <c r="R7" s="2">
        <f>COUNTA(A2:A49)</f>
        <v>48</v>
      </c>
      <c r="S7" s="2"/>
      <c r="T7" s="2"/>
      <c r="U7" s="2"/>
      <c r="V7" s="2"/>
      <c r="W7" s="2"/>
      <c r="X7" s="2"/>
      <c r="Y7" s="2"/>
      <c r="Z7" s="2"/>
      <c r="AA7" s="2"/>
    </row>
    <row r="8" spans="1:27" x14ac:dyDescent="0.25">
      <c r="A8" s="67" t="s">
        <v>21</v>
      </c>
      <c r="B8" s="161">
        <f>VLOOKUP(A8,Table2[#All],2,FALSE)</f>
        <v>55656.645092919869</v>
      </c>
      <c r="C8" s="162">
        <f>VLOOKUP(A8,payouts_table_AMD!$B$2:$E$52,3,FALSE)</f>
        <v>8.5</v>
      </c>
      <c r="D8" s="161">
        <f>VLOOKUP(A8,payouts_table_AMD!$B$2:$E$52,4,FALSE)</f>
        <v>14256.470588235294</v>
      </c>
      <c r="E8" s="163">
        <f>VLOOKUP(A8,Payout!$B$1:$F$64,4,FALSE)</f>
        <v>121180</v>
      </c>
      <c r="F8" s="163">
        <f>VLOOKUP(A8,Payout!$B$1:$F$64,5,FALSE)</f>
        <v>73367.308383054638</v>
      </c>
      <c r="G8" s="163">
        <f t="shared" si="0"/>
        <v>47812.691616945362</v>
      </c>
      <c r="H8" s="164">
        <f t="shared" si="1"/>
        <v>0.6516893241784576</v>
      </c>
      <c r="I8" s="165">
        <f t="shared" si="2"/>
        <v>65523.354907080131</v>
      </c>
      <c r="J8" s="164">
        <f t="shared" si="3"/>
        <v>0.54071096638950433</v>
      </c>
      <c r="K8" s="166">
        <f t="shared" si="4"/>
        <v>3.9039567856892137</v>
      </c>
      <c r="L8" s="167" t="str">
        <f t="shared" si="5"/>
        <v>overpaid</v>
      </c>
      <c r="M8" s="164" t="str">
        <f t="shared" si="6"/>
        <v>profitable</v>
      </c>
      <c r="N8" s="166">
        <f>(VLOOKUP(A8,'Pivot Table-3'!$A$1:$B$50,2,FALSE))*1000*25</f>
        <v>19605.92682830217</v>
      </c>
      <c r="O8" s="168">
        <f t="shared" si="7"/>
        <v>0.72715106575096167</v>
      </c>
      <c r="P8" s="4"/>
      <c r="Q8" s="2" t="s">
        <v>22</v>
      </c>
      <c r="R8" s="2">
        <f>COUNTIF($M$2:$M$49,"profitable")</f>
        <v>17</v>
      </c>
      <c r="S8" s="2"/>
      <c r="T8" s="2"/>
      <c r="U8" s="2"/>
      <c r="V8" s="2"/>
      <c r="W8" s="2"/>
      <c r="X8" s="2"/>
      <c r="Y8" s="2"/>
      <c r="Z8" s="2"/>
      <c r="AA8" s="2"/>
    </row>
    <row r="9" spans="1:27" x14ac:dyDescent="0.25">
      <c r="A9" s="63" t="s">
        <v>23</v>
      </c>
      <c r="B9" s="169">
        <f>VLOOKUP(A9,Table2[#All],2,FALSE)</f>
        <v>282405.18454591872</v>
      </c>
      <c r="C9" s="170">
        <f>VLOOKUP(A9,payouts_table_AMD!$B$2:$E$52,3,FALSE)</f>
        <v>5</v>
      </c>
      <c r="D9" s="169">
        <f>VLOOKUP(A9,payouts_table_AMD!$B$2:$E$52,4,FALSE)</f>
        <v>14851.2</v>
      </c>
      <c r="E9" s="171">
        <f>VLOOKUP(A9,Payout!$B$1:$F$64,4,FALSE)</f>
        <v>74255.524200000014</v>
      </c>
      <c r="F9" s="171">
        <f>VLOOKUP(A9,Payout!$B$1:$F$64,5,FALSE)</f>
        <v>44310.062860390266</v>
      </c>
      <c r="G9" s="171">
        <f t="shared" si="0"/>
        <v>29945.461339609748</v>
      </c>
      <c r="H9" s="172">
        <f t="shared" si="1"/>
        <v>0.67581626850677867</v>
      </c>
      <c r="I9" s="173">
        <f t="shared" si="2"/>
        <v>-208149.6603459187</v>
      </c>
      <c r="J9" s="172">
        <f t="shared" si="3"/>
        <v>-2.8031538742530171</v>
      </c>
      <c r="K9" s="174">
        <f t="shared" si="4"/>
        <v>19.015647526524369</v>
      </c>
      <c r="L9" s="175" t="str">
        <f t="shared" si="5"/>
        <v>overpaid</v>
      </c>
      <c r="M9" s="172" t="str">
        <f t="shared" si="6"/>
        <v>in loss</v>
      </c>
      <c r="N9" s="174">
        <f>(VLOOKUP(A9,'Pivot Table-3'!$A$1:$B$50,2,FALSE))*1000*25</f>
        <v>386158.79645373655</v>
      </c>
      <c r="O9" s="176">
        <f t="shared" si="7"/>
        <v>3.8458789846003774E-2</v>
      </c>
      <c r="P9" s="4"/>
      <c r="Q9" s="2" t="s">
        <v>24</v>
      </c>
      <c r="R9" s="4">
        <f>R8/R7</f>
        <v>0.35416666666666669</v>
      </c>
      <c r="S9" s="2"/>
      <c r="T9" s="2"/>
      <c r="U9" s="2"/>
      <c r="V9" s="2"/>
      <c r="W9" s="2"/>
      <c r="X9" s="2"/>
      <c r="Y9" s="2"/>
      <c r="Z9" s="2"/>
      <c r="AA9" s="2"/>
    </row>
    <row r="10" spans="1:27" x14ac:dyDescent="0.25">
      <c r="A10" s="67" t="s">
        <v>25</v>
      </c>
      <c r="B10" s="161">
        <f>VLOOKUP(A10,Table2[#All],2,FALSE)</f>
        <v>51176.910857713417</v>
      </c>
      <c r="C10" s="162">
        <f>VLOOKUP(A10,payouts_table_AMD!$B$2:$E$52,3,FALSE)</f>
        <v>10</v>
      </c>
      <c r="D10" s="161">
        <f>VLOOKUP(A10,payouts_table_AMD!$B$2:$E$52,4,FALSE)</f>
        <v>13628.4</v>
      </c>
      <c r="E10" s="163">
        <f>VLOOKUP(A10,Payout!$B$1:$F$64,4,FALSE)</f>
        <v>136284</v>
      </c>
      <c r="F10" s="163">
        <f>VLOOKUP(A10,Payout!$B$1:$F$64,5,FALSE)</f>
        <v>61680.103608114805</v>
      </c>
      <c r="G10" s="163">
        <f t="shared" si="0"/>
        <v>74603.896391885195</v>
      </c>
      <c r="H10" s="164">
        <f t="shared" si="1"/>
        <v>1.2095293624323631</v>
      </c>
      <c r="I10" s="165">
        <f t="shared" si="2"/>
        <v>85107.089142286583</v>
      </c>
      <c r="J10" s="164">
        <f t="shared" si="3"/>
        <v>0.62448335198766236</v>
      </c>
      <c r="K10" s="166">
        <f t="shared" si="4"/>
        <v>3.7551664801233762</v>
      </c>
      <c r="L10" s="167" t="str">
        <f t="shared" si="5"/>
        <v>overpaid</v>
      </c>
      <c r="M10" s="164" t="str">
        <f t="shared" si="6"/>
        <v>profitable</v>
      </c>
      <c r="N10" s="166">
        <f>(VLOOKUP(A10,'Pivot Table-3'!$A$1:$B$50,2,FALSE))*1000*25</f>
        <v>19755.595508056947</v>
      </c>
      <c r="O10" s="168">
        <f t="shared" si="7"/>
        <v>0.68985012344689445</v>
      </c>
      <c r="P10" s="4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5">
      <c r="A11" s="63" t="s">
        <v>26</v>
      </c>
      <c r="B11" s="169">
        <f>VLOOKUP(A11,Table2[#All],2,FALSE)</f>
        <v>154718.66332843876</v>
      </c>
      <c r="C11" s="170">
        <f>VLOOKUP(A11,payouts_table_AMD!$B$2:$E$52,3,FALSE)</f>
        <v>3</v>
      </c>
      <c r="D11" s="169">
        <f>VLOOKUP(A11,payouts_table_AMD!$B$2:$E$52,4,FALSE)</f>
        <v>34688.666666666664</v>
      </c>
      <c r="E11" s="171">
        <f>VLOOKUP(A11,Payout!$B$1:$F$64,4,FALSE)</f>
        <v>104066.15040000004</v>
      </c>
      <c r="F11" s="171">
        <f>VLOOKUP(A11,Payout!$B$1:$F$64,5,FALSE)</f>
        <v>91629.307316704435</v>
      </c>
      <c r="G11" s="171">
        <f t="shared" si="0"/>
        <v>12436.843083295607</v>
      </c>
      <c r="H11" s="172">
        <f t="shared" si="1"/>
        <v>0.13572996945518015</v>
      </c>
      <c r="I11" s="173">
        <f t="shared" si="2"/>
        <v>-50652.512928438722</v>
      </c>
      <c r="J11" s="172">
        <f t="shared" si="3"/>
        <v>-0.48673380089246293</v>
      </c>
      <c r="K11" s="174">
        <f t="shared" si="4"/>
        <v>4.4602078487240435</v>
      </c>
      <c r="L11" s="175" t="str">
        <f t="shared" si="5"/>
        <v>overpaid</v>
      </c>
      <c r="M11" s="172" t="str">
        <f t="shared" si="6"/>
        <v>in loss</v>
      </c>
      <c r="N11" s="174">
        <f>(VLOOKUP(A11,'Pivot Table-3'!$A$1:$B$50,2,FALSE))*1000*25</f>
        <v>278479.74444798031</v>
      </c>
      <c r="O11" s="176">
        <f t="shared" si="7"/>
        <v>0.12456441575464913</v>
      </c>
      <c r="P11" s="4"/>
      <c r="Q11" s="2" t="s">
        <v>300</v>
      </c>
      <c r="R11" s="5">
        <f>COUNTIF($M$2:$M$49,"in loss")</f>
        <v>31</v>
      </c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5">
      <c r="A12" s="67" t="s">
        <v>27</v>
      </c>
      <c r="B12" s="161">
        <f>VLOOKUP(A12,Table2[#All],2,FALSE)</f>
        <v>62706.369224623049</v>
      </c>
      <c r="C12" s="162">
        <f>VLOOKUP(A12,payouts_table_AMD!$B$2:$E$52,3,FALSE)</f>
        <v>5</v>
      </c>
      <c r="D12" s="161">
        <f>VLOOKUP(A12,payouts_table_AMD!$B$2:$E$52,4,FALSE)</f>
        <v>162.47999999999999</v>
      </c>
      <c r="E12" s="163">
        <f>VLOOKUP(A12,Payout!$B$1:$F$64,4,FALSE)</f>
        <v>812.4</v>
      </c>
      <c r="F12" s="163">
        <f>VLOOKUP(A12,Payout!$B$1:$F$64,5,FALSE)</f>
        <v>744.30830420710652</v>
      </c>
      <c r="G12" s="163">
        <f t="shared" si="0"/>
        <v>68.091695792893461</v>
      </c>
      <c r="H12" s="164">
        <f t="shared" si="1"/>
        <v>9.1483187018086387E-2</v>
      </c>
      <c r="I12" s="165">
        <f t="shared" si="2"/>
        <v>-61893.969224623048</v>
      </c>
      <c r="J12" s="164">
        <f t="shared" si="3"/>
        <v>-76.186569700422268</v>
      </c>
      <c r="K12" s="166">
        <f t="shared" si="4"/>
        <v>385.93284850211137</v>
      </c>
      <c r="L12" s="167" t="str">
        <f t="shared" si="5"/>
        <v>overpaid</v>
      </c>
      <c r="M12" s="164" t="str">
        <f t="shared" si="6"/>
        <v>in loss</v>
      </c>
      <c r="N12" s="166">
        <f>(VLOOKUP(A12,'Pivot Table-3'!$A$1:$B$50,2,FALSE))*1000*25</f>
        <v>26065.876402589303</v>
      </c>
      <c r="O12" s="168">
        <f t="shared" si="7"/>
        <v>6.2334370611785653E-3</v>
      </c>
      <c r="P12" s="4"/>
      <c r="Q12" s="2" t="s">
        <v>24</v>
      </c>
      <c r="R12" s="4">
        <f>R11/R7</f>
        <v>0.64583333333333337</v>
      </c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63" t="s">
        <v>28</v>
      </c>
      <c r="B13" s="169">
        <f>VLOOKUP(A13,Table2[#All],2,FALSE)</f>
        <v>44428.571428571428</v>
      </c>
      <c r="C13" s="170">
        <f>VLOOKUP(A13,payouts_table_AMD!$B$2:$E$52,3,FALSE)</f>
        <v>5</v>
      </c>
      <c r="D13" s="169">
        <f>VLOOKUP(A13,payouts_table_AMD!$B$2:$E$52,4,FALSE)</f>
        <v>6016.6</v>
      </c>
      <c r="E13" s="171">
        <f>VLOOKUP(A13,Payout!$B$1:$F$64,4,FALSE)</f>
        <v>30083.262999999999</v>
      </c>
      <c r="F13" s="171">
        <f>VLOOKUP(A13,Payout!$B$1:$F$64,5,FALSE)</f>
        <v>6448.8527245637169</v>
      </c>
      <c r="G13" s="171">
        <f t="shared" si="0"/>
        <v>23634.410275436283</v>
      </c>
      <c r="H13" s="172">
        <f t="shared" si="1"/>
        <v>3.6649015390617743</v>
      </c>
      <c r="I13" s="173">
        <f t="shared" si="2"/>
        <v>-14345.308428571429</v>
      </c>
      <c r="J13" s="172">
        <f t="shared" si="3"/>
        <v>-0.47685347259608868</v>
      </c>
      <c r="K13" s="174">
        <f t="shared" si="4"/>
        <v>7.3843319197838353</v>
      </c>
      <c r="L13" s="175" t="str">
        <f t="shared" si="5"/>
        <v>overpaid</v>
      </c>
      <c r="M13" s="172" t="str">
        <f t="shared" si="6"/>
        <v>in loss</v>
      </c>
      <c r="N13" s="174">
        <f>(VLOOKUP(A13,'Pivot Table-3'!$A$1:$B$50,2,FALSE))*1000*25</f>
        <v>18750</v>
      </c>
      <c r="O13" s="176">
        <f t="shared" si="7"/>
        <v>0.32088533333333336</v>
      </c>
      <c r="P13" s="4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A14" s="67" t="s">
        <v>29</v>
      </c>
      <c r="B14" s="161">
        <f>VLOOKUP(A14,Table2[#All],2,FALSE)</f>
        <v>47185.001919257047</v>
      </c>
      <c r="C14" s="162">
        <f>VLOOKUP(A14,payouts_table_AMD!$B$2:$E$52,3,FALSE)</f>
        <v>7</v>
      </c>
      <c r="D14" s="161">
        <f>VLOOKUP(A14,payouts_table_AMD!$B$2:$E$52,4,FALSE)</f>
        <v>4040.4285714285716</v>
      </c>
      <c r="E14" s="163">
        <f>VLOOKUP(A14,Payout!$B$1:$F$64,4,FALSE)</f>
        <v>28283.360000000001</v>
      </c>
      <c r="F14" s="163">
        <f>VLOOKUP(A14,Payout!$B$1:$F$64,5,FALSE)</f>
        <v>6489.8369612275828</v>
      </c>
      <c r="G14" s="163">
        <f t="shared" si="0"/>
        <v>21793.523038772419</v>
      </c>
      <c r="H14" s="164">
        <f t="shared" si="1"/>
        <v>3.3581002371822408</v>
      </c>
      <c r="I14" s="165">
        <f t="shared" si="2"/>
        <v>-18901.641919257047</v>
      </c>
      <c r="J14" s="164">
        <f t="shared" si="3"/>
        <v>-0.66829548961852647</v>
      </c>
      <c r="K14" s="166">
        <f t="shared" si="4"/>
        <v>11.678217071555327</v>
      </c>
      <c r="L14" s="167" t="str">
        <f t="shared" si="5"/>
        <v>overpaid</v>
      </c>
      <c r="M14" s="164" t="str">
        <f t="shared" si="6"/>
        <v>in loss</v>
      </c>
      <c r="N14" s="166">
        <f>(VLOOKUP(A14,'Pivot Table-3'!$A$1:$B$50,2,FALSE))*1000*25</f>
        <v>28665.726620506659</v>
      </c>
      <c r="O14" s="168">
        <f t="shared" si="7"/>
        <v>0.14094980479365077</v>
      </c>
      <c r="P14" s="4"/>
      <c r="Q14" s="2" t="s">
        <v>301</v>
      </c>
      <c r="R14" s="123">
        <f>SUM(B2:B49)</f>
        <v>4128675.2089405083</v>
      </c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5">
      <c r="A15" s="63" t="s">
        <v>30</v>
      </c>
      <c r="B15" s="169">
        <f>VLOOKUP(A15,Table2[#All],2,FALSE)</f>
        <v>65814.976221147692</v>
      </c>
      <c r="C15" s="170">
        <f>VLOOKUP(A15,payouts_table_AMD!$B$2:$E$52,3,FALSE)</f>
        <v>19</v>
      </c>
      <c r="D15" s="169">
        <f>VLOOKUP(A15,payouts_table_AMD!$B$2:$E$52,4,FALSE)</f>
        <v>3100</v>
      </c>
      <c r="E15" s="171">
        <f>VLOOKUP(A15,Payout!$B$1:$F$64,4,FALSE)</f>
        <v>58899.704799999992</v>
      </c>
      <c r="F15" s="171">
        <f>VLOOKUP(A15,Payout!$B$1:$F$64,5,FALSE)</f>
        <v>17011.759078401352</v>
      </c>
      <c r="G15" s="171">
        <f t="shared" si="0"/>
        <v>41887.94572159864</v>
      </c>
      <c r="H15" s="172">
        <f t="shared" si="1"/>
        <v>2.4622936128210782</v>
      </c>
      <c r="I15" s="173">
        <f t="shared" si="2"/>
        <v>-6915.2714211476996</v>
      </c>
      <c r="J15" s="172">
        <f t="shared" si="3"/>
        <v>-0.11740757351211208</v>
      </c>
      <c r="K15" s="174">
        <f t="shared" si="4"/>
        <v>21.230637490692803</v>
      </c>
      <c r="L15" s="175" t="str">
        <f t="shared" si="5"/>
        <v>overpaid</v>
      </c>
      <c r="M15" s="172" t="str">
        <f t="shared" si="6"/>
        <v>in loss</v>
      </c>
      <c r="N15" s="174">
        <f>(VLOOKUP(A15,'Pivot Table-3'!$A$1:$B$50,2,FALSE))*1000*25</f>
        <v>34735.621574165052</v>
      </c>
      <c r="O15" s="176">
        <f t="shared" si="7"/>
        <v>8.9245560019160688E-2</v>
      </c>
      <c r="P15" s="4"/>
      <c r="Q15" s="2" t="s">
        <v>302</v>
      </c>
      <c r="R15" s="122">
        <f>SUM('[1]BP Profitability_Sample'!$B$2:$B$49)</f>
        <v>5033574.1696588639</v>
      </c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5">
      <c r="A16" s="67" t="s">
        <v>31</v>
      </c>
      <c r="B16" s="161">
        <f>VLOOKUP(A16,Table2[#All],2,FALSE)</f>
        <v>62633.001229891568</v>
      </c>
      <c r="C16" s="162">
        <f>VLOOKUP(A16,payouts_table_AMD!$B$2:$E$52,3,FALSE)</f>
        <v>7</v>
      </c>
      <c r="D16" s="161">
        <f>VLOOKUP(A16,payouts_table_AMD!$B$2:$E$52,4,FALSE)</f>
        <v>2739.4285714285716</v>
      </c>
      <c r="E16" s="163">
        <f>VLOOKUP(A16,Payout!$B$1:$F$64,4,FALSE)</f>
        <v>19176.379000000001</v>
      </c>
      <c r="F16" s="163">
        <f>VLOOKUP(A16,Payout!$B$1:$F$64,5,FALSE)</f>
        <v>5958.8762529929299</v>
      </c>
      <c r="G16" s="163">
        <f t="shared" si="0"/>
        <v>13217.502747007071</v>
      </c>
      <c r="H16" s="164">
        <f t="shared" si="1"/>
        <v>2.2181200256287239</v>
      </c>
      <c r="I16" s="165">
        <f t="shared" si="2"/>
        <v>-43456.622229891567</v>
      </c>
      <c r="J16" s="164">
        <f t="shared" si="3"/>
        <v>-2.2661537003357917</v>
      </c>
      <c r="K16" s="166">
        <f t="shared" si="4"/>
        <v>22.863527774783112</v>
      </c>
      <c r="L16" s="167" t="str">
        <f t="shared" si="5"/>
        <v>overpaid</v>
      </c>
      <c r="M16" s="164" t="str">
        <f t="shared" si="6"/>
        <v>in loss</v>
      </c>
      <c r="N16" s="166">
        <f>(VLOOKUP(A16,'Pivot Table-3'!$A$1:$B$50,2,FALSE))*1000*25</f>
        <v>52927.392053348376</v>
      </c>
      <c r="O16" s="168">
        <f t="shared" si="7"/>
        <v>5.1758238317643791E-2</v>
      </c>
      <c r="P16" s="4"/>
      <c r="Q16" s="2" t="s">
        <v>303</v>
      </c>
      <c r="R16" s="122">
        <f>R15-R14</f>
        <v>904898.96071835561</v>
      </c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5">
      <c r="A17" s="63" t="s">
        <v>32</v>
      </c>
      <c r="B17" s="169">
        <f>VLOOKUP(A17,Table2[#All],2,FALSE)</f>
        <v>92974.742564298867</v>
      </c>
      <c r="C17" s="170">
        <f>VLOOKUP(A17,payouts_table_AMD!$B$2:$E$52,3,FALSE)</f>
        <v>5</v>
      </c>
      <c r="D17" s="169">
        <f>VLOOKUP(A17,payouts_table_AMD!$B$2:$E$52,4,FALSE)</f>
        <v>30367.4</v>
      </c>
      <c r="E17" s="171">
        <f>VLOOKUP(A17,Payout!$B$1:$F$64,4,FALSE)</f>
        <v>151837.35529599997</v>
      </c>
      <c r="F17" s="171">
        <f>VLOOKUP(A17,Payout!$B$1:$F$64,5,FALSE)</f>
        <v>32793.876250880952</v>
      </c>
      <c r="G17" s="171">
        <f t="shared" si="0"/>
        <v>119043.47904511902</v>
      </c>
      <c r="H17" s="172">
        <f t="shared" si="1"/>
        <v>3.6300520906527822</v>
      </c>
      <c r="I17" s="173">
        <f t="shared" si="2"/>
        <v>58862.612731701098</v>
      </c>
      <c r="J17" s="172">
        <f t="shared" si="3"/>
        <v>0.38766884879515406</v>
      </c>
      <c r="K17" s="174">
        <f t="shared" si="4"/>
        <v>3.0616629202466745</v>
      </c>
      <c r="L17" s="175" t="str">
        <f t="shared" si="5"/>
        <v>overpaid</v>
      </c>
      <c r="M17" s="172" t="str">
        <f t="shared" si="6"/>
        <v>profitable</v>
      </c>
      <c r="N17" s="174">
        <f>(VLOOKUP(A17,'Pivot Table-3'!$A$1:$B$50,2,FALSE))*1000*25</f>
        <v>164750.67095612199</v>
      </c>
      <c r="O17" s="176">
        <f t="shared" si="7"/>
        <v>0.18432337679576274</v>
      </c>
      <c r="P17" s="4"/>
      <c r="Q17" s="2" t="s">
        <v>24</v>
      </c>
      <c r="R17" s="4">
        <f>R16/R14</f>
        <v>0.21917416966072487</v>
      </c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5">
      <c r="A18" s="67" t="s">
        <v>33</v>
      </c>
      <c r="B18" s="161">
        <f>VLOOKUP(A18,Table2[#All],2,FALSE)</f>
        <v>96000</v>
      </c>
      <c r="C18" s="162">
        <f>VLOOKUP(A18,payouts_table_AMD!$B$2:$E$52,3,FALSE)</f>
        <v>5</v>
      </c>
      <c r="D18" s="161">
        <f>VLOOKUP(A18,payouts_table_AMD!$B$2:$E$52,4,FALSE)</f>
        <v>8948.2000000000007</v>
      </c>
      <c r="E18" s="163">
        <f>VLOOKUP(A18,Payout!$B$1:$F$64,4,FALSE)</f>
        <v>44740.833599999998</v>
      </c>
      <c r="F18" s="163">
        <f>VLOOKUP(A18,Payout!$B$1:$F$64,5,FALSE)</f>
        <v>7103.2057058461787</v>
      </c>
      <c r="G18" s="163">
        <f t="shared" si="0"/>
        <v>37637.627894153818</v>
      </c>
      <c r="H18" s="164">
        <f t="shared" si="1"/>
        <v>5.2986819547090942</v>
      </c>
      <c r="I18" s="165">
        <f t="shared" si="2"/>
        <v>-51259.166400000002</v>
      </c>
      <c r="J18" s="164">
        <f t="shared" si="3"/>
        <v>-1.1456909108640301</v>
      </c>
      <c r="K18" s="166">
        <f t="shared" si="4"/>
        <v>10.728414653226347</v>
      </c>
      <c r="L18" s="167" t="str">
        <f t="shared" si="5"/>
        <v>overpaid</v>
      </c>
      <c r="M18" s="164" t="str">
        <f t="shared" si="6"/>
        <v>in loss</v>
      </c>
      <c r="N18" s="166">
        <f>(VLOOKUP(A18,'Pivot Table-3'!$A$1:$B$50,2,FALSE))*1000*25</f>
        <v>158611.05550326366</v>
      </c>
      <c r="O18" s="168">
        <f t="shared" si="7"/>
        <v>5.6415991758001244E-2</v>
      </c>
      <c r="P18" s="4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5">
      <c r="A19" s="63" t="s">
        <v>34</v>
      </c>
      <c r="B19" s="169">
        <f>VLOOKUP(A19,Table2[#All],2,FALSE)</f>
        <v>123141.96749020558</v>
      </c>
      <c r="C19" s="170">
        <f>VLOOKUP(A19,payouts_table_AMD!$B$2:$E$52,3,FALSE)</f>
        <v>4</v>
      </c>
      <c r="D19" s="169">
        <f>VLOOKUP(A19,payouts_table_AMD!$B$2:$E$52,4,FALSE)</f>
        <v>66343</v>
      </c>
      <c r="E19" s="171">
        <f>VLOOKUP(A19,Payout!$B$1:$F$64,4,FALSE)</f>
        <v>265372.02880000015</v>
      </c>
      <c r="F19" s="171">
        <f>VLOOKUP(A19,Payout!$B$1:$F$64,5,FALSE)</f>
        <v>171703.4978070069</v>
      </c>
      <c r="G19" s="171">
        <f t="shared" si="0"/>
        <v>93668.530992993241</v>
      </c>
      <c r="H19" s="172">
        <f t="shared" si="1"/>
        <v>0.54552488556916745</v>
      </c>
      <c r="I19" s="173">
        <f t="shared" si="2"/>
        <v>142230.06130979455</v>
      </c>
      <c r="J19" s="172">
        <f t="shared" si="3"/>
        <v>0.53596478103947953</v>
      </c>
      <c r="K19" s="174">
        <f t="shared" si="4"/>
        <v>1.8561410772832942</v>
      </c>
      <c r="L19" s="175" t="str">
        <f t="shared" si="5"/>
        <v>overpaid</v>
      </c>
      <c r="M19" s="172" t="str">
        <f t="shared" si="6"/>
        <v>profitable</v>
      </c>
      <c r="N19" s="174">
        <f>(VLOOKUP(A19,'Pivot Table-3'!$A$1:$B$50,2,FALSE))*1000*25</f>
        <v>95335.36169933778</v>
      </c>
      <c r="O19" s="176">
        <f t="shared" si="7"/>
        <v>0.69589078823897543</v>
      </c>
      <c r="P19" s="4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5">
      <c r="A20" s="67" t="s">
        <v>35</v>
      </c>
      <c r="B20" s="161">
        <f>VLOOKUP(A20,Table2[#All],2,FALSE)</f>
        <v>53114.804651662824</v>
      </c>
      <c r="C20" s="162">
        <f>VLOOKUP(A20,payouts_table_AMD!$B$2:$E$52,3,FALSE)</f>
        <v>7</v>
      </c>
      <c r="D20" s="161">
        <f>VLOOKUP(A20,payouts_table_AMD!$B$2:$E$52,4,FALSE)</f>
        <v>11221.857142857143</v>
      </c>
      <c r="E20" s="163">
        <f>VLOOKUP(A20,Payout!$B$1:$F$64,4,FALSE)</f>
        <v>78553.013183999996</v>
      </c>
      <c r="F20" s="163">
        <f>VLOOKUP(A20,Payout!$B$1:$F$64,5,FALSE)</f>
        <v>11737.89370301184</v>
      </c>
      <c r="G20" s="163">
        <f t="shared" si="0"/>
        <v>66815.119480988156</v>
      </c>
      <c r="H20" s="164">
        <f t="shared" si="1"/>
        <v>5.692258012512414</v>
      </c>
      <c r="I20" s="165">
        <f t="shared" si="2"/>
        <v>25438.208532337172</v>
      </c>
      <c r="J20" s="164">
        <f t="shared" si="3"/>
        <v>0.32383491735385822</v>
      </c>
      <c r="K20" s="166">
        <f t="shared" si="4"/>
        <v>4.7331563729156079</v>
      </c>
      <c r="L20" s="167" t="str">
        <f t="shared" si="5"/>
        <v>overpaid</v>
      </c>
      <c r="M20" s="164" t="str">
        <f t="shared" si="6"/>
        <v>profitable</v>
      </c>
      <c r="N20" s="166">
        <f>(VLOOKUP(A20,'Pivot Table-3'!$A$1:$B$50,2,FALSE))*1000*25</f>
        <v>33587.205954418576</v>
      </c>
      <c r="O20" s="168">
        <f t="shared" si="7"/>
        <v>0.33411106473358937</v>
      </c>
      <c r="P20" s="4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5">
      <c r="A21" s="63" t="s">
        <v>36</v>
      </c>
      <c r="B21" s="169">
        <f>VLOOKUP(A21,Table2[#All],2,FALSE)</f>
        <v>178983.61801476817</v>
      </c>
      <c r="C21" s="170">
        <f>VLOOKUP(A21,payouts_table_AMD!$B$2:$E$52,3,FALSE)</f>
        <v>5</v>
      </c>
      <c r="D21" s="169">
        <f>VLOOKUP(A21,payouts_table_AMD!$B$2:$E$52,4,FALSE)</f>
        <v>37402.800000000003</v>
      </c>
      <c r="E21" s="171">
        <f>VLOOKUP(A21,Payout!$B$1:$F$64,4,FALSE)</f>
        <v>187014.09524600004</v>
      </c>
      <c r="F21" s="171">
        <f>VLOOKUP(A21,Payout!$B$1:$F$64,5,FALSE)</f>
        <v>92225.256194979564</v>
      </c>
      <c r="G21" s="171">
        <f t="shared" si="0"/>
        <v>94788.839051020477</v>
      </c>
      <c r="H21" s="172">
        <f t="shared" si="1"/>
        <v>1.0277969719121307</v>
      </c>
      <c r="I21" s="173">
        <f t="shared" si="2"/>
        <v>8030.4772312318673</v>
      </c>
      <c r="J21" s="172">
        <f t="shared" si="3"/>
        <v>4.2940491841903704E-2</v>
      </c>
      <c r="K21" s="174">
        <f t="shared" si="4"/>
        <v>4.7852999779366296</v>
      </c>
      <c r="L21" s="175" t="str">
        <f t="shared" si="5"/>
        <v>overpaid</v>
      </c>
      <c r="M21" s="172" t="str">
        <f t="shared" si="6"/>
        <v>profitable</v>
      </c>
      <c r="N21" s="174">
        <f>(VLOOKUP(A21,'Pivot Table-3'!$A$1:$B$50,2,FALSE))*1000*25</f>
        <v>134210.17708346841</v>
      </c>
      <c r="O21" s="176">
        <f t="shared" si="7"/>
        <v>0.27868825459293101</v>
      </c>
      <c r="P21" s="4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67" t="s">
        <v>37</v>
      </c>
      <c r="B22" s="161">
        <f>VLOOKUP(A22,Table2[#All],2,FALSE)</f>
        <v>113429.47923679493</v>
      </c>
      <c r="C22" s="162">
        <f>VLOOKUP(A22,payouts_table_AMD!$B$2:$E$52,3,FALSE)</f>
        <v>10</v>
      </c>
      <c r="D22" s="161">
        <f>VLOOKUP(A22,payouts_table_AMD!$B$2:$E$52,4,FALSE)</f>
        <v>17853.400000000001</v>
      </c>
      <c r="E22" s="163">
        <f>VLOOKUP(A22,Payout!$B$1:$F$64,4,FALSE)</f>
        <v>178534</v>
      </c>
      <c r="F22" s="163">
        <f>VLOOKUP(A22,Payout!$B$1:$F$64,5,FALSE)</f>
        <v>79369.259316286232</v>
      </c>
      <c r="G22" s="163">
        <f t="shared" si="0"/>
        <v>99164.740683713768</v>
      </c>
      <c r="H22" s="164">
        <f t="shared" si="1"/>
        <v>1.2494099294607577</v>
      </c>
      <c r="I22" s="165">
        <f t="shared" si="2"/>
        <v>65104.520763205073</v>
      </c>
      <c r="J22" s="164">
        <f t="shared" si="3"/>
        <v>0.36466174937661777</v>
      </c>
      <c r="K22" s="166">
        <f t="shared" si="4"/>
        <v>6.3533825062338218</v>
      </c>
      <c r="L22" s="167" t="str">
        <f t="shared" si="5"/>
        <v>overpaid</v>
      </c>
      <c r="M22" s="164" t="str">
        <f t="shared" si="6"/>
        <v>profitable</v>
      </c>
      <c r="N22" s="166">
        <f>(VLOOKUP(A22,'Pivot Table-3'!$A$1:$B$50,2,FALSE))*1000*25</f>
        <v>61384.370631802711</v>
      </c>
      <c r="O22" s="168">
        <f t="shared" si="7"/>
        <v>0.29084602181699831</v>
      </c>
      <c r="P22" s="4"/>
      <c r="Q22" s="124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5">
      <c r="A23" s="63" t="s">
        <v>38</v>
      </c>
      <c r="B23" s="169">
        <f>VLOOKUP(A23,Table2[#All],2,FALSE)</f>
        <v>57264.323133455633</v>
      </c>
      <c r="C23" s="170">
        <f>VLOOKUP(A23,payouts_table_AMD!$B$2:$E$52,3,FALSE)</f>
        <v>5</v>
      </c>
      <c r="D23" s="169">
        <f>VLOOKUP(A23,payouts_table_AMD!$B$2:$E$52,4,FALSE)</f>
        <v>30552.2</v>
      </c>
      <c r="E23" s="171">
        <f>VLOOKUP(A23,Payout!$B$1:$F$64,4,FALSE)</f>
        <v>152761</v>
      </c>
      <c r="F23" s="171">
        <f>VLOOKUP(A23,Payout!$B$1:$F$64,5,FALSE)</f>
        <v>86832.960867592148</v>
      </c>
      <c r="G23" s="171">
        <f t="shared" si="0"/>
        <v>65928.039132407852</v>
      </c>
      <c r="H23" s="172">
        <f t="shared" si="1"/>
        <v>0.75925130818628528</v>
      </c>
      <c r="I23" s="173">
        <f t="shared" si="2"/>
        <v>95496.676866544367</v>
      </c>
      <c r="J23" s="172">
        <f t="shared" si="3"/>
        <v>0.62513780916951556</v>
      </c>
      <c r="K23" s="174">
        <f t="shared" si="4"/>
        <v>1.8743109541524221</v>
      </c>
      <c r="L23" s="175" t="str">
        <f t="shared" si="5"/>
        <v>overpaid</v>
      </c>
      <c r="M23" s="172" t="str">
        <f t="shared" si="6"/>
        <v>profitable</v>
      </c>
      <c r="N23" s="174">
        <f>(VLOOKUP(A23,'Pivot Table-3'!$A$1:$B$50,2,FALSE))*1000*25</f>
        <v>36987.085258650302</v>
      </c>
      <c r="O23" s="176">
        <f t="shared" si="7"/>
        <v>0.8260234561969072</v>
      </c>
      <c r="P23" s="4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5">
      <c r="A24" s="67" t="s">
        <v>39</v>
      </c>
      <c r="B24" s="161">
        <f>VLOOKUP(A24,Table2[#All],2,FALSE)</f>
        <v>53600.862449123269</v>
      </c>
      <c r="C24" s="162">
        <f>VLOOKUP(A24,payouts_table_AMD!$B$2:$E$52,3,FALSE)</f>
        <v>4</v>
      </c>
      <c r="D24" s="161">
        <f>VLOOKUP(A24,payouts_table_AMD!$B$2:$E$52,4,FALSE)</f>
        <v>15837.5</v>
      </c>
      <c r="E24" s="163">
        <f>VLOOKUP(A24,Payout!$B$1:$F$64,4,FALSE)</f>
        <v>63350.243199999997</v>
      </c>
      <c r="F24" s="163">
        <f>VLOOKUP(A24,Payout!$B$1:$F$64,5,FALSE)</f>
        <v>23340.920231854023</v>
      </c>
      <c r="G24" s="163">
        <f t="shared" si="0"/>
        <v>40009.322968145978</v>
      </c>
      <c r="H24" s="164">
        <f t="shared" si="1"/>
        <v>1.7141279165824879</v>
      </c>
      <c r="I24" s="165">
        <f t="shared" si="2"/>
        <v>9749.3807508767277</v>
      </c>
      <c r="J24" s="164">
        <f t="shared" si="3"/>
        <v>0.15389650076160605</v>
      </c>
      <c r="K24" s="166">
        <f t="shared" si="4"/>
        <v>3.3844269896841843</v>
      </c>
      <c r="L24" s="167" t="str">
        <f t="shared" si="5"/>
        <v>overpaid</v>
      </c>
      <c r="M24" s="164" t="str">
        <f t="shared" si="6"/>
        <v>profitable</v>
      </c>
      <c r="N24" s="166">
        <f>(VLOOKUP(A24,'Pivot Table-3'!$A$1:$B$50,2,FALSE))*1000*25</f>
        <v>35513.424912241244</v>
      </c>
      <c r="O24" s="168">
        <f t="shared" si="7"/>
        <v>0.44595811412548153</v>
      </c>
      <c r="P24" s="4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5">
      <c r="A25" s="63" t="s">
        <v>40</v>
      </c>
      <c r="B25" s="169">
        <f>VLOOKUP(A25,Table2[#All],2,FALSE)</f>
        <v>104169.82934834032</v>
      </c>
      <c r="C25" s="170">
        <f>VLOOKUP(A25,payouts_table_AMD!$B$2:$E$52,3,FALSE)</f>
        <v>5</v>
      </c>
      <c r="D25" s="169">
        <f>VLOOKUP(A25,payouts_table_AMD!$B$2:$E$52,4,FALSE)</f>
        <v>15057.4</v>
      </c>
      <c r="E25" s="171">
        <f>VLOOKUP(A25,Payout!$B$1:$F$64,4,FALSE)</f>
        <v>75287.279999999955</v>
      </c>
      <c r="F25" s="171">
        <f>VLOOKUP(A25,Payout!$B$1:$F$64,5,FALSE)</f>
        <v>32247.584676247403</v>
      </c>
      <c r="G25" s="171">
        <f t="shared" si="0"/>
        <v>43039.695323752552</v>
      </c>
      <c r="H25" s="172">
        <f t="shared" si="1"/>
        <v>1.334664154101882</v>
      </c>
      <c r="I25" s="173">
        <f t="shared" si="2"/>
        <v>-28882.54934834037</v>
      </c>
      <c r="J25" s="172">
        <f t="shared" si="3"/>
        <v>-0.38363119704072701</v>
      </c>
      <c r="K25" s="174">
        <f t="shared" si="4"/>
        <v>6.9181817145284263</v>
      </c>
      <c r="L25" s="175" t="str">
        <f t="shared" si="5"/>
        <v>overpaid</v>
      </c>
      <c r="M25" s="172" t="str">
        <f t="shared" si="6"/>
        <v>in loss</v>
      </c>
      <c r="N25" s="174">
        <f>(VLOOKUP(A25,'Pivot Table-3'!$A$1:$B$50,2,FALSE))*1000*25</f>
        <v>77964.123419534953</v>
      </c>
      <c r="O25" s="176">
        <f t="shared" si="7"/>
        <v>0.1931324221908351</v>
      </c>
      <c r="P25" s="4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5">
      <c r="A26" s="67" t="s">
        <v>41</v>
      </c>
      <c r="B26" s="161">
        <f>VLOOKUP(A26,Table2[#All],2,FALSE)</f>
        <v>52742.42327509381</v>
      </c>
      <c r="C26" s="162">
        <f>VLOOKUP(A26,payouts_table_AMD!$B$2:$E$52,3,FALSE)</f>
        <v>5</v>
      </c>
      <c r="D26" s="161">
        <f>VLOOKUP(A26,payouts_table_AMD!$B$2:$E$52,4,FALSE)</f>
        <v>5699.6</v>
      </c>
      <c r="E26" s="163">
        <f>VLOOKUP(A26,Payout!$B$1:$F$64,4,FALSE)</f>
        <v>28498</v>
      </c>
      <c r="F26" s="163">
        <f>VLOOKUP(A26,Payout!$B$1:$F$64,5,FALSE)</f>
        <v>26302.187589666148</v>
      </c>
      <c r="G26" s="163">
        <f t="shared" si="0"/>
        <v>2195.8124103338523</v>
      </c>
      <c r="H26" s="164">
        <f t="shared" si="1"/>
        <v>8.348402211215937E-2</v>
      </c>
      <c r="I26" s="165">
        <f t="shared" si="2"/>
        <v>-24244.42327509381</v>
      </c>
      <c r="J26" s="164">
        <f t="shared" si="3"/>
        <v>-0.8507412195625591</v>
      </c>
      <c r="K26" s="166">
        <f t="shared" si="4"/>
        <v>9.2537060978127954</v>
      </c>
      <c r="L26" s="167" t="str">
        <f t="shared" si="5"/>
        <v>overpaid</v>
      </c>
      <c r="M26" s="164" t="str">
        <f t="shared" si="6"/>
        <v>in loss</v>
      </c>
      <c r="N26" s="166">
        <f>(VLOOKUP(A26,'Pivot Table-3'!$A$1:$B$50,2,FALSE))*1000*25</f>
        <v>24286.591765144924</v>
      </c>
      <c r="O26" s="168">
        <f t="shared" si="7"/>
        <v>0.23468093238919682</v>
      </c>
      <c r="P26" s="4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63" t="s">
        <v>42</v>
      </c>
      <c r="B27" s="169">
        <f>VLOOKUP(A27,Table2[#All],2,FALSE)</f>
        <v>83534.160484631124</v>
      </c>
      <c r="C27" s="170">
        <f>VLOOKUP(A27,payouts_table_AMD!$B$2:$E$52,3,FALSE)</f>
        <v>5</v>
      </c>
      <c r="D27" s="169">
        <f>VLOOKUP(A27,payouts_table_AMD!$B$2:$E$52,4,FALSE)</f>
        <v>4544.8</v>
      </c>
      <c r="E27" s="171">
        <f>VLOOKUP(A27,Payout!$B$1:$F$64,4,FALSE)</f>
        <v>22724</v>
      </c>
      <c r="F27" s="171">
        <f>VLOOKUP(A27,Payout!$B$1:$F$64,5,FALSE)</f>
        <v>4466.0790200396841</v>
      </c>
      <c r="G27" s="171">
        <f t="shared" si="0"/>
        <v>18257.920979960316</v>
      </c>
      <c r="H27" s="172">
        <f t="shared" si="1"/>
        <v>4.088132094849966</v>
      </c>
      <c r="I27" s="173">
        <f t="shared" si="2"/>
        <v>-60810.160484631124</v>
      </c>
      <c r="J27" s="172">
        <f t="shared" si="3"/>
        <v>-2.6760324099908082</v>
      </c>
      <c r="K27" s="174">
        <f t="shared" si="4"/>
        <v>18.380162049954041</v>
      </c>
      <c r="L27" s="175" t="str">
        <f t="shared" si="5"/>
        <v>overpaid</v>
      </c>
      <c r="M27" s="172" t="str">
        <f t="shared" si="6"/>
        <v>in loss</v>
      </c>
      <c r="N27" s="174">
        <f>(VLOOKUP(A27,'Pivot Table-3'!$A$1:$B$50,2,FALSE))*1000*25</f>
        <v>30769.104389812612</v>
      </c>
      <c r="O27" s="176">
        <f t="shared" si="7"/>
        <v>0.14770660667993785</v>
      </c>
      <c r="P27" s="4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67" t="s">
        <v>43</v>
      </c>
      <c r="B28" s="161">
        <f>VLOOKUP(A28,Table2[#All],2,FALSE)</f>
        <v>68500.275181934616</v>
      </c>
      <c r="C28" s="162">
        <f>VLOOKUP(A28,payouts_table_AMD!$B$2:$E$52,3,FALSE)</f>
        <v>19</v>
      </c>
      <c r="D28" s="161">
        <f>VLOOKUP(A28,payouts_table_AMD!$B$2:$E$52,4,FALSE)</f>
        <v>1351.2631578947369</v>
      </c>
      <c r="E28" s="163">
        <f>VLOOKUP(A28,Payout!$B$1:$F$64,4,FALSE)</f>
        <v>25674</v>
      </c>
      <c r="F28" s="163">
        <f>VLOOKUP(A28,Payout!$B$1:$F$64,5,FALSE)</f>
        <v>4075.4628127403316</v>
      </c>
      <c r="G28" s="163">
        <f t="shared" si="0"/>
        <v>21598.53718725967</v>
      </c>
      <c r="H28" s="164">
        <f t="shared" si="1"/>
        <v>5.2996526234371073</v>
      </c>
      <c r="I28" s="165">
        <f t="shared" si="2"/>
        <v>-42826.275181934616</v>
      </c>
      <c r="J28" s="164">
        <f t="shared" si="3"/>
        <v>-1.6680795817533152</v>
      </c>
      <c r="K28" s="166">
        <f t="shared" si="4"/>
        <v>50.693512053312986</v>
      </c>
      <c r="L28" s="167" t="str">
        <f t="shared" si="5"/>
        <v>overpaid</v>
      </c>
      <c r="M28" s="164" t="str">
        <f t="shared" si="6"/>
        <v>in loss</v>
      </c>
      <c r="N28" s="166">
        <f>(VLOOKUP(A28,'Pivot Table-3'!$A$1:$B$50,2,FALSE))*1000*25</f>
        <v>23574.620380917509</v>
      </c>
      <c r="O28" s="168">
        <f t="shared" si="7"/>
        <v>5.7318554278333898E-2</v>
      </c>
      <c r="P28" s="4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63" t="s">
        <v>44</v>
      </c>
      <c r="B29" s="169">
        <f>VLOOKUP(A29,Table2[#All],2,FALSE)</f>
        <v>57938.720654163102</v>
      </c>
      <c r="C29" s="170">
        <f>VLOOKUP(A29,payouts_table_AMD!$B$2:$E$52,3,FALSE)</f>
        <v>9</v>
      </c>
      <c r="D29" s="169">
        <f>VLOOKUP(A29,payouts_table_AMD!$B$2:$E$52,4,FALSE)</f>
        <v>9502.6666666666661</v>
      </c>
      <c r="E29" s="171">
        <f>VLOOKUP(A29,Payout!$B$1:$F$64,4,FALSE)</f>
        <v>85524.036800000002</v>
      </c>
      <c r="F29" s="171">
        <f>VLOOKUP(A29,Payout!$B$1:$F$64,5,FALSE)</f>
        <v>57868.480364122479</v>
      </c>
      <c r="G29" s="171">
        <f t="shared" si="0"/>
        <v>27655.556435877523</v>
      </c>
      <c r="H29" s="172">
        <f t="shared" si="1"/>
        <v>0.47790362321357105</v>
      </c>
      <c r="I29" s="173">
        <f t="shared" si="2"/>
        <v>27585.3161458369</v>
      </c>
      <c r="J29" s="172">
        <f t="shared" si="3"/>
        <v>0.32254459889850406</v>
      </c>
      <c r="K29" s="174">
        <f t="shared" si="4"/>
        <v>6.0971012334253301</v>
      </c>
      <c r="L29" s="175" t="str">
        <f t="shared" si="5"/>
        <v>overpaid</v>
      </c>
      <c r="M29" s="172" t="str">
        <f t="shared" si="6"/>
        <v>profitable</v>
      </c>
      <c r="N29" s="174">
        <f>(VLOOKUP(A29,'Pivot Table-3'!$A$1:$B$50,2,FALSE))*1000*25</f>
        <v>37123.850905488391</v>
      </c>
      <c r="O29" s="176">
        <f t="shared" si="7"/>
        <v>0.25597200815343735</v>
      </c>
      <c r="P29" s="4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67" t="s">
        <v>45</v>
      </c>
      <c r="B30" s="161">
        <f>VLOOKUP(A30,Table2[#All],2,FALSE)</f>
        <v>96000</v>
      </c>
      <c r="C30" s="162">
        <f>VLOOKUP(A30,payouts_table_AMD!$B$2:$E$52,3,FALSE)</f>
        <v>5</v>
      </c>
      <c r="D30" s="161">
        <f>VLOOKUP(A30,payouts_table_AMD!$B$2:$E$52,4,FALSE)</f>
        <v>25992</v>
      </c>
      <c r="E30" s="163">
        <f>VLOOKUP(A30,Payout!$B$1:$F$64,4,FALSE)</f>
        <v>129959.92400000003</v>
      </c>
      <c r="F30" s="163">
        <f>VLOOKUP(A30,Payout!$B$1:$F$64,5,FALSE)</f>
        <v>75155.343453675232</v>
      </c>
      <c r="G30" s="163">
        <f t="shared" si="0"/>
        <v>54804.580546324796</v>
      </c>
      <c r="H30" s="164">
        <f t="shared" si="1"/>
        <v>0.72921735205834859</v>
      </c>
      <c r="I30" s="165">
        <f t="shared" si="2"/>
        <v>33959.924000000028</v>
      </c>
      <c r="J30" s="164">
        <f t="shared" si="3"/>
        <v>0.26131074068649057</v>
      </c>
      <c r="K30" s="166">
        <f t="shared" si="4"/>
        <v>3.6934441366574329</v>
      </c>
      <c r="L30" s="167" t="str">
        <f t="shared" si="5"/>
        <v>overpaid</v>
      </c>
      <c r="M30" s="164" t="str">
        <f t="shared" si="6"/>
        <v>profitable</v>
      </c>
      <c r="N30" s="166">
        <f>(VLOOKUP(A30,'Pivot Table-3'!$A$1:$B$50,2,FALSE))*1000*25</f>
        <v>164750.67095612199</v>
      </c>
      <c r="O30" s="168">
        <f t="shared" si="7"/>
        <v>0.15776567008290027</v>
      </c>
      <c r="P30" s="4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63" t="s">
        <v>46</v>
      </c>
      <c r="B31" s="169">
        <f>VLOOKUP(A31,Table2[#All],2,FALSE)</f>
        <v>52742.42327509381</v>
      </c>
      <c r="C31" s="170">
        <f>VLOOKUP(A31,payouts_table_AMD!$B$2:$E$52,3,FALSE)</f>
        <v>5</v>
      </c>
      <c r="D31" s="169">
        <f>VLOOKUP(A31,payouts_table_AMD!$B$2:$E$52,4,FALSE)</f>
        <v>4279.8</v>
      </c>
      <c r="E31" s="171">
        <f>VLOOKUP(A31,Payout!$B$1:$F$64,4,FALSE)</f>
        <v>21399</v>
      </c>
      <c r="F31" s="171">
        <f>VLOOKUP(A31,Payout!$B$1:$F$64,5,FALSE)</f>
        <v>17570.84919894964</v>
      </c>
      <c r="G31" s="171">
        <f t="shared" si="0"/>
        <v>3828.1508010503603</v>
      </c>
      <c r="H31" s="172">
        <f t="shared" si="1"/>
        <v>0.21786942439180468</v>
      </c>
      <c r="I31" s="173">
        <f t="shared" si="2"/>
        <v>-31343.42327509381</v>
      </c>
      <c r="J31" s="172">
        <f t="shared" si="3"/>
        <v>-1.4647143920320487</v>
      </c>
      <c r="K31" s="174">
        <f t="shared" si="4"/>
        <v>12.323571960160242</v>
      </c>
      <c r="L31" s="175" t="str">
        <f t="shared" si="5"/>
        <v>overpaid</v>
      </c>
      <c r="M31" s="172" t="str">
        <f t="shared" si="6"/>
        <v>in loss</v>
      </c>
      <c r="N31" s="174">
        <f>(VLOOKUP(A31,'Pivot Table-3'!$A$1:$B$50,2,FALSE))*1000*25</f>
        <v>24286.591765144924</v>
      </c>
      <c r="O31" s="176">
        <f t="shared" si="7"/>
        <v>0.17622069170455551</v>
      </c>
      <c r="P31" s="4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67" t="s">
        <v>47</v>
      </c>
      <c r="B32" s="161">
        <f>VLOOKUP(A32,Table2[#All],2,FALSE)</f>
        <v>93998.284060462553</v>
      </c>
      <c r="C32" s="162">
        <f>VLOOKUP(A32,payouts_table_AMD!$B$2:$E$52,3,FALSE)</f>
        <v>7</v>
      </c>
      <c r="D32" s="161">
        <f>VLOOKUP(A32,payouts_table_AMD!$B$2:$E$52,4,FALSE)</f>
        <v>3512.4285714285716</v>
      </c>
      <c r="E32" s="163">
        <f>VLOOKUP(A32,Payout!$B$1:$F$64,4,FALSE)</f>
        <v>24587</v>
      </c>
      <c r="F32" s="163">
        <f>VLOOKUP(A32,Payout!$B$1:$F$64,5,FALSE)</f>
        <v>6656.7476169818319</v>
      </c>
      <c r="G32" s="163">
        <f t="shared" si="0"/>
        <v>17930.252383018167</v>
      </c>
      <c r="H32" s="164">
        <f t="shared" si="1"/>
        <v>2.6935454691532588</v>
      </c>
      <c r="I32" s="165">
        <f t="shared" si="2"/>
        <v>-69411.284060462553</v>
      </c>
      <c r="J32" s="164">
        <f t="shared" si="3"/>
        <v>-2.8230887892163565</v>
      </c>
      <c r="K32" s="166">
        <f t="shared" si="4"/>
        <v>26.761621524514492</v>
      </c>
      <c r="L32" s="167" t="str">
        <f t="shared" si="5"/>
        <v>overpaid</v>
      </c>
      <c r="M32" s="164" t="str">
        <f t="shared" si="6"/>
        <v>in loss</v>
      </c>
      <c r="N32" s="166">
        <f>(VLOOKUP(A32,'Pivot Table-3'!$A$1:$B$50,2,FALSE))*1000*25</f>
        <v>52415.398159134915</v>
      </c>
      <c r="O32" s="168">
        <f t="shared" si="7"/>
        <v>6.7011387775109899E-2</v>
      </c>
      <c r="P32" s="4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63" t="s">
        <v>48</v>
      </c>
      <c r="B33" s="169">
        <f>VLOOKUP(A33,Table2[#All],2,FALSE)</f>
        <v>56615.46394439719</v>
      </c>
      <c r="C33" s="170">
        <f>VLOOKUP(A33,payouts_table_AMD!$B$2:$E$52,3,FALSE)</f>
        <v>9</v>
      </c>
      <c r="D33" s="169">
        <f>VLOOKUP(A33,payouts_table_AMD!$B$2:$E$52,4,FALSE)</f>
        <v>7681.4444444444443</v>
      </c>
      <c r="E33" s="171">
        <f>VLOOKUP(A33,Payout!$B$1:$F$64,4,FALSE)</f>
        <v>69132.501231999981</v>
      </c>
      <c r="F33" s="171">
        <f>VLOOKUP(A33,Payout!$B$1:$F$64,5,FALSE)</f>
        <v>52203.104997488474</v>
      </c>
      <c r="G33" s="171">
        <f t="shared" si="0"/>
        <v>16929.396234511507</v>
      </c>
      <c r="H33" s="172">
        <f t="shared" si="1"/>
        <v>0.32429864536460029</v>
      </c>
      <c r="I33" s="173">
        <f t="shared" si="2"/>
        <v>12517.03728760279</v>
      </c>
      <c r="J33" s="172">
        <f t="shared" si="3"/>
        <v>0.18105864918147815</v>
      </c>
      <c r="K33" s="174">
        <f t="shared" si="4"/>
        <v>7.3704189822454502</v>
      </c>
      <c r="L33" s="175" t="str">
        <f t="shared" si="5"/>
        <v>overpaid</v>
      </c>
      <c r="M33" s="172" t="str">
        <f t="shared" si="6"/>
        <v>profitable</v>
      </c>
      <c r="N33" s="174">
        <f>(VLOOKUP(A33,'Pivot Table-3'!$A$1:$B$50,2,FALSE))*1000*25</f>
        <v>26065.876402589303</v>
      </c>
      <c r="O33" s="176">
        <f t="shared" si="7"/>
        <v>0.2946935037135906</v>
      </c>
      <c r="P33" s="4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5">
      <c r="A34" s="67" t="s">
        <v>49</v>
      </c>
      <c r="B34" s="161">
        <f>VLOOKUP(A34,Table2[#All],2,FALSE)</f>
        <v>56169.829348340325</v>
      </c>
      <c r="C34" s="162">
        <f>VLOOKUP(A34,payouts_table_AMD!$B$2:$E$52,3,FALSE)</f>
        <v>14</v>
      </c>
      <c r="D34" s="161">
        <f>VLOOKUP(A34,payouts_table_AMD!$B$2:$E$52,4,FALSE)</f>
        <v>17967.571428571428</v>
      </c>
      <c r="E34" s="163">
        <f>VLOOKUP(A34,Payout!$B$1:$F$64,4,FALSE)</f>
        <v>251545.7062500001</v>
      </c>
      <c r="F34" s="163">
        <f>VLOOKUP(A34,Payout!$B$1:$F$64,5,FALSE)</f>
        <v>19214.75062867544</v>
      </c>
      <c r="G34" s="163">
        <f t="shared" si="0"/>
        <v>232330.95562132465</v>
      </c>
      <c r="H34" s="164">
        <f t="shared" si="1"/>
        <v>12.09128133438286</v>
      </c>
      <c r="I34" s="165">
        <f t="shared" si="2"/>
        <v>195375.87690165977</v>
      </c>
      <c r="J34" s="164">
        <f t="shared" si="3"/>
        <v>0.7767012993952056</v>
      </c>
      <c r="K34" s="166">
        <f t="shared" si="4"/>
        <v>3.1261781577793508</v>
      </c>
      <c r="L34" s="167" t="str">
        <f t="shared" si="5"/>
        <v>overpaid</v>
      </c>
      <c r="M34" s="164" t="str">
        <f t="shared" si="6"/>
        <v>profitable</v>
      </c>
      <c r="N34" s="166">
        <f>(VLOOKUP(A34,'Pivot Table-3'!$A$1:$B$50,2,FALSE))*1000*25</f>
        <v>26910.709592494499</v>
      </c>
      <c r="O34" s="168">
        <f t="shared" si="7"/>
        <v>0.66767363999880003</v>
      </c>
      <c r="P34" s="4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5">
      <c r="A35" s="63" t="s">
        <v>50</v>
      </c>
      <c r="B35" s="169">
        <f>VLOOKUP(A35,Table2[#All],2,FALSE)</f>
        <v>96000</v>
      </c>
      <c r="C35" s="170">
        <f>VLOOKUP(A35,payouts_table_AMD!$B$2:$E$52,3,FALSE)</f>
        <v>5</v>
      </c>
      <c r="D35" s="169">
        <f>VLOOKUP(A35,payouts_table_AMD!$B$2:$E$52,4,FALSE)</f>
        <v>5234.2</v>
      </c>
      <c r="E35" s="171">
        <f>VLOOKUP(A35,Payout!$B$1:$F$64,4,FALSE)</f>
        <v>26171</v>
      </c>
      <c r="F35" s="171">
        <f>VLOOKUP(A35,Payout!$B$1:$F$64,5,FALSE)</f>
        <v>13791.290165725788</v>
      </c>
      <c r="G35" s="171">
        <f t="shared" si="0"/>
        <v>12379.709834274212</v>
      </c>
      <c r="H35" s="172">
        <f t="shared" si="1"/>
        <v>0.89764697033496943</v>
      </c>
      <c r="I35" s="173">
        <f t="shared" si="2"/>
        <v>-69829</v>
      </c>
      <c r="J35" s="172">
        <f t="shared" si="3"/>
        <v>-2.6681823392304458</v>
      </c>
      <c r="K35" s="174">
        <f t="shared" si="4"/>
        <v>18.340911696152229</v>
      </c>
      <c r="L35" s="175" t="str">
        <f t="shared" si="5"/>
        <v>overpaid</v>
      </c>
      <c r="M35" s="172" t="str">
        <f t="shared" si="6"/>
        <v>in loss</v>
      </c>
      <c r="N35" s="174">
        <f>(VLOOKUP(A35,'Pivot Table-3'!$A$1:$B$50,2,FALSE))*1000*25</f>
        <v>164750.67095612199</v>
      </c>
      <c r="O35" s="176">
        <f t="shared" si="7"/>
        <v>3.1770432069402763E-2</v>
      </c>
      <c r="P35" s="4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5">
      <c r="A36" s="67" t="s">
        <v>51</v>
      </c>
      <c r="B36" s="161">
        <f>VLOOKUP(A36,Table2[#All],2,FALSE)</f>
        <v>68500.275181934616</v>
      </c>
      <c r="C36" s="162">
        <f>VLOOKUP(A36,payouts_table_AMD!$B$2:$E$52,3,FALSE)</f>
        <v>19</v>
      </c>
      <c r="D36" s="161">
        <f>VLOOKUP(A36,payouts_table_AMD!$B$2:$E$52,4,FALSE)</f>
        <v>1308.8421052631579</v>
      </c>
      <c r="E36" s="163">
        <f>VLOOKUP(A36,Payout!$B$1:$F$64,4,FALSE)</f>
        <v>24867.994599999998</v>
      </c>
      <c r="F36" s="163">
        <f>VLOOKUP(A36,Payout!$B$1:$F$64,5,FALSE)</f>
        <v>12643.490413589292</v>
      </c>
      <c r="G36" s="163">
        <f t="shared" si="0"/>
        <v>12224.504186410706</v>
      </c>
      <c r="H36" s="164">
        <f t="shared" si="1"/>
        <v>0.96686150631883605</v>
      </c>
      <c r="I36" s="165">
        <f t="shared" si="2"/>
        <v>-43632.280581934618</v>
      </c>
      <c r="J36" s="164">
        <f t="shared" si="3"/>
        <v>-1.7545556561257505</v>
      </c>
      <c r="K36" s="166">
        <f t="shared" si="4"/>
        <v>52.336546101687219</v>
      </c>
      <c r="L36" s="167" t="str">
        <f t="shared" si="5"/>
        <v>overpaid</v>
      </c>
      <c r="M36" s="164" t="str">
        <f t="shared" si="6"/>
        <v>in loss</v>
      </c>
      <c r="N36" s="166">
        <f>(VLOOKUP(A36,'Pivot Table-3'!$A$1:$B$50,2,FALSE))*1000*25</f>
        <v>23574.620380917509</v>
      </c>
      <c r="O36" s="168">
        <f t="shared" si="7"/>
        <v>5.5519116919592097E-2</v>
      </c>
      <c r="P36" s="4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5">
      <c r="A37" s="63" t="s">
        <v>52</v>
      </c>
      <c r="B37" s="169">
        <f>VLOOKUP(A37,Table2[#All],2,FALSE)</f>
        <v>114994.99165417532</v>
      </c>
      <c r="C37" s="170">
        <f>VLOOKUP(A37,payouts_table_AMD!$B$2:$E$52,3,FALSE)</f>
        <v>8</v>
      </c>
      <c r="D37" s="169">
        <f>VLOOKUP(A37,payouts_table_AMD!$B$2:$E$52,4,FALSE)</f>
        <v>19592.125</v>
      </c>
      <c r="E37" s="171">
        <f>VLOOKUP(A37,Payout!$B$1:$F$64,4,FALSE)</f>
        <v>156737</v>
      </c>
      <c r="F37" s="171">
        <f>VLOOKUP(A37,Payout!$B$1:$F$64,5,FALSE)</f>
        <v>123213.64071313376</v>
      </c>
      <c r="G37" s="171">
        <f t="shared" si="0"/>
        <v>33523.359286866238</v>
      </c>
      <c r="H37" s="172">
        <f t="shared" si="1"/>
        <v>0.27207506484542071</v>
      </c>
      <c r="I37" s="173">
        <f t="shared" si="2"/>
        <v>41742.008345824681</v>
      </c>
      <c r="J37" s="172">
        <f t="shared" si="3"/>
        <v>0.26631879100547212</v>
      </c>
      <c r="K37" s="174">
        <f t="shared" si="4"/>
        <v>5.8694496719562235</v>
      </c>
      <c r="L37" s="175" t="str">
        <f t="shared" si="5"/>
        <v>overpaid</v>
      </c>
      <c r="M37" s="172" t="str">
        <f t="shared" si="6"/>
        <v>profitable</v>
      </c>
      <c r="N37" s="174">
        <f>(VLOOKUP(A37,'Pivot Table-3'!$A$1:$B$50,2,FALSE))*1000*25</f>
        <v>65915.366888890683</v>
      </c>
      <c r="O37" s="176">
        <f t="shared" si="7"/>
        <v>0.29723152467656277</v>
      </c>
      <c r="P37" s="4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5">
      <c r="A38" s="67" t="s">
        <v>53</v>
      </c>
      <c r="B38" s="161">
        <f>VLOOKUP(A38,Table2[#All],2,FALSE)</f>
        <v>52195.51069292958</v>
      </c>
      <c r="C38" s="162">
        <f>VLOOKUP(A38,payouts_table_AMD!$B$2:$E$52,3,FALSE)</f>
        <v>6</v>
      </c>
      <c r="D38" s="161">
        <f>VLOOKUP(A38,payouts_table_AMD!$B$2:$E$52,4,FALSE)</f>
        <v>3031.3333333333335</v>
      </c>
      <c r="E38" s="163">
        <f>VLOOKUP(A38,Payout!$B$1:$F$64,4,FALSE)</f>
        <v>18188.14</v>
      </c>
      <c r="F38" s="163">
        <f>VLOOKUP(A38,Payout!$B$1:$F$64,5,FALSE)</f>
        <v>5989.241978045161</v>
      </c>
      <c r="G38" s="163">
        <f t="shared" si="0"/>
        <v>12198.898021954839</v>
      </c>
      <c r="H38" s="164">
        <f t="shared" si="1"/>
        <v>2.0368016631607961</v>
      </c>
      <c r="I38" s="165">
        <f t="shared" si="2"/>
        <v>-34007.37069292958</v>
      </c>
      <c r="J38" s="164">
        <f t="shared" si="3"/>
        <v>-1.8697552742022869</v>
      </c>
      <c r="K38" s="166">
        <f t="shared" si="4"/>
        <v>17.218664182844595</v>
      </c>
      <c r="L38" s="167" t="str">
        <f t="shared" si="5"/>
        <v>overpaid</v>
      </c>
      <c r="M38" s="164" t="str">
        <f t="shared" si="6"/>
        <v>in loss</v>
      </c>
      <c r="N38" s="166">
        <f>(VLOOKUP(A38,'Pivot Table-3'!$A$1:$B$50,2,FALSE))*1000*25</f>
        <v>25524.402438260477</v>
      </c>
      <c r="O38" s="168">
        <f t="shared" si="7"/>
        <v>0.11876216654496234</v>
      </c>
      <c r="P38" s="4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5">
      <c r="A39" s="63" t="s">
        <v>54</v>
      </c>
      <c r="B39" s="169">
        <f>VLOOKUP(A39,Table2[#All],2,FALSE)</f>
        <v>133925.71024739055</v>
      </c>
      <c r="C39" s="170">
        <f>VLOOKUP(A39,payouts_table_AMD!$B$2:$E$52,3,FALSE)</f>
        <v>7</v>
      </c>
      <c r="D39" s="169">
        <f>VLOOKUP(A39,payouts_table_AMD!$B$2:$E$52,4,FALSE)</f>
        <v>1583.1428571428571</v>
      </c>
      <c r="E39" s="171">
        <f>VLOOKUP(A39,Payout!$B$1:$F$64,4,FALSE)</f>
        <v>11082.454</v>
      </c>
      <c r="F39" s="171">
        <f>VLOOKUP(A39,Payout!$B$1:$F$64,5,FALSE)</f>
        <v>1041.6164535348087</v>
      </c>
      <c r="G39" s="171">
        <f t="shared" si="0"/>
        <v>10040.837546465191</v>
      </c>
      <c r="H39" s="172">
        <f t="shared" si="1"/>
        <v>9.6396687210448775</v>
      </c>
      <c r="I39" s="173">
        <f t="shared" si="2"/>
        <v>-122843.25624739056</v>
      </c>
      <c r="J39" s="172">
        <f t="shared" si="3"/>
        <v>-11.084481491860066</v>
      </c>
      <c r="K39" s="174">
        <f t="shared" si="4"/>
        <v>84.594835925982125</v>
      </c>
      <c r="L39" s="175" t="str">
        <f t="shared" si="5"/>
        <v>overpaid</v>
      </c>
      <c r="M39" s="172" t="str">
        <f t="shared" si="6"/>
        <v>in loss</v>
      </c>
      <c r="N39" s="174">
        <f>(VLOOKUP(A39,'Pivot Table-3'!$A$1:$B$50,2,FALSE))*1000*25</f>
        <v>89516.062222460925</v>
      </c>
      <c r="O39" s="176">
        <f t="shared" si="7"/>
        <v>1.7685573045075509E-2</v>
      </c>
      <c r="P39" s="4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25">
      <c r="A40" s="67" t="s">
        <v>55</v>
      </c>
      <c r="B40" s="161">
        <f>VLOOKUP(A40,Table2[#All],2,FALSE)</f>
        <v>96000</v>
      </c>
      <c r="C40" s="162">
        <f>VLOOKUP(A40,payouts_table_AMD!$B$2:$E$52,3,FALSE)</f>
        <v>5</v>
      </c>
      <c r="D40" s="161">
        <f>VLOOKUP(A40,payouts_table_AMD!$B$2:$E$52,4,FALSE)</f>
        <v>12357.2</v>
      </c>
      <c r="E40" s="163">
        <f>VLOOKUP(A40,Payout!$B$1:$F$64,4,FALSE)</f>
        <v>61786.355999999992</v>
      </c>
      <c r="F40" s="163">
        <f>VLOOKUP(A40,Payout!$B$1:$F$64,5,FALSE)</f>
        <v>39833.290219168477</v>
      </c>
      <c r="G40" s="163">
        <f t="shared" si="0"/>
        <v>21953.065780831515</v>
      </c>
      <c r="H40" s="164">
        <f t="shared" si="1"/>
        <v>0.55112358683007601</v>
      </c>
      <c r="I40" s="165">
        <f t="shared" si="2"/>
        <v>-34213.644000000008</v>
      </c>
      <c r="J40" s="164">
        <f t="shared" si="3"/>
        <v>-0.55374108808099987</v>
      </c>
      <c r="K40" s="166">
        <f t="shared" si="4"/>
        <v>7.7687502023112032</v>
      </c>
      <c r="L40" s="167" t="str">
        <f t="shared" si="5"/>
        <v>overpaid</v>
      </c>
      <c r="M40" s="164" t="str">
        <f t="shared" si="6"/>
        <v>in loss</v>
      </c>
      <c r="N40" s="166">
        <f>(VLOOKUP(A40,'Pivot Table-3'!$A$1:$B$50,2,FALSE))*1000*25</f>
        <v>164750.67095612199</v>
      </c>
      <c r="O40" s="168">
        <f t="shared" si="7"/>
        <v>7.5005460847507505E-2</v>
      </c>
      <c r="P40" s="4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25">
      <c r="A41" s="63" t="s">
        <v>56</v>
      </c>
      <c r="B41" s="169">
        <f>VLOOKUP(A41,Table2[#All],2,FALSE)</f>
        <v>57938.720654163102</v>
      </c>
      <c r="C41" s="170">
        <f>VLOOKUP(A41,payouts_table_AMD!$B$2:$E$52,3,FALSE)</f>
        <v>9</v>
      </c>
      <c r="D41" s="169">
        <f>VLOOKUP(A41,payouts_table_AMD!$B$2:$E$52,4,FALSE)</f>
        <v>4789</v>
      </c>
      <c r="E41" s="171">
        <f>VLOOKUP(A41,Payout!$B$1:$F$64,4,FALSE)</f>
        <v>43101.428800000009</v>
      </c>
      <c r="F41" s="171">
        <f>VLOOKUP(A41,Payout!$B$1:$F$64,5,FALSE)</f>
        <v>14793.643655087924</v>
      </c>
      <c r="G41" s="171">
        <f t="shared" si="0"/>
        <v>28307.785144912086</v>
      </c>
      <c r="H41" s="172">
        <f t="shared" si="1"/>
        <v>1.9135100050335667</v>
      </c>
      <c r="I41" s="173">
        <f t="shared" si="2"/>
        <v>-14837.291854163093</v>
      </c>
      <c r="J41" s="172">
        <f t="shared" si="3"/>
        <v>-0.34424129935486247</v>
      </c>
      <c r="K41" s="174">
        <f t="shared" si="4"/>
        <v>12.098292055578012</v>
      </c>
      <c r="L41" s="175" t="str">
        <f t="shared" si="5"/>
        <v>overpaid</v>
      </c>
      <c r="M41" s="172" t="str">
        <f t="shared" si="6"/>
        <v>in loss</v>
      </c>
      <c r="N41" s="174">
        <f>(VLOOKUP(A41,'Pivot Table-3'!$A$1:$B$50,2,FALSE))*1000*25</f>
        <v>37123.850905488391</v>
      </c>
      <c r="O41" s="176">
        <f t="shared" si="7"/>
        <v>0.12900062582925614</v>
      </c>
      <c r="P41" s="4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25">
      <c r="A42" s="67" t="s">
        <v>57</v>
      </c>
      <c r="B42" s="161">
        <f>VLOOKUP(A42,Table2[#All],2,FALSE)</f>
        <v>52742.42327509381</v>
      </c>
      <c r="C42" s="162">
        <f>VLOOKUP(A42,payouts_table_AMD!$B$2:$E$52,3,FALSE)</f>
        <v>5</v>
      </c>
      <c r="D42" s="161">
        <f>VLOOKUP(A42,payouts_table_AMD!$B$2:$E$52,4,FALSE)</f>
        <v>8847.4</v>
      </c>
      <c r="E42" s="163">
        <f>VLOOKUP(A42,Payout!$B$1:$F$64,4,FALSE)</f>
        <v>44237</v>
      </c>
      <c r="F42" s="163">
        <f>VLOOKUP(A42,Payout!$B$1:$F$64,5,FALSE)</f>
        <v>31992.051864244233</v>
      </c>
      <c r="G42" s="163">
        <f t="shared" si="0"/>
        <v>12244.948135755767</v>
      </c>
      <c r="H42" s="164">
        <f t="shared" si="1"/>
        <v>0.38274969632195666</v>
      </c>
      <c r="I42" s="165">
        <f t="shared" si="2"/>
        <v>-8505.4232750938099</v>
      </c>
      <c r="J42" s="164">
        <f t="shared" si="3"/>
        <v>-0.19226944130691073</v>
      </c>
      <c r="K42" s="166">
        <f t="shared" si="4"/>
        <v>5.9613472065345539</v>
      </c>
      <c r="L42" s="167" t="str">
        <f t="shared" si="5"/>
        <v>overpaid</v>
      </c>
      <c r="M42" s="164" t="str">
        <f t="shared" si="6"/>
        <v>in loss</v>
      </c>
      <c r="N42" s="166">
        <f>(VLOOKUP(A42,'Pivot Table-3'!$A$1:$B$50,2,FALSE))*1000*25</f>
        <v>24286.591765144924</v>
      </c>
      <c r="O42" s="168">
        <f t="shared" si="7"/>
        <v>0.36429154348027576</v>
      </c>
      <c r="P42" s="4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25">
      <c r="A43" s="63" t="s">
        <v>58</v>
      </c>
      <c r="B43" s="169">
        <f>VLOOKUP(A43,Table2[#All],2,FALSE)</f>
        <v>56169.829348340325</v>
      </c>
      <c r="C43" s="170">
        <f>VLOOKUP(A43,payouts_table_AMD!$B$2:$E$52,3,FALSE)</f>
        <v>5</v>
      </c>
      <c r="D43" s="169">
        <f>VLOOKUP(A43,payouts_table_AMD!$B$2:$E$52,4,FALSE)</f>
        <v>9403.6</v>
      </c>
      <c r="E43" s="171">
        <f>VLOOKUP(A43,Payout!$B$1:$F$64,4,FALSE)</f>
        <v>47018.001600000003</v>
      </c>
      <c r="F43" s="171">
        <f>VLOOKUP(A43,Payout!$B$1:$F$64,5,FALSE)</f>
        <v>36462.95362853499</v>
      </c>
      <c r="G43" s="171">
        <f t="shared" si="0"/>
        <v>10555.047971465014</v>
      </c>
      <c r="H43" s="172">
        <f t="shared" si="1"/>
        <v>0.28947320282921069</v>
      </c>
      <c r="I43" s="173">
        <f t="shared" si="2"/>
        <v>-9151.8277483403217</v>
      </c>
      <c r="J43" s="172">
        <f t="shared" si="3"/>
        <v>-0.19464518773465525</v>
      </c>
      <c r="K43" s="174">
        <f t="shared" si="4"/>
        <v>5.9732261419392918</v>
      </c>
      <c r="L43" s="175" t="str">
        <f t="shared" si="5"/>
        <v>overpaid</v>
      </c>
      <c r="M43" s="172" t="str">
        <f t="shared" si="6"/>
        <v>in loss</v>
      </c>
      <c r="N43" s="174">
        <f>(VLOOKUP(A43,'Pivot Table-3'!$A$1:$B$50,2,FALSE))*1000*25</f>
        <v>26910.709592494499</v>
      </c>
      <c r="O43" s="176">
        <f t="shared" si="7"/>
        <v>0.34943708814808438</v>
      </c>
      <c r="P43" s="4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25">
      <c r="A44" s="67" t="s">
        <v>59</v>
      </c>
      <c r="B44" s="161">
        <f>VLOOKUP(A44,Table2[#All],2,FALSE)</f>
        <v>300950.1874519171</v>
      </c>
      <c r="C44" s="162">
        <f>VLOOKUP(A44,payouts_table_AMD!$B$2:$E$52,3,FALSE)</f>
        <v>9</v>
      </c>
      <c r="D44" s="161">
        <f>VLOOKUP(A44,payouts_table_AMD!$B$2:$E$52,4,FALSE)</f>
        <v>11325</v>
      </c>
      <c r="E44" s="163">
        <f>VLOOKUP(A44,Payout!$B$1:$F$64,4,FALSE)</f>
        <v>101924.88160000001</v>
      </c>
      <c r="F44" s="163">
        <f>VLOOKUP(A44,Payout!$B$1:$F$64,5,FALSE)</f>
        <v>68251.613256207391</v>
      </c>
      <c r="G44" s="163">
        <f t="shared" si="0"/>
        <v>33673.268343792617</v>
      </c>
      <c r="H44" s="164">
        <f t="shared" si="1"/>
        <v>0.49336955915441427</v>
      </c>
      <c r="I44" s="165">
        <f t="shared" si="2"/>
        <v>-199025.30585191707</v>
      </c>
      <c r="J44" s="164">
        <f t="shared" si="3"/>
        <v>-1.9526665395892602</v>
      </c>
      <c r="K44" s="166">
        <f t="shared" si="4"/>
        <v>26.573967986924249</v>
      </c>
      <c r="L44" s="167" t="str">
        <f t="shared" si="5"/>
        <v>overpaid</v>
      </c>
      <c r="M44" s="164" t="str">
        <f t="shared" si="6"/>
        <v>in loss</v>
      </c>
      <c r="N44" s="166">
        <f>(VLOOKUP(A44,'Pivot Table-3'!$A$1:$B$50,2,FALSE))*1000*25</f>
        <v>152661.79575989876</v>
      </c>
      <c r="O44" s="168">
        <f t="shared" si="7"/>
        <v>7.4183589572151848E-2</v>
      </c>
      <c r="P44" s="4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25">
      <c r="A45" s="63" t="s">
        <v>60</v>
      </c>
      <c r="B45" s="169">
        <f>VLOOKUP(A45,Table2[#All],2,FALSE)</f>
        <v>64667.720972774769</v>
      </c>
      <c r="C45" s="170">
        <f>VLOOKUP(A45,payouts_table_AMD!$B$2:$E$52,3,FALSE)</f>
        <v>3</v>
      </c>
      <c r="D45" s="169">
        <f>VLOOKUP(A45,payouts_table_AMD!$B$2:$E$52,4,FALSE)</f>
        <v>20175</v>
      </c>
      <c r="E45" s="171">
        <f>VLOOKUP(A45,Payout!$B$1:$F$64,4,FALSE)</f>
        <v>60525.494399999996</v>
      </c>
      <c r="F45" s="171">
        <f>VLOOKUP(A45,Payout!$B$1:$F$64,5,FALSE)</f>
        <v>5138.849705816694</v>
      </c>
      <c r="G45" s="171">
        <f t="shared" si="0"/>
        <v>55386.644694183298</v>
      </c>
      <c r="H45" s="172">
        <f t="shared" si="1"/>
        <v>10.778023850647127</v>
      </c>
      <c r="I45" s="173">
        <f t="shared" si="2"/>
        <v>-4142.2265727747726</v>
      </c>
      <c r="J45" s="172">
        <f t="shared" si="3"/>
        <v>-6.8437715607900476E-2</v>
      </c>
      <c r="K45" s="174">
        <f t="shared" si="4"/>
        <v>3.2053393295055645</v>
      </c>
      <c r="L45" s="175" t="str">
        <f t="shared" si="5"/>
        <v>overpaid</v>
      </c>
      <c r="M45" s="172" t="str">
        <f t="shared" si="6"/>
        <v>in loss</v>
      </c>
      <c r="N45" s="174">
        <f>(VLOOKUP(A45,'Pivot Table-3'!$A$1:$B$50,2,FALSE))*1000*25</f>
        <v>19139.711254930768</v>
      </c>
      <c r="O45" s="176">
        <f t="shared" si="7"/>
        <v>1.0540911370751489</v>
      </c>
      <c r="P45" s="4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25">
      <c r="A46" s="67" t="s">
        <v>61</v>
      </c>
      <c r="B46" s="161">
        <f>VLOOKUP(A46,Table2[#All],2,FALSE)</f>
        <v>96000</v>
      </c>
      <c r="C46" s="162">
        <f>VLOOKUP(A46,payouts_table_AMD!$B$2:$E$52,3,FALSE)</f>
        <v>5</v>
      </c>
      <c r="D46" s="161">
        <f>VLOOKUP(A46,payouts_table_AMD!$B$2:$E$52,4,FALSE)</f>
        <v>12176.6</v>
      </c>
      <c r="E46" s="163">
        <f>VLOOKUP(A46,Payout!$B$1:$F$64,4,FALSE)</f>
        <v>60882.838983999995</v>
      </c>
      <c r="F46" s="163">
        <f>VLOOKUP(A46,Payout!$B$1:$F$64,5,FALSE)</f>
        <v>60573.277525875877</v>
      </c>
      <c r="G46" s="163">
        <f t="shared" si="0"/>
        <v>309.56145812411705</v>
      </c>
      <c r="H46" s="164">
        <f t="shared" si="1"/>
        <v>5.1105284503034799E-3</v>
      </c>
      <c r="I46" s="165">
        <f t="shared" si="2"/>
        <v>-35117.161016000005</v>
      </c>
      <c r="J46" s="164">
        <f t="shared" si="3"/>
        <v>-0.57679900612434964</v>
      </c>
      <c r="K46" s="166">
        <f t="shared" si="4"/>
        <v>7.88397417998456</v>
      </c>
      <c r="L46" s="167" t="str">
        <f t="shared" si="5"/>
        <v>overpaid</v>
      </c>
      <c r="M46" s="164" t="str">
        <f t="shared" si="6"/>
        <v>in loss</v>
      </c>
      <c r="N46" s="166">
        <f>(VLOOKUP(A46,'Pivot Table-3'!$A$1:$B$50,2,FALSE))*1000*25</f>
        <v>162500</v>
      </c>
      <c r="O46" s="168">
        <f t="shared" si="7"/>
        <v>7.4932923076923078E-2</v>
      </c>
      <c r="P46" s="4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25">
      <c r="A47" s="63" t="s">
        <v>62</v>
      </c>
      <c r="B47" s="169">
        <f>VLOOKUP(A47,Table2[#All],2,FALSE)</f>
        <v>57264.323133455633</v>
      </c>
      <c r="C47" s="170">
        <f>VLOOKUP(A47,payouts_table_AMD!$B$2:$E$52,3,FALSE)</f>
        <v>5</v>
      </c>
      <c r="D47" s="169">
        <f>VLOOKUP(A47,payouts_table_AMD!$B$2:$E$52,4,FALSE)</f>
        <v>5479.6</v>
      </c>
      <c r="E47" s="171">
        <f>VLOOKUP(A47,Payout!$B$1:$F$64,4,FALSE)</f>
        <v>27397.922015999997</v>
      </c>
      <c r="F47" s="171">
        <f>VLOOKUP(A47,Payout!$B$1:$F$64,5,FALSE)</f>
        <v>9412.3100994900014</v>
      </c>
      <c r="G47" s="171">
        <f t="shared" si="0"/>
        <v>17985.611916509995</v>
      </c>
      <c r="H47" s="172">
        <f t="shared" si="1"/>
        <v>1.9108605354475658</v>
      </c>
      <c r="I47" s="173">
        <f t="shared" si="2"/>
        <v>-29866.401117455636</v>
      </c>
      <c r="J47" s="172">
        <f t="shared" si="3"/>
        <v>-1.0900973110301606</v>
      </c>
      <c r="K47" s="174">
        <f t="shared" si="4"/>
        <v>10.450456809521794</v>
      </c>
      <c r="L47" s="175" t="str">
        <f t="shared" si="5"/>
        <v>overpaid</v>
      </c>
      <c r="M47" s="172" t="str">
        <f t="shared" si="6"/>
        <v>in loss</v>
      </c>
      <c r="N47" s="174">
        <f>(VLOOKUP(A47,'Pivot Table-3'!$A$1:$B$50,2,FALSE))*1000*25</f>
        <v>36987.085258650302</v>
      </c>
      <c r="O47" s="176">
        <f t="shared" si="7"/>
        <v>0.14814900827359642</v>
      </c>
      <c r="P47" s="4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25">
      <c r="A48" s="67" t="s">
        <v>63</v>
      </c>
      <c r="B48" s="161">
        <f>VLOOKUP(A48,Table2[#All],2,FALSE)</f>
        <v>56539.049434836263</v>
      </c>
      <c r="C48" s="162">
        <f>VLOOKUP(A48,payouts_table_AMD!$B$2:$E$52,3,FALSE)</f>
        <v>5</v>
      </c>
      <c r="D48" s="161">
        <f>VLOOKUP(A48,payouts_table_AMD!$B$2:$E$52,4,FALSE)</f>
        <v>5290.4</v>
      </c>
      <c r="E48" s="163">
        <f>VLOOKUP(A48,Payout!$B$1:$F$64,4,FALSE)</f>
        <v>26452</v>
      </c>
      <c r="F48" s="163">
        <f>VLOOKUP(A48,Payout!$B$1:$F$64,5,FALSE)</f>
        <v>10107.177123675472</v>
      </c>
      <c r="G48" s="163">
        <f t="shared" si="0"/>
        <v>16344.822876324528</v>
      </c>
      <c r="H48" s="164">
        <f t="shared" si="1"/>
        <v>1.6171501376024899</v>
      </c>
      <c r="I48" s="165">
        <f t="shared" si="2"/>
        <v>-30087.049434836263</v>
      </c>
      <c r="J48" s="164">
        <f t="shared" si="3"/>
        <v>-1.1374205895522556</v>
      </c>
      <c r="K48" s="166">
        <f t="shared" si="4"/>
        <v>10.687102947761279</v>
      </c>
      <c r="L48" s="167" t="str">
        <f t="shared" si="5"/>
        <v>overpaid</v>
      </c>
      <c r="M48" s="164" t="str">
        <f t="shared" si="6"/>
        <v>in loss</v>
      </c>
      <c r="N48" s="166">
        <f>(VLOOKUP(A48,'Pivot Table-3'!$A$1:$B$50,2,FALSE))*1000*25</f>
        <v>45771.96946611708</v>
      </c>
      <c r="O48" s="168">
        <f t="shared" si="7"/>
        <v>0.115581655360411</v>
      </c>
      <c r="P48" s="4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25">
      <c r="A49" s="61" t="s">
        <v>64</v>
      </c>
      <c r="B49" s="177">
        <f>VLOOKUP(A49,Table2[#All],2,FALSE)</f>
        <v>61808.575521938008</v>
      </c>
      <c r="C49" s="178">
        <f>VLOOKUP(A49,payouts_table_AMD!$B$2:$E$52,3,FALSE)</f>
        <v>5</v>
      </c>
      <c r="D49" s="177">
        <f>VLOOKUP(A49,payouts_table_AMD!$B$2:$E$52,4,FALSE)</f>
        <v>7018.8</v>
      </c>
      <c r="E49" s="179">
        <f>VLOOKUP(A49,Payout!$B$1:$F$64,4,FALSE)</f>
        <v>35094</v>
      </c>
      <c r="F49" s="179">
        <f>VLOOKUP(A49,Payout!$B$1:$F$64,5,FALSE)</f>
        <v>5041.5172774335551</v>
      </c>
      <c r="G49" s="179">
        <f t="shared" si="0"/>
        <v>30052.482722566445</v>
      </c>
      <c r="H49" s="160">
        <f t="shared" si="1"/>
        <v>5.9609996492692812</v>
      </c>
      <c r="I49" s="180">
        <f t="shared" si="2"/>
        <v>-26714.575521938008</v>
      </c>
      <c r="J49" s="160">
        <f t="shared" si="3"/>
        <v>-0.76122914235875105</v>
      </c>
      <c r="K49" s="181">
        <f t="shared" si="4"/>
        <v>8.8061457117937554</v>
      </c>
      <c r="L49" s="182" t="str">
        <f t="shared" si="5"/>
        <v>overpaid</v>
      </c>
      <c r="M49" s="160" t="str">
        <f t="shared" si="6"/>
        <v>in loss</v>
      </c>
      <c r="N49" s="181">
        <f>(VLOOKUP(A49,'Pivot Table-3'!$A$1:$B$50,2,FALSE))*1000*25</f>
        <v>68294.810194577731</v>
      </c>
      <c r="O49" s="159">
        <f t="shared" si="7"/>
        <v>0.10277208443808308</v>
      </c>
      <c r="P49" s="4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25">
      <c r="A50" s="2"/>
      <c r="B50" s="2"/>
      <c r="C50" s="2"/>
      <c r="D50" s="2"/>
      <c r="E50" s="3"/>
      <c r="F50" s="2"/>
      <c r="G50" s="2"/>
      <c r="H50" s="2"/>
      <c r="I50" s="2"/>
      <c r="J50" s="2"/>
      <c r="K50" s="2"/>
      <c r="L50" s="2"/>
      <c r="M50" s="2"/>
      <c r="N50" s="133"/>
      <c r="O50" s="133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25">
      <c r="A51" s="2"/>
      <c r="B51" s="122"/>
      <c r="C51" s="2"/>
      <c r="D51" s="122"/>
      <c r="E51" s="2"/>
      <c r="F51" s="2"/>
      <c r="G51" s="2"/>
      <c r="H51" s="2"/>
      <c r="I51" s="2"/>
      <c r="J51" s="2"/>
      <c r="K51" s="2"/>
      <c r="L51" s="2"/>
      <c r="M51" s="2"/>
      <c r="N51" s="133"/>
      <c r="O51" s="133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25">
      <c r="A52" s="2"/>
      <c r="B52" s="2"/>
      <c r="C52" s="2"/>
      <c r="D52" s="2"/>
      <c r="E52" s="122"/>
      <c r="F52" s="2"/>
      <c r="G52" s="2"/>
      <c r="H52" s="2"/>
      <c r="I52" s="2"/>
      <c r="J52" s="2"/>
      <c r="K52" s="2"/>
      <c r="L52" s="2"/>
      <c r="M52" s="2"/>
      <c r="N52" s="133"/>
      <c r="O52" s="133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25">
      <c r="A53" s="2"/>
      <c r="B53" s="4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33"/>
      <c r="O53" s="133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133"/>
      <c r="O54" s="133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33"/>
      <c r="O55" s="133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33"/>
      <c r="O56" s="133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33"/>
      <c r="O57" s="133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33"/>
      <c r="O58" s="133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33"/>
      <c r="O59" s="133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33"/>
      <c r="O60" s="13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33"/>
      <c r="O61" s="133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33"/>
      <c r="O62" s="133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33"/>
      <c r="O63" s="133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33"/>
      <c r="O64" s="133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33"/>
      <c r="O65" s="133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33"/>
      <c r="O66" s="133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33"/>
      <c r="O67" s="133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33"/>
      <c r="O68" s="133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33"/>
      <c r="O69" s="133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33"/>
      <c r="O70" s="133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33"/>
      <c r="O71" s="133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33"/>
      <c r="O72" s="133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33"/>
      <c r="O73" s="133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33"/>
      <c r="O74" s="133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33"/>
      <c r="O75" s="133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33"/>
      <c r="O76" s="133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33"/>
      <c r="O77" s="133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33"/>
      <c r="O78" s="133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33"/>
      <c r="O79" s="133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3"/>
      <c r="O80" s="133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33"/>
      <c r="O81" s="133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33"/>
      <c r="O82" s="133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33"/>
      <c r="O83" s="133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33"/>
      <c r="O84" s="133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33"/>
      <c r="O85" s="133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33"/>
      <c r="O86" s="133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33"/>
      <c r="O87" s="133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33"/>
      <c r="O88" s="13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33"/>
      <c r="O89" s="13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33"/>
      <c r="O90" s="133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33"/>
      <c r="O91" s="133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33"/>
      <c r="O92" s="133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133"/>
      <c r="O93" s="133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33"/>
      <c r="O94" s="133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33"/>
      <c r="O95" s="133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33"/>
      <c r="O96" s="133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33"/>
      <c r="O97" s="133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133"/>
      <c r="O98" s="133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33"/>
      <c r="O99" s="133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33"/>
      <c r="O100" s="133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33"/>
      <c r="O101" s="133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33"/>
      <c r="O102" s="133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33"/>
      <c r="O103" s="133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33"/>
      <c r="O104" s="133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33"/>
      <c r="O105" s="133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33"/>
      <c r="O106" s="133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33"/>
      <c r="O107" s="133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33"/>
      <c r="O108" s="133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33"/>
      <c r="O109" s="133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133"/>
      <c r="O110" s="133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33"/>
      <c r="O111" s="133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133"/>
      <c r="O112" s="133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33"/>
      <c r="O113" s="133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133"/>
      <c r="O114" s="133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33"/>
      <c r="O115" s="133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133"/>
      <c r="O116" s="133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133"/>
      <c r="O117" s="133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133"/>
      <c r="O118" s="133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133"/>
      <c r="O119" s="133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133"/>
      <c r="O120" s="133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33"/>
      <c r="O121" s="133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133"/>
      <c r="O122" s="13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133"/>
      <c r="O123" s="13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133"/>
      <c r="O124" s="13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133"/>
      <c r="O125" s="13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133"/>
      <c r="O126" s="13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133"/>
      <c r="O127" s="13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133"/>
      <c r="O128" s="13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133"/>
      <c r="O129" s="13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133"/>
      <c r="O130" s="13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133"/>
      <c r="O131" s="13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133"/>
      <c r="O132" s="133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133"/>
      <c r="O133" s="13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133"/>
      <c r="O134" s="133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33"/>
      <c r="O135" s="133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133"/>
      <c r="O136" s="13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133"/>
      <c r="O137" s="13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133"/>
      <c r="O138" s="133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33"/>
      <c r="O139" s="133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133"/>
      <c r="O140" s="133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133"/>
      <c r="O141" s="133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133"/>
      <c r="O142" s="133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133"/>
      <c r="O143" s="13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133"/>
      <c r="O144" s="13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133"/>
      <c r="O145" s="13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133"/>
      <c r="O146" s="133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133"/>
      <c r="O147" s="13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133"/>
      <c r="O148" s="13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133"/>
      <c r="O149" s="13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133"/>
      <c r="O150" s="13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133"/>
      <c r="O151" s="13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133"/>
      <c r="O152" s="13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133"/>
      <c r="O153" s="13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133"/>
      <c r="O154" s="13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133"/>
      <c r="O155" s="13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133"/>
      <c r="O156" s="13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133"/>
      <c r="O157" s="13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133"/>
      <c r="O158" s="13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133"/>
      <c r="O159" s="13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133"/>
      <c r="O160" s="13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133"/>
      <c r="O161" s="133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133"/>
      <c r="O162" s="133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133"/>
      <c r="O163" s="133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133"/>
      <c r="O164" s="13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133"/>
      <c r="O165" s="13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133"/>
      <c r="O166" s="13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133"/>
      <c r="O167" s="13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133"/>
      <c r="O168" s="13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133"/>
      <c r="O169" s="13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133"/>
      <c r="O170" s="13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133"/>
      <c r="O171" s="13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133"/>
      <c r="O172" s="13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133"/>
      <c r="O173" s="13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133"/>
      <c r="O174" s="13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133"/>
      <c r="O175" s="13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133"/>
      <c r="O176" s="13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133"/>
      <c r="O177" s="133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133"/>
      <c r="O178" s="13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133"/>
      <c r="O179" s="13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133"/>
      <c r="O180" s="13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133"/>
      <c r="O181" s="13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133"/>
      <c r="O182" s="133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133"/>
      <c r="O183" s="133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133"/>
      <c r="O184" s="133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133"/>
      <c r="O185" s="13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133"/>
      <c r="O186" s="13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133"/>
      <c r="O187" s="13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133"/>
      <c r="O188" s="13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133"/>
      <c r="O189" s="13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133"/>
      <c r="O190" s="13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133"/>
      <c r="O191" s="13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133"/>
      <c r="O192" s="13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133"/>
      <c r="O193" s="13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133"/>
      <c r="O194" s="13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133"/>
      <c r="O195" s="13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133"/>
      <c r="O196" s="13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133"/>
      <c r="O197" s="13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133"/>
      <c r="O198" s="13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133"/>
      <c r="O199" s="133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133"/>
      <c r="O200" s="133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133"/>
      <c r="O201" s="13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133"/>
      <c r="O202" s="13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133"/>
      <c r="O203" s="133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133"/>
      <c r="O204" s="133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133"/>
      <c r="O205" s="133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133"/>
      <c r="O206" s="13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133"/>
      <c r="O207" s="13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133"/>
      <c r="O208" s="13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133"/>
      <c r="O209" s="13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133"/>
      <c r="O210" s="13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133"/>
      <c r="O211" s="13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133"/>
      <c r="O212" s="13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133"/>
      <c r="O213" s="13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133"/>
      <c r="O214" s="13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133"/>
      <c r="O215" s="13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133"/>
      <c r="O216" s="13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133"/>
      <c r="O217" s="13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133"/>
      <c r="O218" s="13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133"/>
      <c r="O219" s="13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133"/>
      <c r="O220" s="133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133"/>
      <c r="O221" s="133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133"/>
      <c r="O222" s="133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133"/>
      <c r="O223" s="133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133"/>
      <c r="O224" s="133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133"/>
      <c r="O225" s="133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133"/>
      <c r="O226" s="133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133"/>
      <c r="O227" s="133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133"/>
      <c r="O228" s="133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133"/>
      <c r="O229" s="133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133"/>
      <c r="O230" s="133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133"/>
      <c r="O231" s="133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133"/>
      <c r="O232" s="133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133"/>
      <c r="O233" s="133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133"/>
      <c r="O234" s="133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133"/>
      <c r="O235" s="133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133"/>
      <c r="O236" s="133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133"/>
      <c r="O237" s="133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133"/>
      <c r="O238" s="133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133"/>
      <c r="O239" s="133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133"/>
      <c r="O240" s="133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133"/>
      <c r="O241" s="133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133"/>
      <c r="O242" s="133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133"/>
      <c r="O243" s="133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133"/>
      <c r="O244" s="133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133"/>
      <c r="O245" s="133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133"/>
      <c r="O246" s="133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133"/>
      <c r="O247" s="133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133"/>
      <c r="O248" s="133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133"/>
      <c r="O249" s="133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133"/>
      <c r="O250" s="133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133"/>
      <c r="O251" s="133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133"/>
      <c r="O252" s="133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133"/>
      <c r="O253" s="133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133"/>
      <c r="O254" s="133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133"/>
      <c r="O255" s="133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133"/>
      <c r="O256" s="133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133"/>
      <c r="O257" s="133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133"/>
      <c r="O258" s="133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133"/>
      <c r="O259" s="133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133"/>
      <c r="O260" s="133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133"/>
      <c r="O261" s="133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133"/>
      <c r="O262" s="133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133"/>
      <c r="O263" s="133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133"/>
      <c r="O264" s="133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133"/>
      <c r="O265" s="133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133"/>
      <c r="O266" s="133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133"/>
      <c r="O267" s="133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133"/>
      <c r="O268" s="133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133"/>
      <c r="O269" s="133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133"/>
      <c r="O270" s="133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133"/>
      <c r="O271" s="133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133"/>
      <c r="O272" s="133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133"/>
      <c r="O273" s="133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133"/>
      <c r="O274" s="133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133"/>
      <c r="O275" s="133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133"/>
      <c r="O276" s="133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133"/>
      <c r="O277" s="133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133"/>
      <c r="O278" s="133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133"/>
      <c r="O279" s="133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133"/>
      <c r="O280" s="133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133"/>
      <c r="O281" s="133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133"/>
      <c r="O282" s="133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133"/>
      <c r="O283" s="133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133"/>
      <c r="O284" s="133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133"/>
      <c r="O285" s="133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133"/>
      <c r="O286" s="133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133"/>
      <c r="O287" s="133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133"/>
      <c r="O288" s="133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133"/>
      <c r="O289" s="133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133"/>
      <c r="O290" s="133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133"/>
      <c r="O291" s="133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133"/>
      <c r="O292" s="133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133"/>
      <c r="O293" s="133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133"/>
      <c r="O294" s="133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133"/>
      <c r="O295" s="133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133"/>
      <c r="O296" s="133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133"/>
      <c r="O297" s="133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133"/>
      <c r="O298" s="133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133"/>
      <c r="O299" s="133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133"/>
      <c r="O300" s="133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133"/>
      <c r="O301" s="133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133"/>
      <c r="O302" s="133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133"/>
      <c r="O303" s="133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133"/>
      <c r="O304" s="133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133"/>
      <c r="O305" s="133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133"/>
      <c r="O306" s="133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133"/>
      <c r="O307" s="133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133"/>
      <c r="O308" s="133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133"/>
      <c r="O309" s="133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133"/>
      <c r="O310" s="133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133"/>
      <c r="O311" s="133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133"/>
      <c r="O312" s="133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133"/>
      <c r="O313" s="133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133"/>
      <c r="O314" s="133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133"/>
      <c r="O315" s="133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133"/>
      <c r="O316" s="133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133"/>
      <c r="O317" s="133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133"/>
      <c r="O318" s="133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133"/>
      <c r="O319" s="133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133"/>
      <c r="O320" s="133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133"/>
      <c r="O321" s="133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133"/>
      <c r="O322" s="133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133"/>
      <c r="O323" s="133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133"/>
      <c r="O324" s="133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133"/>
      <c r="O325" s="133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133"/>
      <c r="O326" s="133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133"/>
      <c r="O327" s="133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133"/>
      <c r="O328" s="133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133"/>
      <c r="O329" s="133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133"/>
      <c r="O330" s="133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133"/>
      <c r="O331" s="133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133"/>
      <c r="O332" s="133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133"/>
      <c r="O333" s="133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133"/>
      <c r="O334" s="133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133"/>
      <c r="O335" s="133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133"/>
      <c r="O336" s="133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133"/>
      <c r="O337" s="133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133"/>
      <c r="O338" s="133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133"/>
      <c r="O339" s="133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133"/>
      <c r="O340" s="133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133"/>
      <c r="O341" s="133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133"/>
      <c r="O342" s="133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133"/>
      <c r="O343" s="133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133"/>
      <c r="O344" s="133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133"/>
      <c r="O345" s="133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133"/>
      <c r="O346" s="133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133"/>
      <c r="O347" s="133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133"/>
      <c r="O348" s="133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133"/>
      <c r="O349" s="133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133"/>
      <c r="O350" s="133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133"/>
      <c r="O351" s="133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133"/>
      <c r="O352" s="133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133"/>
      <c r="O353" s="133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133"/>
      <c r="O354" s="133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133"/>
      <c r="O355" s="133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133"/>
      <c r="O356" s="133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133"/>
      <c r="O357" s="133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133"/>
      <c r="O358" s="133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133"/>
      <c r="O359" s="133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133"/>
      <c r="O360" s="133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133"/>
      <c r="O361" s="133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133"/>
      <c r="O362" s="133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133"/>
      <c r="O363" s="133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133"/>
      <c r="O364" s="133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133"/>
      <c r="O365" s="133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133"/>
      <c r="O366" s="133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133"/>
      <c r="O367" s="133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133"/>
      <c r="O368" s="133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133"/>
      <c r="O369" s="133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133"/>
      <c r="O370" s="133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133"/>
      <c r="O371" s="133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133"/>
      <c r="O372" s="133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133"/>
      <c r="O373" s="133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133"/>
      <c r="O374" s="133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133"/>
      <c r="O375" s="133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133"/>
      <c r="O376" s="133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133"/>
      <c r="O377" s="133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133"/>
      <c r="O378" s="133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133"/>
      <c r="O379" s="133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133"/>
      <c r="O380" s="133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133"/>
      <c r="O381" s="133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133"/>
      <c r="O382" s="133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133"/>
      <c r="O383" s="133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133"/>
      <c r="O384" s="133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133"/>
      <c r="O385" s="133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133"/>
      <c r="O386" s="133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133"/>
      <c r="O387" s="133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133"/>
      <c r="O388" s="133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133"/>
      <c r="O389" s="133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133"/>
      <c r="O390" s="133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133"/>
      <c r="O391" s="133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133"/>
      <c r="O392" s="133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133"/>
      <c r="O393" s="133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133"/>
      <c r="O394" s="133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133"/>
      <c r="O395" s="133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133"/>
      <c r="O396" s="133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133"/>
      <c r="O397" s="133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133"/>
      <c r="O398" s="133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133"/>
      <c r="O399" s="133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133"/>
      <c r="O400" s="133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133"/>
      <c r="O401" s="133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133"/>
      <c r="O402" s="133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133"/>
      <c r="O403" s="133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133"/>
      <c r="O404" s="133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133"/>
      <c r="O405" s="133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133"/>
      <c r="O406" s="133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133"/>
      <c r="O407" s="133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133"/>
      <c r="O408" s="133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133"/>
      <c r="O409" s="133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133"/>
      <c r="O410" s="133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133"/>
      <c r="O411" s="133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133"/>
      <c r="O412" s="133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133"/>
      <c r="O413" s="133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133"/>
      <c r="O414" s="133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133"/>
      <c r="O415" s="133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133"/>
      <c r="O416" s="133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133"/>
      <c r="O417" s="133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133"/>
      <c r="O418" s="133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133"/>
      <c r="O419" s="133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133"/>
      <c r="O420" s="133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133"/>
      <c r="O421" s="133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133"/>
      <c r="O422" s="133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133"/>
      <c r="O423" s="133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133"/>
      <c r="O424" s="133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133"/>
      <c r="O425" s="133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133"/>
      <c r="O426" s="133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133"/>
      <c r="O427" s="133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133"/>
      <c r="O428" s="133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133"/>
      <c r="O429" s="133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133"/>
      <c r="O430" s="133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133"/>
      <c r="O431" s="133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133"/>
      <c r="O432" s="133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133"/>
      <c r="O433" s="133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133"/>
      <c r="O434" s="133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133"/>
      <c r="O435" s="133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133"/>
      <c r="O436" s="133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133"/>
      <c r="O437" s="133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133"/>
      <c r="O438" s="133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133"/>
      <c r="O439" s="133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133"/>
      <c r="O440" s="133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133"/>
      <c r="O441" s="133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133"/>
      <c r="O442" s="133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133"/>
      <c r="O443" s="133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133"/>
      <c r="O444" s="133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133"/>
      <c r="O445" s="133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133"/>
      <c r="O446" s="133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133"/>
      <c r="O447" s="133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133"/>
      <c r="O448" s="133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133"/>
      <c r="O449" s="133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133"/>
      <c r="O450" s="133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133"/>
      <c r="O451" s="133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133"/>
      <c r="O452" s="133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133"/>
      <c r="O453" s="133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133"/>
      <c r="O454" s="133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133"/>
      <c r="O455" s="133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133"/>
      <c r="O456" s="133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133"/>
      <c r="O457" s="133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133"/>
      <c r="O458" s="133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133"/>
      <c r="O459" s="133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133"/>
      <c r="O460" s="133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133"/>
      <c r="O461" s="133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133"/>
      <c r="O462" s="133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133"/>
      <c r="O463" s="133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133"/>
      <c r="O464" s="133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133"/>
      <c r="O465" s="133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133"/>
      <c r="O466" s="133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133"/>
      <c r="O467" s="133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133"/>
      <c r="O468" s="133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133"/>
      <c r="O469" s="133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133"/>
      <c r="O470" s="133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133"/>
      <c r="O471" s="133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133"/>
      <c r="O472" s="133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133"/>
      <c r="O473" s="133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133"/>
      <c r="O474" s="133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133"/>
      <c r="O475" s="133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133"/>
      <c r="O476" s="133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133"/>
      <c r="O477" s="133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133"/>
      <c r="O478" s="133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133"/>
      <c r="O479" s="133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133"/>
      <c r="O480" s="133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133"/>
      <c r="O481" s="133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133"/>
      <c r="O482" s="133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133"/>
      <c r="O483" s="133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133"/>
      <c r="O484" s="133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133"/>
      <c r="O485" s="133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133"/>
      <c r="O486" s="133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133"/>
      <c r="O487" s="133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133"/>
      <c r="O488" s="133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133"/>
      <c r="O489" s="133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133"/>
      <c r="O490" s="133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133"/>
      <c r="O491" s="133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133"/>
      <c r="O492" s="133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133"/>
      <c r="O493" s="133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133"/>
      <c r="O494" s="133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133"/>
      <c r="O495" s="133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133"/>
      <c r="O496" s="133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133"/>
      <c r="O497" s="133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133"/>
      <c r="O498" s="133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133"/>
      <c r="O499" s="133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133"/>
      <c r="O500" s="133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133"/>
      <c r="O501" s="133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133"/>
      <c r="O502" s="133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133"/>
      <c r="O503" s="133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133"/>
      <c r="O504" s="133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133"/>
      <c r="O505" s="133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133"/>
      <c r="O506" s="133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133"/>
      <c r="O507" s="133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133"/>
      <c r="O508" s="133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133"/>
      <c r="O509" s="133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133"/>
      <c r="O510" s="133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133"/>
      <c r="O511" s="133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133"/>
      <c r="O512" s="133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133"/>
      <c r="O513" s="133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133"/>
      <c r="O514" s="133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133"/>
      <c r="O515" s="133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133"/>
      <c r="O516" s="133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133"/>
      <c r="O517" s="133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133"/>
      <c r="O518" s="133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133"/>
      <c r="O519" s="133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133"/>
      <c r="O520" s="133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133"/>
      <c r="O521" s="133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133"/>
      <c r="O522" s="133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133"/>
      <c r="O523" s="133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133"/>
      <c r="O524" s="133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133"/>
      <c r="O525" s="133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133"/>
      <c r="O526" s="133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133"/>
      <c r="O527" s="133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133"/>
      <c r="O528" s="133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133"/>
      <c r="O529" s="133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133"/>
      <c r="O530" s="133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133"/>
      <c r="O531" s="133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133"/>
      <c r="O532" s="133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133"/>
      <c r="O533" s="133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133"/>
      <c r="O534" s="133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133"/>
      <c r="O535" s="133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133"/>
      <c r="O536" s="133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133"/>
      <c r="O537" s="133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133"/>
      <c r="O538" s="133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133"/>
      <c r="O539" s="133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133"/>
      <c r="O540" s="133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133"/>
      <c r="O541" s="133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133"/>
      <c r="O542" s="133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133"/>
      <c r="O543" s="133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133"/>
      <c r="O544" s="133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133"/>
      <c r="O545" s="133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133"/>
      <c r="O546" s="133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133"/>
      <c r="O547" s="133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133"/>
      <c r="O548" s="133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133"/>
      <c r="O549" s="133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133"/>
      <c r="O550" s="133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133"/>
      <c r="O551" s="133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133"/>
      <c r="O552" s="133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133"/>
      <c r="O553" s="133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133"/>
      <c r="O554" s="133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133"/>
      <c r="O555" s="133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133"/>
      <c r="O556" s="133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133"/>
      <c r="O557" s="133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133"/>
      <c r="O558" s="133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133"/>
      <c r="O559" s="133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133"/>
      <c r="O560" s="133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133"/>
      <c r="O561" s="133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133"/>
      <c r="O562" s="133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133"/>
      <c r="O563" s="133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133"/>
      <c r="O564" s="133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133"/>
      <c r="O565" s="133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133"/>
      <c r="O566" s="133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133"/>
      <c r="O567" s="133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133"/>
      <c r="O568" s="133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133"/>
      <c r="O569" s="133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133"/>
      <c r="O570" s="133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133"/>
      <c r="O571" s="133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133"/>
      <c r="O572" s="133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133"/>
      <c r="O573" s="133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133"/>
      <c r="O574" s="133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133"/>
      <c r="O575" s="133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133"/>
      <c r="O576" s="133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133"/>
      <c r="O577" s="133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133"/>
      <c r="O578" s="133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133"/>
      <c r="O579" s="133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133"/>
      <c r="O580" s="133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133"/>
      <c r="O581" s="133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133"/>
      <c r="O582" s="133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133"/>
      <c r="O583" s="133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133"/>
      <c r="O584" s="133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133"/>
      <c r="O585" s="133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133"/>
      <c r="O586" s="133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133"/>
      <c r="O587" s="133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133"/>
      <c r="O588" s="133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133"/>
      <c r="O589" s="133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133"/>
      <c r="O590" s="133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133"/>
      <c r="O591" s="133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133"/>
      <c r="O592" s="133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133"/>
      <c r="O593" s="133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133"/>
      <c r="O594" s="133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133"/>
      <c r="O595" s="133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133"/>
      <c r="O596" s="133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133"/>
      <c r="O597" s="133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133"/>
      <c r="O598" s="133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133"/>
      <c r="O599" s="133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133"/>
      <c r="O600" s="133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133"/>
      <c r="O601" s="133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133"/>
      <c r="O602" s="133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133"/>
      <c r="O603" s="133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133"/>
      <c r="O604" s="133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133"/>
      <c r="O605" s="133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133"/>
      <c r="O606" s="133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133"/>
      <c r="O607" s="133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133"/>
      <c r="O608" s="133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133"/>
      <c r="O609" s="133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133"/>
      <c r="O610" s="133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133"/>
      <c r="O611" s="133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133"/>
      <c r="O612" s="133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133"/>
      <c r="O613" s="133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133"/>
      <c r="O614" s="133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133"/>
      <c r="O615" s="133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133"/>
      <c r="O616" s="133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133"/>
      <c r="O617" s="133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133"/>
      <c r="O618" s="133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133"/>
      <c r="O619" s="133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133"/>
      <c r="O620" s="133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133"/>
      <c r="O621" s="133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133"/>
      <c r="O622" s="133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133"/>
      <c r="O623" s="133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133"/>
      <c r="O624" s="133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133"/>
      <c r="O625" s="133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133"/>
      <c r="O626" s="133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133"/>
      <c r="O627" s="133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133"/>
      <c r="O628" s="133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133"/>
      <c r="O629" s="133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133"/>
      <c r="O630" s="133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133"/>
      <c r="O631" s="133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133"/>
      <c r="O632" s="133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133"/>
      <c r="O633" s="133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133"/>
      <c r="O634" s="133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133"/>
      <c r="O635" s="133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133"/>
      <c r="O636" s="133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133"/>
      <c r="O637" s="133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133"/>
      <c r="O638" s="133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133"/>
      <c r="O639" s="133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133"/>
      <c r="O640" s="133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133"/>
      <c r="O641" s="133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133"/>
      <c r="O642" s="133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133"/>
      <c r="O643" s="133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133"/>
      <c r="O644" s="133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133"/>
      <c r="O645" s="133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133"/>
      <c r="O646" s="133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133"/>
      <c r="O647" s="133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133"/>
      <c r="O648" s="133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133"/>
      <c r="O649" s="133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133"/>
      <c r="O650" s="133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133"/>
      <c r="O651" s="133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133"/>
      <c r="O652" s="133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133"/>
      <c r="O653" s="133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133"/>
      <c r="O654" s="133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133"/>
      <c r="O655" s="133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133"/>
      <c r="O656" s="133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133"/>
      <c r="O657" s="133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133"/>
      <c r="O658" s="133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133"/>
      <c r="O659" s="133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133"/>
      <c r="O660" s="133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133"/>
      <c r="O661" s="133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133"/>
      <c r="O662" s="133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133"/>
      <c r="O663" s="133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133"/>
      <c r="O664" s="133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133"/>
      <c r="O665" s="133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133"/>
      <c r="O666" s="133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133"/>
      <c r="O667" s="133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133"/>
      <c r="O668" s="133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133"/>
      <c r="O669" s="133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133"/>
      <c r="O670" s="133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133"/>
      <c r="O671" s="133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133"/>
      <c r="O672" s="133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133"/>
      <c r="O673" s="133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133"/>
      <c r="O674" s="133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133"/>
      <c r="O675" s="133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133"/>
      <c r="O676" s="133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133"/>
      <c r="O677" s="133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133"/>
      <c r="O678" s="133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133"/>
      <c r="O679" s="133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133"/>
      <c r="O680" s="133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133"/>
      <c r="O681" s="133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133"/>
      <c r="O682" s="133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133"/>
      <c r="O683" s="133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133"/>
      <c r="O684" s="133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133"/>
      <c r="O685" s="133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133"/>
      <c r="O686" s="133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133"/>
      <c r="O687" s="133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133"/>
      <c r="O688" s="133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133"/>
      <c r="O689" s="133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133"/>
      <c r="O690" s="133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133"/>
      <c r="O691" s="133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133"/>
      <c r="O692" s="133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133"/>
      <c r="O693" s="133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133"/>
      <c r="O694" s="133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133"/>
      <c r="O695" s="133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133"/>
      <c r="O696" s="133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133"/>
      <c r="O697" s="133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133"/>
      <c r="O698" s="133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133"/>
      <c r="O699" s="133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133"/>
      <c r="O700" s="133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133"/>
      <c r="O701" s="133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133"/>
      <c r="O702" s="133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133"/>
      <c r="O703" s="133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133"/>
      <c r="O704" s="133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133"/>
      <c r="O705" s="133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133"/>
      <c r="O706" s="133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133"/>
      <c r="O707" s="133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133"/>
      <c r="O708" s="133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133"/>
      <c r="O709" s="133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133"/>
      <c r="O710" s="133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133"/>
      <c r="O711" s="133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133"/>
      <c r="O712" s="133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133"/>
      <c r="O713" s="133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133"/>
      <c r="O714" s="133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133"/>
      <c r="O715" s="133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133"/>
      <c r="O716" s="133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133"/>
      <c r="O717" s="133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133"/>
      <c r="O718" s="133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133"/>
      <c r="O719" s="133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133"/>
      <c r="O720" s="133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133"/>
      <c r="O721" s="133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133"/>
      <c r="O722" s="133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133"/>
      <c r="O723" s="133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133"/>
      <c r="O724" s="133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133"/>
      <c r="O725" s="133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133"/>
      <c r="O726" s="133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133"/>
      <c r="O727" s="133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133"/>
      <c r="O728" s="133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133"/>
      <c r="O729" s="133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133"/>
      <c r="O730" s="133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133"/>
      <c r="O731" s="133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133"/>
      <c r="O732" s="133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133"/>
      <c r="O733" s="133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133"/>
      <c r="O734" s="133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133"/>
      <c r="O735" s="133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133"/>
      <c r="O736" s="133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133"/>
      <c r="O737" s="133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133"/>
      <c r="O738" s="133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133"/>
      <c r="O739" s="133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133"/>
      <c r="O740" s="133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133"/>
      <c r="O741" s="133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133"/>
      <c r="O742" s="133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133"/>
      <c r="O743" s="133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133"/>
      <c r="O744" s="133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133"/>
      <c r="O745" s="133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133"/>
      <c r="O746" s="133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133"/>
      <c r="O747" s="133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133"/>
      <c r="O748" s="133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133"/>
      <c r="O749" s="133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133"/>
      <c r="O750" s="133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133"/>
      <c r="O751" s="133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133"/>
      <c r="O752" s="133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133"/>
      <c r="O753" s="133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133"/>
      <c r="O754" s="133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133"/>
      <c r="O755" s="133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133"/>
      <c r="O756" s="133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133"/>
      <c r="O757" s="133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133"/>
      <c r="O758" s="133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133"/>
      <c r="O759" s="133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133"/>
      <c r="O760" s="133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133"/>
      <c r="O761" s="133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133"/>
      <c r="O762" s="133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133"/>
      <c r="O763" s="133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133"/>
      <c r="O764" s="133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133"/>
      <c r="O765" s="133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133"/>
      <c r="O766" s="133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133"/>
      <c r="O767" s="133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133"/>
      <c r="O768" s="133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133"/>
      <c r="O769" s="133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133"/>
      <c r="O770" s="133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133"/>
      <c r="O771" s="133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133"/>
      <c r="O772" s="133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133"/>
      <c r="O773" s="133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133"/>
      <c r="O774" s="133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133"/>
      <c r="O775" s="133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133"/>
      <c r="O776" s="133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133"/>
      <c r="O777" s="133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133"/>
      <c r="O778" s="133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133"/>
      <c r="O779" s="133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133"/>
      <c r="O780" s="133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133"/>
      <c r="O781" s="133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133"/>
      <c r="O782" s="133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133"/>
      <c r="O783" s="133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133"/>
      <c r="O784" s="133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133"/>
      <c r="O785" s="133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133"/>
      <c r="O786" s="133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133"/>
      <c r="O787" s="133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133"/>
      <c r="O788" s="133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133"/>
      <c r="O789" s="133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133"/>
      <c r="O790" s="133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133"/>
      <c r="O791" s="133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133"/>
      <c r="O792" s="133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133"/>
      <c r="O793" s="133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133"/>
      <c r="O794" s="133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133"/>
      <c r="O795" s="133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133"/>
      <c r="O796" s="133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133"/>
      <c r="O797" s="133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133"/>
      <c r="O798" s="133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133"/>
      <c r="O799" s="133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133"/>
      <c r="O800" s="133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133"/>
      <c r="O801" s="133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133"/>
      <c r="O802" s="133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133"/>
      <c r="O803" s="133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133"/>
      <c r="O804" s="133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133"/>
      <c r="O805" s="133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133"/>
      <c r="O806" s="133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133"/>
      <c r="O807" s="133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133"/>
      <c r="O808" s="133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133"/>
      <c r="O809" s="133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133"/>
      <c r="O810" s="133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133"/>
      <c r="O811" s="133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133"/>
      <c r="O812" s="133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133"/>
      <c r="O813" s="133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133"/>
      <c r="O814" s="133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133"/>
      <c r="O815" s="133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133"/>
      <c r="O816" s="133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133"/>
      <c r="O817" s="133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133"/>
      <c r="O818" s="133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133"/>
      <c r="O819" s="133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133"/>
      <c r="O820" s="133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133"/>
      <c r="O821" s="133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133"/>
      <c r="O822" s="133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133"/>
      <c r="O823" s="133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133"/>
      <c r="O824" s="133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133"/>
      <c r="O825" s="133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133"/>
      <c r="O826" s="133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133"/>
      <c r="O827" s="133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133"/>
      <c r="O828" s="133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133"/>
      <c r="O829" s="133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133"/>
      <c r="O830" s="133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133"/>
      <c r="O831" s="133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133"/>
      <c r="O832" s="133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133"/>
      <c r="O833" s="133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133"/>
      <c r="O834" s="133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133"/>
      <c r="O835" s="133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133"/>
      <c r="O836" s="133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133"/>
      <c r="O837" s="133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133"/>
      <c r="O838" s="133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133"/>
      <c r="O839" s="133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133"/>
      <c r="O840" s="133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133"/>
      <c r="O841" s="133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133"/>
      <c r="O842" s="133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133"/>
      <c r="O843" s="133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133"/>
      <c r="O844" s="133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133"/>
      <c r="O845" s="133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133"/>
      <c r="O846" s="133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133"/>
      <c r="O847" s="133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133"/>
      <c r="O848" s="133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133"/>
      <c r="O849" s="133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133"/>
      <c r="O850" s="133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133"/>
      <c r="O851" s="133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133"/>
      <c r="O852" s="133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133"/>
      <c r="O853" s="133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133"/>
      <c r="O854" s="133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133"/>
      <c r="O855" s="133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133"/>
      <c r="O856" s="133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133"/>
      <c r="O857" s="133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133"/>
      <c r="O858" s="133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133"/>
      <c r="O859" s="133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133"/>
      <c r="O860" s="133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133"/>
      <c r="O861" s="133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133"/>
      <c r="O862" s="133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133"/>
      <c r="O863" s="133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133"/>
      <c r="O864" s="133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133"/>
      <c r="O865" s="133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133"/>
      <c r="O866" s="133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133"/>
      <c r="O867" s="133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133"/>
      <c r="O868" s="133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133"/>
      <c r="O869" s="133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133"/>
      <c r="O870" s="133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133"/>
      <c r="O871" s="133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133"/>
      <c r="O872" s="133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133"/>
      <c r="O873" s="133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133"/>
      <c r="O874" s="133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133"/>
      <c r="O875" s="133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133"/>
      <c r="O876" s="133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133"/>
      <c r="O877" s="133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133"/>
      <c r="O878" s="133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133"/>
      <c r="O879" s="133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133"/>
      <c r="O880" s="133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133"/>
      <c r="O881" s="133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133"/>
      <c r="O882" s="133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133"/>
      <c r="O883" s="133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133"/>
      <c r="O884" s="133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133"/>
      <c r="O885" s="133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133"/>
      <c r="O886" s="133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133"/>
      <c r="O887" s="133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133"/>
      <c r="O888" s="133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133"/>
      <c r="O889" s="133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133"/>
      <c r="O890" s="133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133"/>
      <c r="O891" s="133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133"/>
      <c r="O892" s="133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133"/>
      <c r="O893" s="133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133"/>
      <c r="O894" s="133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133"/>
      <c r="O895" s="133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133"/>
      <c r="O896" s="133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133"/>
      <c r="O897" s="133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133"/>
      <c r="O898" s="133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133"/>
      <c r="O899" s="133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133"/>
      <c r="O900" s="133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133"/>
      <c r="O901" s="133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133"/>
      <c r="O902" s="133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133"/>
      <c r="O903" s="133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133"/>
      <c r="O904" s="133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133"/>
      <c r="O905" s="133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133"/>
      <c r="O906" s="133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133"/>
      <c r="O907" s="133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133"/>
      <c r="O908" s="133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133"/>
      <c r="O909" s="133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133"/>
      <c r="O910" s="133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133"/>
      <c r="O911" s="133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133"/>
      <c r="O912" s="133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133"/>
      <c r="O913" s="133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133"/>
      <c r="O914" s="133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133"/>
      <c r="O915" s="133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133"/>
      <c r="O916" s="133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133"/>
      <c r="O917" s="133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133"/>
      <c r="O918" s="133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133"/>
      <c r="O919" s="133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133"/>
      <c r="O920" s="133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133"/>
      <c r="O921" s="133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133"/>
      <c r="O922" s="133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133"/>
      <c r="O923" s="133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133"/>
      <c r="O924" s="133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133"/>
      <c r="O925" s="133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133"/>
      <c r="O926" s="133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133"/>
      <c r="O927" s="133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133"/>
      <c r="O928" s="133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133"/>
      <c r="O929" s="133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133"/>
      <c r="O930" s="133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133"/>
      <c r="O931" s="133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133"/>
      <c r="O932" s="133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133"/>
      <c r="O933" s="133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133"/>
      <c r="O934" s="133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133"/>
      <c r="O935" s="133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133"/>
      <c r="O936" s="133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133"/>
      <c r="O937" s="133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133"/>
      <c r="O938" s="133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133"/>
      <c r="O939" s="133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133"/>
      <c r="O940" s="133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133"/>
      <c r="O941" s="133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133"/>
      <c r="O942" s="133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133"/>
      <c r="O943" s="133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133"/>
      <c r="O944" s="133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133"/>
      <c r="O945" s="133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133"/>
      <c r="O946" s="133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133"/>
      <c r="O947" s="133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133"/>
      <c r="O948" s="133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133"/>
      <c r="O949" s="133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133"/>
      <c r="O950" s="133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133"/>
      <c r="O951" s="133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133"/>
      <c r="O952" s="133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133"/>
      <c r="O953" s="133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133"/>
      <c r="O954" s="133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133"/>
      <c r="O955" s="133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133"/>
      <c r="O956" s="133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133"/>
      <c r="O957" s="133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133"/>
      <c r="O958" s="133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133"/>
      <c r="O959" s="133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133"/>
      <c r="O960" s="133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133"/>
      <c r="O961" s="133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133"/>
      <c r="O962" s="133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133"/>
      <c r="O963" s="133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133"/>
      <c r="O964" s="133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133"/>
      <c r="O965" s="133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133"/>
      <c r="O966" s="133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133"/>
      <c r="O967" s="133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133"/>
      <c r="O968" s="133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133"/>
      <c r="O969" s="133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133"/>
      <c r="O970" s="133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133"/>
      <c r="O971" s="133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133"/>
      <c r="O972" s="133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133"/>
      <c r="O973" s="133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133"/>
      <c r="O974" s="133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133"/>
      <c r="O975" s="133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133"/>
      <c r="O976" s="133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133"/>
      <c r="O977" s="133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133"/>
      <c r="O978" s="133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133"/>
      <c r="O979" s="133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133"/>
      <c r="O980" s="133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133"/>
      <c r="O981" s="133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133"/>
      <c r="O982" s="133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133"/>
      <c r="O983" s="133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133"/>
      <c r="O984" s="133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133"/>
      <c r="O985" s="133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133"/>
      <c r="O986" s="133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133"/>
      <c r="O987" s="133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133"/>
      <c r="O988" s="133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133"/>
      <c r="O989" s="133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133"/>
      <c r="O990" s="133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133"/>
      <c r="O991" s="133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133"/>
      <c r="O992" s="133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133"/>
      <c r="O993" s="133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133"/>
      <c r="O994" s="133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133"/>
      <c r="O995" s="133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133"/>
      <c r="O996" s="133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133"/>
      <c r="O997" s="133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133"/>
      <c r="O998" s="133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133"/>
      <c r="O999" s="133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133"/>
      <c r="O1000" s="133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M1000"/>
  <sheetViews>
    <sheetView workbookViewId="0">
      <selection activeCell="G28" sqref="G28"/>
    </sheetView>
  </sheetViews>
  <sheetFormatPr defaultColWidth="14.42578125" defaultRowHeight="15" customHeight="1" x14ac:dyDescent="0.25"/>
  <cols>
    <col min="1" max="3" width="8.7109375" customWidth="1"/>
    <col min="4" max="4" width="14.42578125" customWidth="1"/>
    <col min="5" max="5" width="15.85546875" customWidth="1"/>
    <col min="6" max="6" width="14.85546875" customWidth="1"/>
    <col min="7" max="7" width="11.7109375" customWidth="1"/>
    <col min="8" max="8" width="9.7109375" customWidth="1"/>
    <col min="9" max="10" width="8.7109375" customWidth="1"/>
    <col min="11" max="11" width="11.7109375" customWidth="1"/>
    <col min="12" max="12" width="9" customWidth="1"/>
    <col min="13" max="26" width="8.7109375" customWidth="1"/>
  </cols>
  <sheetData>
    <row r="1" spans="2:13" ht="12.75" customHeight="1" x14ac:dyDescent="0.25"/>
    <row r="2" spans="2:13" ht="12.75" customHeight="1" x14ac:dyDescent="0.25"/>
    <row r="3" spans="2:13" ht="12.75" customHeight="1" x14ac:dyDescent="0.25"/>
    <row r="4" spans="2:13" ht="12.75" customHeight="1" x14ac:dyDescent="0.25"/>
    <row r="5" spans="2:13" ht="12.75" customHeight="1" x14ac:dyDescent="0.25">
      <c r="D5" s="39" t="s">
        <v>127</v>
      </c>
      <c r="E5" s="39" t="s">
        <v>133</v>
      </c>
      <c r="F5" s="39" t="s">
        <v>130</v>
      </c>
      <c r="G5" s="39" t="s">
        <v>131</v>
      </c>
      <c r="H5" s="39" t="s">
        <v>132</v>
      </c>
      <c r="I5" s="39" t="s">
        <v>164</v>
      </c>
      <c r="J5" s="39" t="s">
        <v>142</v>
      </c>
      <c r="K5" s="39" t="s">
        <v>141</v>
      </c>
      <c r="L5" s="39" t="s">
        <v>165</v>
      </c>
      <c r="M5" s="39" t="s">
        <v>163</v>
      </c>
    </row>
    <row r="6" spans="2:13" ht="12.75" customHeight="1" x14ac:dyDescent="0.25">
      <c r="B6" s="154" t="s">
        <v>166</v>
      </c>
      <c r="C6" s="7" t="s">
        <v>167</v>
      </c>
      <c r="D6" s="46">
        <v>2.5</v>
      </c>
      <c r="E6" s="46">
        <v>0.75</v>
      </c>
      <c r="F6" s="46">
        <v>4.5</v>
      </c>
      <c r="G6" s="46">
        <v>1.5</v>
      </c>
      <c r="H6" s="46">
        <v>1.25</v>
      </c>
      <c r="I6" s="46">
        <v>6.8</v>
      </c>
      <c r="J6" s="46">
        <v>6.5</v>
      </c>
      <c r="K6" s="46">
        <v>1.2</v>
      </c>
      <c r="L6" s="46">
        <v>1.5</v>
      </c>
      <c r="M6" s="46">
        <v>6.5</v>
      </c>
    </row>
    <row r="7" spans="2:13" ht="12.75" customHeight="1" x14ac:dyDescent="0.25">
      <c r="B7" s="155"/>
      <c r="C7" s="7" t="s">
        <v>168</v>
      </c>
      <c r="D7" s="47">
        <v>1.3716279178867452</v>
      </c>
      <c r="E7" s="47">
        <v>0.87164452163370731</v>
      </c>
      <c r="F7" s="47">
        <v>6.5900268382448797</v>
      </c>
      <c r="G7" s="47">
        <v>1.7560710813108671</v>
      </c>
      <c r="H7" s="47">
        <v>1.4794834103460122</v>
      </c>
      <c r="I7" s="47">
        <v>6.1632258630205721</v>
      </c>
      <c r="J7" s="47">
        <v>6.3444422201305457</v>
      </c>
      <c r="K7" s="47">
        <v>1.2553873551357686</v>
      </c>
      <c r="L7" s="47">
        <v>2.0151745545610398</v>
      </c>
      <c r="M7" s="47">
        <v>8.3168758162833143</v>
      </c>
    </row>
    <row r="8" spans="2:13" ht="12.75" customHeight="1" x14ac:dyDescent="0.25">
      <c r="B8" s="155"/>
      <c r="C8" s="7" t="s">
        <v>169</v>
      </c>
      <c r="D8" s="46">
        <v>2.0894319729541331</v>
      </c>
      <c r="E8" s="46">
        <v>0.9429848152367003</v>
      </c>
      <c r="F8" s="46">
        <v>4.9355733512841624</v>
      </c>
      <c r="G8" s="46">
        <v>1.3894248629666022</v>
      </c>
      <c r="H8" s="46">
        <v>0.98274794067505944</v>
      </c>
      <c r="I8" s="46">
        <v>9.069599658896939</v>
      </c>
      <c r="J8" s="46">
        <v>9.061548312391233</v>
      </c>
      <c r="K8" s="46">
        <v>1.6608369539392234</v>
      </c>
      <c r="L8" s="46">
        <v>0.92312014901072148</v>
      </c>
      <c r="M8" s="46">
        <v>3.6366487426933163</v>
      </c>
    </row>
    <row r="9" spans="2:13" ht="12.75" customHeight="1" x14ac:dyDescent="0.25">
      <c r="B9" s="155"/>
      <c r="C9" s="7" t="s">
        <v>170</v>
      </c>
      <c r="D9" s="47">
        <v>3.2059714540845863</v>
      </c>
      <c r="E9" s="47">
        <v>0.75264980525332092</v>
      </c>
      <c r="F9" s="47">
        <v>2.6680743558814162</v>
      </c>
      <c r="G9" s="47">
        <v>1.4849540362195355</v>
      </c>
      <c r="H9" s="47">
        <v>1.5806763812306639</v>
      </c>
      <c r="I9" s="47">
        <v>7.0261544636506956</v>
      </c>
      <c r="J9" s="47">
        <v>8.020308897431061</v>
      </c>
      <c r="K9" s="47">
        <v>1.547136301399902</v>
      </c>
      <c r="L9" s="47">
        <v>1.2007936330416782</v>
      </c>
      <c r="M9" s="47">
        <v>9.1768169395911947</v>
      </c>
    </row>
    <row r="10" spans="2:13" ht="12.75" customHeight="1" x14ac:dyDescent="0.25">
      <c r="B10" s="155"/>
      <c r="C10" s="7" t="s">
        <v>171</v>
      </c>
      <c r="D10" s="46">
        <v>2.7317924077831095</v>
      </c>
      <c r="E10" s="46">
        <v>0.79022382032227789</v>
      </c>
      <c r="F10" s="46">
        <v>2.8878294364616104</v>
      </c>
      <c r="G10" s="46">
        <v>1.9500664008531057</v>
      </c>
      <c r="H10" s="46">
        <v>0.97146367060579686</v>
      </c>
      <c r="I10" s="46">
        <v>4.7806684737339911</v>
      </c>
      <c r="J10" s="46">
        <v>7.0555893958151774</v>
      </c>
      <c r="K10" s="46">
        <v>1.6651510049498304</v>
      </c>
      <c r="L10" s="46">
        <v>0.83978761210922248</v>
      </c>
      <c r="M10" s="46">
        <v>6.3812061973109184</v>
      </c>
    </row>
    <row r="11" spans="2:13" ht="12.75" customHeight="1" x14ac:dyDescent="0.25">
      <c r="B11" s="155"/>
      <c r="C11" s="7" t="s">
        <v>172</v>
      </c>
      <c r="D11" s="47">
        <v>3.0291773948414247</v>
      </c>
      <c r="E11" s="47">
        <v>0.78423707313208679</v>
      </c>
      <c r="F11" s="47">
        <v>6.6757292172846023</v>
      </c>
      <c r="G11" s="47">
        <v>1.4540544655013614</v>
      </c>
      <c r="H11" s="47">
        <v>1.255498666050832</v>
      </c>
      <c r="I11" s="47">
        <v>6.4148815692349324</v>
      </c>
      <c r="J11" s="47">
        <v>4.0107442824939792</v>
      </c>
      <c r="K11" s="47">
        <v>1.1330291042239415</v>
      </c>
      <c r="L11" s="47">
        <v>2.1684213935763577</v>
      </c>
      <c r="M11" s="47">
        <v>4.2079741306292213</v>
      </c>
    </row>
    <row r="12" spans="2:13" ht="12.75" customHeight="1" x14ac:dyDescent="0.25">
      <c r="B12" s="155"/>
      <c r="C12" s="7" t="s">
        <v>173</v>
      </c>
      <c r="D12" s="46">
        <v>2.042136553081618</v>
      </c>
      <c r="E12" s="46">
        <v>1.0764283836997799</v>
      </c>
      <c r="F12" s="46">
        <v>5.1635046388777424</v>
      </c>
      <c r="G12" s="46">
        <v>1.2956987206952588</v>
      </c>
      <c r="H12" s="46">
        <v>1.2307641755925045</v>
      </c>
      <c r="I12" s="46">
        <v>8.2407106661901022</v>
      </c>
      <c r="J12" s="46">
        <v>6.5338534098204377</v>
      </c>
      <c r="K12" s="46">
        <v>0.92367017907162885</v>
      </c>
      <c r="L12" s="46">
        <v>0.85302327747358231</v>
      </c>
      <c r="M12" s="46">
        <v>9.4574050799191856</v>
      </c>
    </row>
    <row r="13" spans="2:13" ht="12.75" customHeight="1" x14ac:dyDescent="0.25">
      <c r="B13" s="155"/>
      <c r="C13" s="7" t="s">
        <v>174</v>
      </c>
      <c r="D13" s="47">
        <v>2.4855141620694923</v>
      </c>
      <c r="E13" s="47">
        <v>0.82950150505402065</v>
      </c>
      <c r="F13" s="47">
        <v>4.1716886166186011</v>
      </c>
      <c r="G13" s="47">
        <v>0.76558845019723076</v>
      </c>
      <c r="H13" s="47">
        <v>1.7575650132846743</v>
      </c>
      <c r="I13" s="47">
        <v>6.1360596965497951</v>
      </c>
      <c r="J13" s="47">
        <v>8.6536756158497194</v>
      </c>
      <c r="K13" s="47">
        <v>1.1205580597561495</v>
      </c>
      <c r="L13" s="47">
        <v>1.7346249156634048</v>
      </c>
      <c r="M13" s="47">
        <v>5.4411169503480732</v>
      </c>
    </row>
    <row r="14" spans="2:13" ht="12.75" customHeight="1" x14ac:dyDescent="0.25">
      <c r="B14" s="155"/>
      <c r="C14" s="7" t="s">
        <v>175</v>
      </c>
      <c r="D14" s="46">
        <v>2.0129103980635716</v>
      </c>
      <c r="E14" s="46">
        <v>1.0426350561035722</v>
      </c>
      <c r="F14" s="46">
        <v>5.3300030951287276</v>
      </c>
      <c r="G14" s="46">
        <v>1.6899264933411371</v>
      </c>
      <c r="H14" s="46">
        <v>1.8308787786446832</v>
      </c>
      <c r="I14" s="46">
        <v>8.8007216306478302</v>
      </c>
      <c r="J14" s="46">
        <v>4.4660826723883362</v>
      </c>
      <c r="K14" s="46">
        <v>0.68840450123681141</v>
      </c>
      <c r="L14" s="46">
        <v>1.225391233329689</v>
      </c>
      <c r="M14" s="46">
        <v>9.1517289846133512</v>
      </c>
    </row>
    <row r="15" spans="2:13" ht="12.75" customHeight="1" x14ac:dyDescent="0.25">
      <c r="B15" s="155"/>
      <c r="C15" s="7" t="s">
        <v>176</v>
      </c>
      <c r="D15" s="47">
        <v>2.6626445587303422</v>
      </c>
      <c r="E15" s="47">
        <v>0.44282249549748876</v>
      </c>
      <c r="F15" s="47">
        <v>5.8262320774465675</v>
      </c>
      <c r="G15" s="47">
        <v>1.3434882381767432</v>
      </c>
      <c r="H15" s="47">
        <v>1.5525544279710768</v>
      </c>
      <c r="I15" s="47">
        <v>5.2185025659118063</v>
      </c>
      <c r="J15" s="47">
        <v>9.4243364400375302</v>
      </c>
      <c r="K15" s="47">
        <v>1.1466290648202664</v>
      </c>
      <c r="L15" s="47">
        <v>1.6537934308679081</v>
      </c>
      <c r="M15" s="47">
        <v>7.8069757401788316</v>
      </c>
    </row>
    <row r="16" spans="2:13" ht="12.75" customHeight="1" x14ac:dyDescent="0.25">
      <c r="B16" s="155"/>
      <c r="C16" s="7" t="s">
        <v>177</v>
      </c>
      <c r="D16" s="46">
        <v>2.613130034073432</v>
      </c>
      <c r="E16" s="46">
        <v>0.45292759460279902</v>
      </c>
      <c r="F16" s="46">
        <v>4.6254337117602384</v>
      </c>
      <c r="G16" s="46">
        <v>2.1170956821339351</v>
      </c>
      <c r="H16" s="46">
        <v>0.78073997010027973</v>
      </c>
      <c r="I16" s="46">
        <v>10.187370059062724</v>
      </c>
      <c r="J16" s="46">
        <v>5.8687448366557167</v>
      </c>
      <c r="K16" s="46">
        <v>1.4699018296884461</v>
      </c>
      <c r="L16" s="46">
        <v>0.88725614182146595</v>
      </c>
      <c r="M16" s="46">
        <v>8.9037175849455874</v>
      </c>
    </row>
    <row r="17" spans="2:13" ht="12.75" customHeight="1" x14ac:dyDescent="0.25">
      <c r="B17" s="155"/>
      <c r="C17" s="7" t="s">
        <v>178</v>
      </c>
      <c r="D17" s="47">
        <v>3.3408901233443706</v>
      </c>
      <c r="E17" s="47">
        <v>0.77022019432012823</v>
      </c>
      <c r="F17" s="47">
        <v>3.0816786589016365</v>
      </c>
      <c r="G17" s="47">
        <v>1.2440500295028665</v>
      </c>
      <c r="H17" s="47">
        <v>1.4205369964896497</v>
      </c>
      <c r="I17" s="47">
        <v>3.7420134153041862</v>
      </c>
      <c r="J17" s="47">
        <v>5.6191996273943161</v>
      </c>
      <c r="K17" s="47">
        <v>1.4187282288468177</v>
      </c>
      <c r="L17" s="47">
        <v>1.8257713460890383</v>
      </c>
      <c r="M17" s="47">
        <v>3.8054634216814738</v>
      </c>
    </row>
    <row r="18" spans="2:13" ht="12.75" customHeight="1" x14ac:dyDescent="0.25">
      <c r="B18" s="155"/>
      <c r="C18" s="7" t="s">
        <v>179</v>
      </c>
      <c r="D18" s="46">
        <v>3.2441979846420277</v>
      </c>
      <c r="E18" s="46">
        <v>1.020976097530419</v>
      </c>
      <c r="F18" s="46">
        <v>5.6018862439359944</v>
      </c>
      <c r="G18" s="46">
        <v>1.9605528224914877</v>
      </c>
      <c r="H18" s="46">
        <v>0.76225294046677505</v>
      </c>
      <c r="I18" s="46">
        <v>9.2078807414803201</v>
      </c>
      <c r="J18" s="46">
        <v>6.7713742213883412</v>
      </c>
      <c r="K18" s="46">
        <v>1.7484065208862694</v>
      </c>
      <c r="L18" s="46">
        <v>1.492156181046097</v>
      </c>
      <c r="M18" s="46">
        <v>6.6002157408820405</v>
      </c>
    </row>
    <row r="19" spans="2:13" ht="12.75" customHeight="1" x14ac:dyDescent="0.25">
      <c r="B19" s="156"/>
      <c r="C19" s="7" t="s">
        <v>180</v>
      </c>
      <c r="D19" s="47">
        <v>1.5222857777104877</v>
      </c>
      <c r="E19" s="47">
        <v>0.9287683414142236</v>
      </c>
      <c r="F19" s="47">
        <v>4.7828871387245444</v>
      </c>
      <c r="G19" s="47">
        <v>1.7903212444492185</v>
      </c>
      <c r="H19" s="47">
        <v>1.3162115733941109</v>
      </c>
      <c r="I19" s="47">
        <v>8.959702404147734</v>
      </c>
      <c r="J19" s="47">
        <v>7.5902606369029275</v>
      </c>
      <c r="K19" s="47">
        <v>1.0495342717236757</v>
      </c>
      <c r="L19" s="47">
        <v>2.1305400062346123</v>
      </c>
      <c r="M19" s="47">
        <v>7.7651840474784732</v>
      </c>
    </row>
    <row r="20" spans="2:13" ht="12.75" customHeight="1" x14ac:dyDescent="0.25"/>
    <row r="21" spans="2:13" ht="12.75" customHeight="1" x14ac:dyDescent="0.25"/>
    <row r="22" spans="2:13" ht="12.75" customHeight="1" x14ac:dyDescent="0.25"/>
    <row r="23" spans="2:13" ht="12.75" customHeight="1" x14ac:dyDescent="0.25"/>
    <row r="24" spans="2:13" ht="12.75" customHeight="1" x14ac:dyDescent="0.25">
      <c r="D24" s="48" t="s">
        <v>127</v>
      </c>
      <c r="E24" s="49" t="s">
        <v>133</v>
      </c>
      <c r="F24" s="49" t="s">
        <v>130</v>
      </c>
      <c r="G24" s="49" t="s">
        <v>131</v>
      </c>
      <c r="H24" s="49" t="s">
        <v>132</v>
      </c>
      <c r="I24" s="49" t="s">
        <v>164</v>
      </c>
      <c r="J24" s="49" t="s">
        <v>142</v>
      </c>
      <c r="K24" s="49" t="s">
        <v>141</v>
      </c>
      <c r="L24" s="49" t="s">
        <v>165</v>
      </c>
      <c r="M24" s="50" t="s">
        <v>163</v>
      </c>
    </row>
    <row r="25" spans="2:13" ht="12.75" customHeight="1" x14ac:dyDescent="0.25">
      <c r="B25" s="154" t="s">
        <v>72</v>
      </c>
      <c r="C25" s="7" t="s">
        <v>167</v>
      </c>
      <c r="D25" s="41">
        <v>9</v>
      </c>
      <c r="E25" s="41">
        <v>14</v>
      </c>
      <c r="F25" s="41">
        <v>7</v>
      </c>
      <c r="G25" s="41">
        <v>12</v>
      </c>
      <c r="H25" s="41">
        <v>12</v>
      </c>
      <c r="I25" s="41">
        <v>5</v>
      </c>
      <c r="J25" s="41">
        <v>7</v>
      </c>
      <c r="K25" s="41">
        <v>15</v>
      </c>
      <c r="L25" s="41">
        <v>11</v>
      </c>
      <c r="M25" s="42">
        <v>7</v>
      </c>
    </row>
    <row r="26" spans="2:13" ht="12.75" customHeight="1" x14ac:dyDescent="0.25">
      <c r="B26" s="155"/>
      <c r="C26" s="7" t="s">
        <v>168</v>
      </c>
      <c r="D26" s="43">
        <v>10.654492757487054</v>
      </c>
      <c r="E26" s="43">
        <v>16.258602321977552</v>
      </c>
      <c r="F26" s="43">
        <v>6.5525461364709248</v>
      </c>
      <c r="G26" s="43">
        <v>17.993106857630693</v>
      </c>
      <c r="H26" s="43">
        <v>13.451738176402987</v>
      </c>
      <c r="I26" s="43">
        <v>5.6254865708170776</v>
      </c>
      <c r="J26" s="43">
        <v>6.9433969910850388</v>
      </c>
      <c r="K26" s="43">
        <v>19.727271829608707</v>
      </c>
      <c r="L26" s="43">
        <v>13.190684957906097</v>
      </c>
      <c r="M26" s="44">
        <v>6.4723728273148859</v>
      </c>
    </row>
    <row r="27" spans="2:13" ht="12.75" customHeight="1" x14ac:dyDescent="0.25">
      <c r="B27" s="155"/>
      <c r="C27" s="7" t="s">
        <v>169</v>
      </c>
      <c r="D27" s="41">
        <v>5.2860571752912939</v>
      </c>
      <c r="E27" s="41">
        <v>9.3641429387747763</v>
      </c>
      <c r="F27" s="41">
        <v>4.0027222860453167</v>
      </c>
      <c r="G27" s="41">
        <v>16.829787347508621</v>
      </c>
      <c r="H27" s="41">
        <v>10.825923490413658</v>
      </c>
      <c r="I27" s="41">
        <v>6.5482696853456179</v>
      </c>
      <c r="J27" s="41">
        <v>9.0542198135611471</v>
      </c>
      <c r="K27" s="41">
        <v>8.8911677945264511</v>
      </c>
      <c r="L27" s="41">
        <v>13.103715688180497</v>
      </c>
      <c r="M27" s="42">
        <v>5.0293330326925316</v>
      </c>
    </row>
    <row r="28" spans="2:13" ht="12.75" customHeight="1" x14ac:dyDescent="0.25">
      <c r="B28" s="155"/>
      <c r="C28" s="7" t="s">
        <v>170</v>
      </c>
      <c r="D28" s="43">
        <v>6.5643039231879792</v>
      </c>
      <c r="E28" s="43">
        <v>7.7853868200690899</v>
      </c>
      <c r="F28" s="43">
        <v>4.6995094079618678</v>
      </c>
      <c r="G28" s="43">
        <v>11.216814907083885</v>
      </c>
      <c r="H28" s="43">
        <v>15.340744990271009</v>
      </c>
      <c r="I28" s="43">
        <v>6.8437968681211503</v>
      </c>
      <c r="J28" s="43">
        <v>9.6136236006675535</v>
      </c>
      <c r="K28" s="43">
        <v>8.2634915425886728</v>
      </c>
      <c r="L28" s="43">
        <v>8.0856008470429561</v>
      </c>
      <c r="M28" s="44">
        <v>7.3902863487235058</v>
      </c>
    </row>
    <row r="29" spans="2:13" ht="12.75" customHeight="1" x14ac:dyDescent="0.25">
      <c r="B29" s="155"/>
      <c r="C29" s="7" t="s">
        <v>171</v>
      </c>
      <c r="D29" s="41">
        <v>12.597885435760045</v>
      </c>
      <c r="E29" s="41">
        <v>18.889971546597494</v>
      </c>
      <c r="F29" s="41">
        <v>6.3406780217955294</v>
      </c>
      <c r="G29" s="41">
        <v>7.8844367035453136</v>
      </c>
      <c r="H29" s="41">
        <v>16.206961290646341</v>
      </c>
      <c r="I29" s="41">
        <v>2.8057560647840889</v>
      </c>
      <c r="J29" s="41">
        <v>6.9913101718991655</v>
      </c>
      <c r="K29" s="41">
        <v>9.9226528824228826</v>
      </c>
      <c r="L29" s="41">
        <v>15.384025214500658</v>
      </c>
      <c r="M29" s="42">
        <v>9.0730417887051704</v>
      </c>
    </row>
    <row r="30" spans="2:13" ht="12.75" customHeight="1" x14ac:dyDescent="0.25">
      <c r="B30" s="155"/>
      <c r="C30" s="7" t="s">
        <v>172</v>
      </c>
      <c r="D30" s="43">
        <v>8.5572888357740542</v>
      </c>
      <c r="E30" s="43">
        <v>17.527489465012966</v>
      </c>
      <c r="F30" s="43">
        <v>8.8486362537342718</v>
      </c>
      <c r="G30" s="43">
        <v>11.470515915679254</v>
      </c>
      <c r="H30" s="43">
        <v>8.5913304450859602</v>
      </c>
      <c r="I30" s="43">
        <v>4.0225901389000622</v>
      </c>
      <c r="J30" s="43">
        <v>6.994169495781124</v>
      </c>
      <c r="K30" s="43">
        <v>14.607759197359787</v>
      </c>
      <c r="L30" s="43">
        <v>9.1992908703905929</v>
      </c>
      <c r="M30" s="44">
        <v>6.2066335027689687</v>
      </c>
    </row>
    <row r="31" spans="2:13" ht="12.75" customHeight="1" x14ac:dyDescent="0.25">
      <c r="B31" s="155"/>
      <c r="C31" s="7" t="s">
        <v>173</v>
      </c>
      <c r="D31" s="41">
        <v>13.044642984582476</v>
      </c>
      <c r="E31" s="41">
        <v>17.294647938760768</v>
      </c>
      <c r="F31" s="41">
        <v>7.7766332599738792</v>
      </c>
      <c r="G31" s="41">
        <v>10.993520457852068</v>
      </c>
      <c r="H31" s="41">
        <v>6.5028597954101208</v>
      </c>
      <c r="I31" s="41">
        <v>6.653749290515103</v>
      </c>
      <c r="J31" s="41">
        <v>5.9120870818290419</v>
      </c>
      <c r="K31" s="41">
        <v>9.9883862678539934</v>
      </c>
      <c r="L31" s="41">
        <v>15.950618522132626</v>
      </c>
      <c r="M31" s="42">
        <v>9.0992399082661102</v>
      </c>
    </row>
    <row r="32" spans="2:13" ht="12.75" customHeight="1" x14ac:dyDescent="0.25">
      <c r="B32" s="155"/>
      <c r="C32" s="7" t="s">
        <v>174</v>
      </c>
      <c r="D32" s="43">
        <v>9.095012736983012</v>
      </c>
      <c r="E32" s="43">
        <v>11.877483960310325</v>
      </c>
      <c r="F32" s="43">
        <v>4.7678225888124217</v>
      </c>
      <c r="G32" s="43">
        <v>12.660297306770655</v>
      </c>
      <c r="H32" s="43">
        <v>13.450349126762511</v>
      </c>
      <c r="I32" s="43">
        <v>6.9975104484458805</v>
      </c>
      <c r="J32" s="43">
        <v>3.5462174548919334</v>
      </c>
      <c r="K32" s="43">
        <v>14.772994987503026</v>
      </c>
      <c r="L32" s="43">
        <v>12.695068641582363</v>
      </c>
      <c r="M32" s="44">
        <v>4.2327868051101323</v>
      </c>
    </row>
    <row r="33" spans="2:13" ht="12.75" customHeight="1" x14ac:dyDescent="0.25">
      <c r="B33" s="155"/>
      <c r="C33" s="7" t="s">
        <v>175</v>
      </c>
      <c r="D33" s="41">
        <v>8.2263731614000832</v>
      </c>
      <c r="E33" s="41">
        <v>17.157710528177709</v>
      </c>
      <c r="F33" s="41">
        <v>8.8032810791224669</v>
      </c>
      <c r="G33" s="41">
        <v>16.94684534491298</v>
      </c>
      <c r="H33" s="41">
        <v>17.133678707427691</v>
      </c>
      <c r="I33" s="41">
        <v>5.7911383939256282</v>
      </c>
      <c r="J33" s="41">
        <v>6.2456335873807207</v>
      </c>
      <c r="K33" s="41">
        <v>19.007492702321208</v>
      </c>
      <c r="L33" s="41">
        <v>5.6009805031080173</v>
      </c>
      <c r="M33" s="42">
        <v>10.034716982431769</v>
      </c>
    </row>
    <row r="34" spans="2:13" ht="12.75" customHeight="1" x14ac:dyDescent="0.25">
      <c r="B34" s="155"/>
      <c r="C34" s="7" t="s">
        <v>176</v>
      </c>
      <c r="D34" s="43">
        <v>6.5026760227365354</v>
      </c>
      <c r="E34" s="43">
        <v>15.252132362435546</v>
      </c>
      <c r="F34" s="43">
        <v>8.1037665544709014</v>
      </c>
      <c r="G34" s="43">
        <v>9.8850325042295175</v>
      </c>
      <c r="H34" s="43">
        <v>15.809273684182674</v>
      </c>
      <c r="I34" s="43">
        <v>7.2151534677710956</v>
      </c>
      <c r="J34" s="43">
        <v>5.6071584887690609</v>
      </c>
      <c r="K34" s="43">
        <v>17.582051377297987</v>
      </c>
      <c r="L34" s="43">
        <v>13.840671454814565</v>
      </c>
      <c r="M34" s="44">
        <v>8.8687809718665012</v>
      </c>
    </row>
    <row r="35" spans="2:13" ht="12.75" customHeight="1" x14ac:dyDescent="0.25">
      <c r="B35" s="155"/>
      <c r="C35" s="7" t="s">
        <v>177</v>
      </c>
      <c r="D35" s="41">
        <v>6.5961908280535031</v>
      </c>
      <c r="E35" s="41">
        <v>16.063164089373629</v>
      </c>
      <c r="F35" s="41">
        <v>9.4413110792155983</v>
      </c>
      <c r="G35" s="41">
        <v>9.8332980589745791</v>
      </c>
      <c r="H35" s="41">
        <v>12.445383828353986</v>
      </c>
      <c r="I35" s="41">
        <v>7.4260551665578394</v>
      </c>
      <c r="J35" s="41">
        <v>8.0659641603692069</v>
      </c>
      <c r="K35" s="41">
        <v>22.078620079578279</v>
      </c>
      <c r="L35" s="41">
        <v>8.6712780635579705</v>
      </c>
      <c r="M35" s="42">
        <v>6.2331476963493078</v>
      </c>
    </row>
    <row r="36" spans="2:13" ht="12.75" customHeight="1" x14ac:dyDescent="0.25">
      <c r="B36" s="155"/>
      <c r="C36" s="7" t="s">
        <v>178</v>
      </c>
      <c r="D36" s="43">
        <v>11.882619935789156</v>
      </c>
      <c r="E36" s="43">
        <v>7.7547010800667442</v>
      </c>
      <c r="F36" s="43">
        <v>7.3075336265779267</v>
      </c>
      <c r="G36" s="43">
        <v>10.682038910356107</v>
      </c>
      <c r="H36" s="43">
        <v>12.342261159350826</v>
      </c>
      <c r="I36" s="43">
        <v>6.201983476391729</v>
      </c>
      <c r="J36" s="43">
        <v>9.0635584124837791</v>
      </c>
      <c r="K36" s="43">
        <v>7.9600123928705093</v>
      </c>
      <c r="L36" s="43">
        <v>9.0929087151551791</v>
      </c>
      <c r="M36" s="44">
        <v>10.421273741355064</v>
      </c>
    </row>
    <row r="37" spans="2:13" ht="12.75" customHeight="1" x14ac:dyDescent="0.25">
      <c r="B37" s="155"/>
      <c r="C37" s="7" t="s">
        <v>179</v>
      </c>
      <c r="D37" s="41">
        <v>9.7355167126903943</v>
      </c>
      <c r="E37" s="41">
        <v>10.173410042173559</v>
      </c>
      <c r="F37" s="41">
        <v>9.6221836408867674</v>
      </c>
      <c r="G37" s="41">
        <v>12.515256849225601</v>
      </c>
      <c r="H37" s="41">
        <v>10.600117423782359</v>
      </c>
      <c r="I37" s="41">
        <v>6.8346750563166569</v>
      </c>
      <c r="J37" s="41">
        <v>8.8926129273594867</v>
      </c>
      <c r="K37" s="41">
        <v>20.557655903160384</v>
      </c>
      <c r="L37" s="41">
        <v>13.686632682309099</v>
      </c>
      <c r="M37" s="42">
        <v>5.9341751044979203</v>
      </c>
    </row>
    <row r="38" spans="2:13" ht="12.75" customHeight="1" x14ac:dyDescent="0.25">
      <c r="B38" s="156"/>
      <c r="C38" s="7" t="s">
        <v>180</v>
      </c>
      <c r="D38" s="45">
        <v>9.5396895510436295</v>
      </c>
      <c r="E38" s="45">
        <v>15.121239176229034</v>
      </c>
      <c r="F38" s="45">
        <v>7.6975781451138134</v>
      </c>
      <c r="G38" s="45">
        <v>8.6217992604575731</v>
      </c>
      <c r="H38" s="45">
        <v>16.13123977077149</v>
      </c>
      <c r="I38" s="45">
        <v>7.4640669757528144</v>
      </c>
      <c r="J38" s="45">
        <v>8.0027294517711969</v>
      </c>
      <c r="K38" s="45">
        <v>21.282522450645846</v>
      </c>
      <c r="L38" s="45">
        <v>14.975739041824566</v>
      </c>
      <c r="M38" s="40">
        <v>7.5150284266945455</v>
      </c>
    </row>
    <row r="39" spans="2:13" ht="12.75" customHeight="1" x14ac:dyDescent="0.25"/>
    <row r="40" spans="2:13" ht="12.75" customHeight="1" x14ac:dyDescent="0.25"/>
    <row r="41" spans="2:13" ht="12.75" customHeight="1" x14ac:dyDescent="0.25"/>
    <row r="42" spans="2:13" ht="12.75" customHeight="1" x14ac:dyDescent="0.25">
      <c r="D42" s="39" t="s">
        <v>181</v>
      </c>
      <c r="E42" s="39" t="s">
        <v>182</v>
      </c>
    </row>
    <row r="43" spans="2:13" ht="12.75" customHeight="1" x14ac:dyDescent="0.25">
      <c r="B43" s="157" t="s">
        <v>183</v>
      </c>
      <c r="C43" s="7" t="s">
        <v>167</v>
      </c>
      <c r="D43" s="38">
        <v>1600</v>
      </c>
      <c r="E43" s="38">
        <v>92.3</v>
      </c>
    </row>
    <row r="44" spans="2:13" ht="12.75" customHeight="1" x14ac:dyDescent="0.25">
      <c r="B44" s="155"/>
      <c r="C44" s="7" t="s">
        <v>168</v>
      </c>
      <c r="D44" s="37">
        <v>2900</v>
      </c>
      <c r="E44" s="51">
        <v>100.490621572495</v>
      </c>
      <c r="F44" s="5"/>
    </row>
    <row r="45" spans="2:13" ht="12.75" customHeight="1" x14ac:dyDescent="0.25">
      <c r="B45" s="155"/>
      <c r="C45" s="7" t="s">
        <v>169</v>
      </c>
      <c r="D45" s="34">
        <v>2700</v>
      </c>
      <c r="E45" s="52">
        <v>113.411129978113</v>
      </c>
      <c r="F45" s="5"/>
    </row>
    <row r="46" spans="2:13" ht="12.75" customHeight="1" x14ac:dyDescent="0.25">
      <c r="B46" s="155"/>
      <c r="C46" s="7" t="s">
        <v>170</v>
      </c>
      <c r="D46" s="37">
        <v>2600</v>
      </c>
      <c r="E46" s="51">
        <v>80.841831220499003</v>
      </c>
      <c r="F46" s="5"/>
    </row>
    <row r="47" spans="2:13" ht="12.75" customHeight="1" x14ac:dyDescent="0.25">
      <c r="B47" s="155"/>
      <c r="C47" s="7" t="s">
        <v>171</v>
      </c>
      <c r="D47" s="34">
        <v>3000</v>
      </c>
      <c r="E47" s="52">
        <v>78.562830363879911</v>
      </c>
      <c r="F47" s="5"/>
    </row>
    <row r="48" spans="2:13" ht="12.75" customHeight="1" x14ac:dyDescent="0.25">
      <c r="B48" s="155"/>
      <c r="C48" s="7" t="s">
        <v>172</v>
      </c>
      <c r="D48" s="37">
        <v>1900</v>
      </c>
      <c r="E48" s="51">
        <v>100.23638952450855</v>
      </c>
      <c r="F48" s="5"/>
    </row>
    <row r="49" spans="2:13" ht="12.75" customHeight="1" x14ac:dyDescent="0.25">
      <c r="B49" s="155"/>
      <c r="C49" s="7" t="s">
        <v>173</v>
      </c>
      <c r="D49" s="34">
        <v>2900</v>
      </c>
      <c r="E49" s="52">
        <v>99.413389578885443</v>
      </c>
      <c r="F49" s="5"/>
    </row>
    <row r="50" spans="2:13" ht="12.75" customHeight="1" x14ac:dyDescent="0.25">
      <c r="B50" s="155"/>
      <c r="C50" s="7" t="s">
        <v>174</v>
      </c>
      <c r="D50" s="37">
        <v>1800</v>
      </c>
      <c r="E50" s="51">
        <v>94.581378550804004</v>
      </c>
      <c r="F50" s="5"/>
    </row>
    <row r="51" spans="2:13" ht="12.75" customHeight="1" x14ac:dyDescent="0.25">
      <c r="B51" s="155"/>
      <c r="C51" s="7" t="s">
        <v>175</v>
      </c>
      <c r="D51" s="34">
        <v>3100</v>
      </c>
      <c r="E51" s="52">
        <v>93.069310566121402</v>
      </c>
      <c r="F51" s="5"/>
    </row>
    <row r="52" spans="2:13" ht="12.75" customHeight="1" x14ac:dyDescent="0.25">
      <c r="B52" s="155"/>
      <c r="C52" s="7" t="s">
        <v>176</v>
      </c>
      <c r="D52" s="37">
        <v>1800</v>
      </c>
      <c r="E52" s="51">
        <v>90.694100434826595</v>
      </c>
      <c r="F52" s="5"/>
    </row>
    <row r="53" spans="2:13" ht="12.75" customHeight="1" x14ac:dyDescent="0.25">
      <c r="B53" s="155"/>
      <c r="C53" s="7" t="s">
        <v>177</v>
      </c>
      <c r="D53" s="34">
        <v>2500</v>
      </c>
      <c r="E53" s="52">
        <v>96.102793427526507</v>
      </c>
      <c r="F53" s="5"/>
    </row>
    <row r="54" spans="2:13" ht="12.75" customHeight="1" x14ac:dyDescent="0.25">
      <c r="B54" s="155"/>
      <c r="C54" s="7" t="s">
        <v>178</v>
      </c>
      <c r="D54" s="37">
        <v>2400</v>
      </c>
      <c r="E54" s="51">
        <v>98.228263631632004</v>
      </c>
      <c r="F54" s="5"/>
    </row>
    <row r="55" spans="2:13" ht="12.75" customHeight="1" x14ac:dyDescent="0.25">
      <c r="B55" s="155"/>
      <c r="C55" s="7" t="s">
        <v>179</v>
      </c>
      <c r="D55" s="34">
        <v>1800</v>
      </c>
      <c r="E55" s="52">
        <v>81.927096694379998</v>
      </c>
      <c r="F55" s="5"/>
    </row>
    <row r="56" spans="2:13" ht="12.75" customHeight="1" x14ac:dyDescent="0.25">
      <c r="B56" s="156"/>
      <c r="C56" s="7" t="s">
        <v>180</v>
      </c>
      <c r="D56" s="37">
        <v>2000</v>
      </c>
      <c r="E56" s="51">
        <v>99.377580279295699</v>
      </c>
      <c r="F56" s="5"/>
    </row>
    <row r="57" spans="2:13" ht="12.75" customHeight="1" x14ac:dyDescent="0.25"/>
    <row r="58" spans="2:13" ht="12.75" customHeight="1" x14ac:dyDescent="0.25"/>
    <row r="59" spans="2:13" ht="12.75" customHeight="1" x14ac:dyDescent="0.25"/>
    <row r="60" spans="2:13" ht="12.75" customHeight="1" x14ac:dyDescent="0.25">
      <c r="D60" s="48" t="s">
        <v>127</v>
      </c>
      <c r="E60" s="49" t="s">
        <v>133</v>
      </c>
      <c r="F60" s="49" t="s">
        <v>130</v>
      </c>
      <c r="G60" s="49" t="s">
        <v>131</v>
      </c>
      <c r="H60" s="49" t="s">
        <v>132</v>
      </c>
      <c r="I60" s="49" t="s">
        <v>164</v>
      </c>
      <c r="J60" s="49" t="s">
        <v>142</v>
      </c>
      <c r="K60" s="49" t="s">
        <v>141</v>
      </c>
      <c r="L60" s="49" t="s">
        <v>165</v>
      </c>
      <c r="M60" s="50" t="s">
        <v>163</v>
      </c>
    </row>
    <row r="61" spans="2:13" ht="12.75" customHeight="1" x14ac:dyDescent="0.25">
      <c r="B61" s="157" t="s">
        <v>184</v>
      </c>
      <c r="C61" s="7" t="s">
        <v>167</v>
      </c>
      <c r="D61" s="54">
        <v>9580</v>
      </c>
      <c r="E61" s="54">
        <v>5880</v>
      </c>
      <c r="F61" s="54">
        <v>10080</v>
      </c>
      <c r="G61" s="54">
        <v>6080</v>
      </c>
      <c r="H61" s="54">
        <v>5880</v>
      </c>
      <c r="I61" s="54">
        <v>11080</v>
      </c>
      <c r="J61" s="54">
        <v>11080</v>
      </c>
      <c r="K61" s="54">
        <v>6580</v>
      </c>
      <c r="L61" s="54">
        <v>6180</v>
      </c>
      <c r="M61" s="55">
        <v>11080</v>
      </c>
    </row>
    <row r="62" spans="2:13" ht="12.75" customHeight="1" x14ac:dyDescent="0.25">
      <c r="B62" s="155"/>
      <c r="C62" s="7" t="s">
        <v>168</v>
      </c>
      <c r="D62" s="56">
        <v>14000</v>
      </c>
      <c r="E62" s="56">
        <v>10400</v>
      </c>
      <c r="F62" s="56">
        <v>12500</v>
      </c>
      <c r="G62" s="56">
        <v>6500</v>
      </c>
      <c r="H62" s="56">
        <v>7600</v>
      </c>
      <c r="I62" s="56">
        <v>21400</v>
      </c>
      <c r="J62" s="56">
        <v>11400</v>
      </c>
      <c r="K62" s="56">
        <v>8400</v>
      </c>
      <c r="L62" s="56">
        <v>10400</v>
      </c>
      <c r="M62" s="57">
        <v>20100</v>
      </c>
    </row>
    <row r="63" spans="2:13" ht="12.75" customHeight="1" x14ac:dyDescent="0.25">
      <c r="B63" s="155"/>
      <c r="C63" s="7" t="s">
        <v>169</v>
      </c>
      <c r="D63" s="54">
        <v>18700</v>
      </c>
      <c r="E63" s="54">
        <v>7800</v>
      </c>
      <c r="F63" s="54">
        <v>19000</v>
      </c>
      <c r="G63" s="54">
        <v>8200</v>
      </c>
      <c r="H63" s="54">
        <v>8300</v>
      </c>
      <c r="I63" s="54">
        <v>13000</v>
      </c>
      <c r="J63" s="54">
        <v>12700</v>
      </c>
      <c r="K63" s="54">
        <v>7300</v>
      </c>
      <c r="L63" s="54">
        <v>7700</v>
      </c>
      <c r="M63" s="55">
        <v>17800</v>
      </c>
    </row>
    <row r="64" spans="2:13" ht="12.75" customHeight="1" x14ac:dyDescent="0.25">
      <c r="B64" s="155"/>
      <c r="C64" s="7" t="s">
        <v>170</v>
      </c>
      <c r="D64" s="56">
        <v>18500</v>
      </c>
      <c r="E64" s="56">
        <v>6900</v>
      </c>
      <c r="F64" s="56">
        <v>11200</v>
      </c>
      <c r="G64" s="56">
        <v>11200</v>
      </c>
      <c r="H64" s="56">
        <v>11400</v>
      </c>
      <c r="I64" s="56">
        <v>14500</v>
      </c>
      <c r="J64" s="56">
        <v>20300</v>
      </c>
      <c r="K64" s="56">
        <v>12200</v>
      </c>
      <c r="L64" s="56">
        <v>9800</v>
      </c>
      <c r="M64" s="57">
        <v>20700</v>
      </c>
    </row>
    <row r="65" spans="2:13" ht="12.75" customHeight="1" x14ac:dyDescent="0.25">
      <c r="B65" s="155"/>
      <c r="C65" s="7" t="s">
        <v>171</v>
      </c>
      <c r="D65" s="54">
        <v>15100</v>
      </c>
      <c r="E65" s="54">
        <v>10700</v>
      </c>
      <c r="F65" s="54">
        <v>10900</v>
      </c>
      <c r="G65" s="54">
        <v>9000</v>
      </c>
      <c r="H65" s="54">
        <v>10200</v>
      </c>
      <c r="I65" s="54">
        <v>17200</v>
      </c>
      <c r="J65" s="54">
        <v>21800</v>
      </c>
      <c r="K65" s="54">
        <v>10500</v>
      </c>
      <c r="L65" s="54">
        <v>10500</v>
      </c>
      <c r="M65" s="55">
        <v>17000</v>
      </c>
    </row>
    <row r="66" spans="2:13" ht="12.75" customHeight="1" x14ac:dyDescent="0.25">
      <c r="B66" s="155"/>
      <c r="C66" s="7" t="s">
        <v>172</v>
      </c>
      <c r="D66" s="56">
        <v>11900</v>
      </c>
      <c r="E66" s="56">
        <v>10700</v>
      </c>
      <c r="F66" s="56">
        <v>19600</v>
      </c>
      <c r="G66" s="56">
        <v>8000</v>
      </c>
      <c r="H66" s="56">
        <v>7900</v>
      </c>
      <c r="I66" s="56">
        <v>13600</v>
      </c>
      <c r="J66" s="56">
        <v>15300</v>
      </c>
      <c r="K66" s="56">
        <v>7900</v>
      </c>
      <c r="L66" s="56">
        <v>10800</v>
      </c>
      <c r="M66" s="57">
        <v>12000</v>
      </c>
    </row>
    <row r="67" spans="2:13" ht="12.75" customHeight="1" x14ac:dyDescent="0.25">
      <c r="B67" s="155"/>
      <c r="C67" s="7" t="s">
        <v>173</v>
      </c>
      <c r="D67" s="54">
        <v>18700</v>
      </c>
      <c r="E67" s="54">
        <v>11500</v>
      </c>
      <c r="F67" s="54">
        <v>15600</v>
      </c>
      <c r="G67" s="54">
        <v>10500</v>
      </c>
      <c r="H67" s="54">
        <v>11200</v>
      </c>
      <c r="I67" s="54">
        <v>22100</v>
      </c>
      <c r="J67" s="54">
        <v>19700</v>
      </c>
      <c r="K67" s="54">
        <v>9100</v>
      </c>
      <c r="L67" s="54">
        <v>10700</v>
      </c>
      <c r="M67" s="55">
        <v>16000</v>
      </c>
    </row>
    <row r="68" spans="2:13" ht="12.75" customHeight="1" x14ac:dyDescent="0.25">
      <c r="B68" s="155"/>
      <c r="C68" s="7" t="s">
        <v>174</v>
      </c>
      <c r="D68" s="56">
        <v>12000</v>
      </c>
      <c r="E68" s="56">
        <v>8800</v>
      </c>
      <c r="F68" s="56">
        <v>13500</v>
      </c>
      <c r="G68" s="56">
        <v>11800</v>
      </c>
      <c r="H68" s="56">
        <v>7700</v>
      </c>
      <c r="I68" s="56">
        <v>13300</v>
      </c>
      <c r="J68" s="56">
        <v>19000</v>
      </c>
      <c r="K68" s="56">
        <v>7900</v>
      </c>
      <c r="L68" s="56">
        <v>7800</v>
      </c>
      <c r="M68" s="57">
        <v>13400</v>
      </c>
    </row>
    <row r="69" spans="2:13" ht="12.75" customHeight="1" x14ac:dyDescent="0.25">
      <c r="B69" s="155"/>
      <c r="C69" s="7" t="s">
        <v>175</v>
      </c>
      <c r="D69" s="54">
        <v>10100</v>
      </c>
      <c r="E69" s="54">
        <v>11800</v>
      </c>
      <c r="F69" s="54">
        <v>12800</v>
      </c>
      <c r="G69" s="54">
        <v>7600</v>
      </c>
      <c r="H69" s="54">
        <v>11700</v>
      </c>
      <c r="I69" s="54">
        <v>12400</v>
      </c>
      <c r="J69" s="54">
        <v>16400</v>
      </c>
      <c r="K69" s="54">
        <v>7200</v>
      </c>
      <c r="L69" s="54">
        <v>6800</v>
      </c>
      <c r="M69" s="55">
        <v>20400</v>
      </c>
    </row>
    <row r="70" spans="2:13" ht="12.75" customHeight="1" x14ac:dyDescent="0.25">
      <c r="B70" s="155"/>
      <c r="C70" s="7" t="s">
        <v>176</v>
      </c>
      <c r="D70" s="56">
        <v>13400</v>
      </c>
      <c r="E70" s="56">
        <v>6200</v>
      </c>
      <c r="F70" s="56">
        <v>13700</v>
      </c>
      <c r="G70" s="56">
        <v>8600</v>
      </c>
      <c r="H70" s="56">
        <v>7600</v>
      </c>
      <c r="I70" s="56">
        <v>15300</v>
      </c>
      <c r="J70" s="56">
        <v>14000</v>
      </c>
      <c r="K70" s="56">
        <v>9900</v>
      </c>
      <c r="L70" s="56">
        <v>9300</v>
      </c>
      <c r="M70" s="57">
        <v>20300</v>
      </c>
    </row>
    <row r="71" spans="2:13" ht="12.75" customHeight="1" x14ac:dyDescent="0.25">
      <c r="B71" s="155"/>
      <c r="C71" s="7" t="s">
        <v>177</v>
      </c>
      <c r="D71" s="54">
        <v>17200</v>
      </c>
      <c r="E71" s="54">
        <v>9700</v>
      </c>
      <c r="F71" s="54">
        <v>19500</v>
      </c>
      <c r="G71" s="54">
        <v>10200</v>
      </c>
      <c r="H71" s="54">
        <v>9300</v>
      </c>
      <c r="I71" s="54">
        <v>16700</v>
      </c>
      <c r="J71" s="54">
        <v>21400</v>
      </c>
      <c r="K71" s="54">
        <v>6800</v>
      </c>
      <c r="L71" s="54">
        <v>6400</v>
      </c>
      <c r="M71" s="55">
        <v>19900</v>
      </c>
    </row>
    <row r="72" spans="2:13" ht="12.75" customHeight="1" x14ac:dyDescent="0.25">
      <c r="B72" s="155"/>
      <c r="C72" s="7" t="s">
        <v>178</v>
      </c>
      <c r="D72" s="56">
        <v>13500</v>
      </c>
      <c r="E72" s="56">
        <v>11000</v>
      </c>
      <c r="F72" s="56">
        <v>10500</v>
      </c>
      <c r="G72" s="56">
        <v>8200</v>
      </c>
      <c r="H72" s="56">
        <v>6500</v>
      </c>
      <c r="I72" s="56">
        <v>17500</v>
      </c>
      <c r="J72" s="56">
        <v>16200</v>
      </c>
      <c r="K72" s="56">
        <v>7300</v>
      </c>
      <c r="L72" s="56">
        <v>11500</v>
      </c>
      <c r="M72" s="57">
        <v>19400</v>
      </c>
    </row>
    <row r="73" spans="2:13" ht="12.75" customHeight="1" x14ac:dyDescent="0.25">
      <c r="B73" s="155"/>
      <c r="C73" s="7" t="s">
        <v>179</v>
      </c>
      <c r="D73" s="54">
        <v>13900</v>
      </c>
      <c r="E73" s="54">
        <v>9700</v>
      </c>
      <c r="F73" s="54">
        <v>12000</v>
      </c>
      <c r="G73" s="54">
        <v>6300</v>
      </c>
      <c r="H73" s="54">
        <v>10900</v>
      </c>
      <c r="I73" s="54">
        <v>16100</v>
      </c>
      <c r="J73" s="54">
        <v>13000</v>
      </c>
      <c r="K73" s="54">
        <v>11300</v>
      </c>
      <c r="L73" s="54">
        <v>7500</v>
      </c>
      <c r="M73" s="55">
        <v>18400</v>
      </c>
    </row>
    <row r="74" spans="2:13" ht="12.75" customHeight="1" x14ac:dyDescent="0.25">
      <c r="B74" s="156"/>
      <c r="C74" s="7" t="s">
        <v>180</v>
      </c>
      <c r="D74" s="58">
        <v>14800</v>
      </c>
      <c r="E74" s="58">
        <v>6400</v>
      </c>
      <c r="F74" s="58">
        <v>13900</v>
      </c>
      <c r="G74" s="58">
        <v>10200</v>
      </c>
      <c r="H74" s="58">
        <v>11500</v>
      </c>
      <c r="I74" s="58">
        <v>21300</v>
      </c>
      <c r="J74" s="58">
        <v>18900</v>
      </c>
      <c r="K74" s="58">
        <v>9800</v>
      </c>
      <c r="L74" s="58">
        <v>11900</v>
      </c>
      <c r="M74" s="53">
        <v>13700</v>
      </c>
    </row>
    <row r="75" spans="2:13" ht="12.75" customHeight="1" x14ac:dyDescent="0.25"/>
    <row r="76" spans="2:13" ht="12.75" customHeight="1" x14ac:dyDescent="0.25"/>
    <row r="77" spans="2:13" ht="12.75" customHeight="1" x14ac:dyDescent="0.25"/>
    <row r="78" spans="2:13" ht="12.75" customHeight="1" x14ac:dyDescent="0.25"/>
    <row r="79" spans="2:13" ht="12.75" customHeight="1" x14ac:dyDescent="0.25"/>
    <row r="80" spans="2:13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">
    <mergeCell ref="B6:B19"/>
    <mergeCell ref="B25:B38"/>
    <mergeCell ref="B43:B56"/>
    <mergeCell ref="B61:B74"/>
  </mergeCell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Z1000"/>
  <sheetViews>
    <sheetView workbookViewId="0">
      <selection activeCell="G20" sqref="G20"/>
    </sheetView>
  </sheetViews>
  <sheetFormatPr defaultColWidth="14.42578125" defaultRowHeight="15" customHeight="1" x14ac:dyDescent="0.25"/>
  <cols>
    <col min="1" max="1" width="17.28515625" customWidth="1"/>
    <col min="2" max="2" width="20.7109375" customWidth="1"/>
    <col min="3" max="3" width="23.7109375" customWidth="1"/>
    <col min="4" max="4" width="12.28515625" customWidth="1"/>
    <col min="5" max="5" width="12" customWidth="1"/>
    <col min="6" max="6" width="8.28515625" customWidth="1"/>
    <col min="7" max="8" width="10.140625" customWidth="1"/>
    <col min="9" max="18" width="8.28515625" customWidth="1"/>
    <col min="19" max="26" width="12.7109375" customWidth="1"/>
  </cols>
  <sheetData>
    <row r="1" spans="1:26" ht="15" customHeight="1" x14ac:dyDescent="0.25">
      <c r="A1" s="2" t="s">
        <v>185</v>
      </c>
      <c r="B1" s="4">
        <v>0.2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5">
      <c r="A2" s="2" t="s">
        <v>186</v>
      </c>
      <c r="B2" s="2">
        <v>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25">
      <c r="A3" s="2" t="s">
        <v>187</v>
      </c>
      <c r="B3" s="2">
        <f>B2*12</f>
        <v>72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5">
      <c r="A4" s="2" t="s">
        <v>188</v>
      </c>
      <c r="B4" s="4">
        <v>0.11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1" t="s">
        <v>68</v>
      </c>
      <c r="B6" s="31" t="s">
        <v>189</v>
      </c>
      <c r="C6" s="31" t="s">
        <v>190</v>
      </c>
      <c r="D6" s="31" t="s">
        <v>191</v>
      </c>
      <c r="E6" s="31" t="s">
        <v>77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32" t="s">
        <v>133</v>
      </c>
      <c r="B7" s="59">
        <v>400000</v>
      </c>
      <c r="C7" s="59">
        <f>B7*20%</f>
        <v>80000</v>
      </c>
      <c r="D7" s="59">
        <f>B7-C7</f>
        <v>320000</v>
      </c>
      <c r="E7" s="59">
        <f>PMT(($B$4/12),$B$3,-(D7))</f>
        <v>6090.9052802258566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5" t="s">
        <v>165</v>
      </c>
      <c r="B8" s="60">
        <v>650000</v>
      </c>
      <c r="C8" s="80">
        <f t="shared" ref="C8:C26" si="0">B8*20%</f>
        <v>130000</v>
      </c>
      <c r="D8" s="80">
        <f t="shared" ref="D8:D26" si="1">B8-C8</f>
        <v>520000</v>
      </c>
      <c r="E8" s="80">
        <f t="shared" ref="E8:E26" si="2">PMT(($B$4/12),$B$3,-(D8))</f>
        <v>9897.7210803670168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32" t="s">
        <v>192</v>
      </c>
      <c r="B9" s="59">
        <v>600000</v>
      </c>
      <c r="C9" s="59">
        <f t="shared" si="0"/>
        <v>120000</v>
      </c>
      <c r="D9" s="59">
        <f t="shared" si="1"/>
        <v>480000</v>
      </c>
      <c r="E9" s="59">
        <f t="shared" si="2"/>
        <v>9136.3579203387853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35" t="s">
        <v>193</v>
      </c>
      <c r="B10" s="60">
        <v>750000</v>
      </c>
      <c r="C10" s="80">
        <f t="shared" si="0"/>
        <v>150000</v>
      </c>
      <c r="D10" s="80">
        <f t="shared" si="1"/>
        <v>600000</v>
      </c>
      <c r="E10" s="80">
        <f t="shared" si="2"/>
        <v>11420.447400423482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32" t="s">
        <v>194</v>
      </c>
      <c r="B11" s="59">
        <v>1150000</v>
      </c>
      <c r="C11" s="59">
        <f t="shared" si="0"/>
        <v>230000</v>
      </c>
      <c r="D11" s="59">
        <f t="shared" si="1"/>
        <v>920000</v>
      </c>
      <c r="E11" s="59">
        <f t="shared" si="2"/>
        <v>17511.352680649339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35" t="s">
        <v>195</v>
      </c>
      <c r="B12" s="60">
        <v>1150000</v>
      </c>
      <c r="C12" s="80">
        <f t="shared" si="0"/>
        <v>230000</v>
      </c>
      <c r="D12" s="80">
        <f t="shared" si="1"/>
        <v>920000</v>
      </c>
      <c r="E12" s="80">
        <f t="shared" si="2"/>
        <v>17511.352680649339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32" t="s">
        <v>164</v>
      </c>
      <c r="B13" s="59">
        <v>1400000</v>
      </c>
      <c r="C13" s="59">
        <f t="shared" si="0"/>
        <v>280000</v>
      </c>
      <c r="D13" s="59">
        <f t="shared" si="1"/>
        <v>1120000</v>
      </c>
      <c r="E13" s="59">
        <f t="shared" si="2"/>
        <v>21318.1684807905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35" t="s">
        <v>196</v>
      </c>
      <c r="B14" s="60">
        <v>1250000</v>
      </c>
      <c r="C14" s="80">
        <f t="shared" si="0"/>
        <v>250000</v>
      </c>
      <c r="D14" s="80">
        <f t="shared" si="1"/>
        <v>1000000</v>
      </c>
      <c r="E14" s="80">
        <f t="shared" si="2"/>
        <v>19034.079000705802</v>
      </c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32" t="s">
        <v>197</v>
      </c>
      <c r="B15" s="59">
        <v>1450000</v>
      </c>
      <c r="C15" s="59">
        <f t="shared" si="0"/>
        <v>290000</v>
      </c>
      <c r="D15" s="59">
        <f t="shared" si="1"/>
        <v>1160000</v>
      </c>
      <c r="E15" s="59">
        <f t="shared" si="2"/>
        <v>22079.531640818732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35" t="s">
        <v>198</v>
      </c>
      <c r="B16" s="60">
        <v>250000</v>
      </c>
      <c r="C16" s="80">
        <f t="shared" si="0"/>
        <v>50000</v>
      </c>
      <c r="D16" s="80">
        <f t="shared" si="1"/>
        <v>200000</v>
      </c>
      <c r="E16" s="80">
        <f t="shared" si="2"/>
        <v>3806.8158001411603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32" t="s">
        <v>199</v>
      </c>
      <c r="B17" s="59">
        <v>1200000</v>
      </c>
      <c r="C17" s="59">
        <f t="shared" si="0"/>
        <v>240000</v>
      </c>
      <c r="D17" s="59">
        <f t="shared" si="1"/>
        <v>960000</v>
      </c>
      <c r="E17" s="59">
        <f t="shared" si="2"/>
        <v>18272.715840677571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35" t="s">
        <v>200</v>
      </c>
      <c r="B18" s="60">
        <v>1400000</v>
      </c>
      <c r="C18" s="80">
        <f t="shared" si="0"/>
        <v>280000</v>
      </c>
      <c r="D18" s="80">
        <f t="shared" si="1"/>
        <v>1120000</v>
      </c>
      <c r="E18" s="80">
        <f t="shared" si="2"/>
        <v>21318.1684807905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32" t="s">
        <v>131</v>
      </c>
      <c r="B19" s="59">
        <v>750000</v>
      </c>
      <c r="C19" s="59">
        <f t="shared" si="0"/>
        <v>150000</v>
      </c>
      <c r="D19" s="59">
        <f t="shared" si="1"/>
        <v>600000</v>
      </c>
      <c r="E19" s="59">
        <f t="shared" si="2"/>
        <v>11420.447400423482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35" t="s">
        <v>201</v>
      </c>
      <c r="B20" s="60">
        <v>300000</v>
      </c>
      <c r="C20" s="80">
        <f t="shared" si="0"/>
        <v>60000</v>
      </c>
      <c r="D20" s="80">
        <f t="shared" si="1"/>
        <v>240000</v>
      </c>
      <c r="E20" s="80">
        <f t="shared" si="2"/>
        <v>4568.1789601693927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32" t="s">
        <v>202</v>
      </c>
      <c r="B21" s="59">
        <v>450000</v>
      </c>
      <c r="C21" s="59">
        <f t="shared" si="0"/>
        <v>90000</v>
      </c>
      <c r="D21" s="59">
        <f t="shared" si="1"/>
        <v>360000</v>
      </c>
      <c r="E21" s="59">
        <f t="shared" si="2"/>
        <v>6852.2684402540881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35" t="s">
        <v>141</v>
      </c>
      <c r="B22" s="60">
        <v>550000</v>
      </c>
      <c r="C22" s="80">
        <f t="shared" si="0"/>
        <v>110000</v>
      </c>
      <c r="D22" s="80">
        <f t="shared" si="1"/>
        <v>440000</v>
      </c>
      <c r="E22" s="80">
        <f t="shared" si="2"/>
        <v>8374.9947603105538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32" t="s">
        <v>203</v>
      </c>
      <c r="B23" s="59">
        <v>700000</v>
      </c>
      <c r="C23" s="59">
        <f t="shared" si="0"/>
        <v>140000</v>
      </c>
      <c r="D23" s="59">
        <f t="shared" si="1"/>
        <v>560000</v>
      </c>
      <c r="E23" s="59">
        <f t="shared" si="2"/>
        <v>10659.08424039525</v>
      </c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35" t="s">
        <v>204</v>
      </c>
      <c r="B24" s="60">
        <v>1200000</v>
      </c>
      <c r="C24" s="80">
        <f t="shared" si="0"/>
        <v>240000</v>
      </c>
      <c r="D24" s="80">
        <f t="shared" si="1"/>
        <v>960000</v>
      </c>
      <c r="E24" s="80">
        <f t="shared" si="2"/>
        <v>18272.715840677571</v>
      </c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32" t="s">
        <v>132</v>
      </c>
      <c r="B25" s="59">
        <v>500000</v>
      </c>
      <c r="C25" s="59">
        <f t="shared" si="0"/>
        <v>100000</v>
      </c>
      <c r="D25" s="59">
        <f t="shared" si="1"/>
        <v>400000</v>
      </c>
      <c r="E25" s="59">
        <f t="shared" si="2"/>
        <v>7613.6316002823205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35" t="s">
        <v>205</v>
      </c>
      <c r="B26" s="60">
        <v>2000000</v>
      </c>
      <c r="C26" s="80">
        <f t="shared" si="0"/>
        <v>400000</v>
      </c>
      <c r="D26" s="80">
        <f t="shared" si="1"/>
        <v>1600000</v>
      </c>
      <c r="E26" s="80">
        <f t="shared" si="2"/>
        <v>30454.526401129282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000"/>
  <sheetViews>
    <sheetView workbookViewId="0">
      <selection activeCell="L19" sqref="L19"/>
    </sheetView>
  </sheetViews>
  <sheetFormatPr defaultColWidth="14.42578125" defaultRowHeight="15" customHeight="1" x14ac:dyDescent="0.25"/>
  <cols>
    <col min="1" max="2" width="11" customWidth="1"/>
    <col min="3" max="26" width="8.7109375" customWidth="1"/>
  </cols>
  <sheetData>
    <row r="1" spans="1:2" x14ac:dyDescent="0.25">
      <c r="A1" s="31" t="s">
        <v>208</v>
      </c>
      <c r="B1" s="31" t="s">
        <v>209</v>
      </c>
    </row>
    <row r="2" spans="1:2" x14ac:dyDescent="0.25">
      <c r="A2" s="32" t="s">
        <v>206</v>
      </c>
      <c r="B2" s="32" t="s">
        <v>207</v>
      </c>
    </row>
    <row r="3" spans="1:2" x14ac:dyDescent="0.25">
      <c r="A3" s="35" t="s">
        <v>127</v>
      </c>
      <c r="B3" s="35" t="s">
        <v>193</v>
      </c>
    </row>
    <row r="4" spans="1:2" x14ac:dyDescent="0.25">
      <c r="A4" s="32" t="s">
        <v>133</v>
      </c>
      <c r="B4" s="32" t="s">
        <v>133</v>
      </c>
    </row>
    <row r="5" spans="1:2" x14ac:dyDescent="0.25">
      <c r="A5" s="35" t="s">
        <v>130</v>
      </c>
      <c r="B5" s="35" t="s">
        <v>194</v>
      </c>
    </row>
    <row r="6" spans="1:2" x14ac:dyDescent="0.25">
      <c r="A6" s="32" t="s">
        <v>131</v>
      </c>
      <c r="B6" s="32" t="s">
        <v>131</v>
      </c>
    </row>
    <row r="7" spans="1:2" x14ac:dyDescent="0.25">
      <c r="A7" s="35" t="s">
        <v>132</v>
      </c>
      <c r="B7" s="35" t="s">
        <v>132</v>
      </c>
    </row>
    <row r="8" spans="1:2" x14ac:dyDescent="0.25">
      <c r="A8" s="32" t="s">
        <v>164</v>
      </c>
      <c r="B8" s="32" t="s">
        <v>164</v>
      </c>
    </row>
    <row r="9" spans="1:2" x14ac:dyDescent="0.25">
      <c r="A9" s="35" t="s">
        <v>142</v>
      </c>
      <c r="B9" s="35" t="s">
        <v>195</v>
      </c>
    </row>
    <row r="10" spans="1:2" x14ac:dyDescent="0.25">
      <c r="A10" s="32" t="s">
        <v>141</v>
      </c>
      <c r="B10" s="32" t="s">
        <v>141</v>
      </c>
    </row>
    <row r="11" spans="1:2" x14ac:dyDescent="0.25">
      <c r="A11" s="35" t="s">
        <v>165</v>
      </c>
      <c r="B11" s="35" t="s">
        <v>165</v>
      </c>
    </row>
    <row r="12" spans="1:2" ht="15" customHeight="1" x14ac:dyDescent="0.25">
      <c r="A12" s="32" t="s">
        <v>163</v>
      </c>
      <c r="B12" s="32" t="s">
        <v>196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00"/>
  <sheetViews>
    <sheetView workbookViewId="0"/>
  </sheetViews>
  <sheetFormatPr defaultColWidth="14.42578125" defaultRowHeight="15" customHeight="1" x14ac:dyDescent="0.25"/>
  <cols>
    <col min="1" max="3" width="8.7109375" customWidth="1"/>
    <col min="4" max="4" width="10.7109375" customWidth="1"/>
    <col min="5" max="5" width="12" customWidth="1"/>
    <col min="6" max="6" width="14.85546875" customWidth="1"/>
    <col min="7" max="26" width="8.7109375" customWidth="1"/>
  </cols>
  <sheetData>
    <row r="1" spans="2:13" ht="12.75" customHeight="1" x14ac:dyDescent="0.25"/>
    <row r="2" spans="2:13" ht="12.75" customHeight="1" x14ac:dyDescent="0.25"/>
    <row r="3" spans="2:13" ht="12.75" customHeight="1" x14ac:dyDescent="0.25"/>
    <row r="4" spans="2:13" ht="12.75" customHeight="1" x14ac:dyDescent="0.25"/>
    <row r="5" spans="2:13" ht="12.75" customHeight="1" x14ac:dyDescent="0.25">
      <c r="D5" s="7" t="s">
        <v>127</v>
      </c>
      <c r="E5" s="7" t="s">
        <v>133</v>
      </c>
      <c r="F5" s="7" t="s">
        <v>130</v>
      </c>
      <c r="G5" s="7" t="s">
        <v>131</v>
      </c>
      <c r="H5" s="7" t="s">
        <v>132</v>
      </c>
      <c r="I5" s="7" t="s">
        <v>164</v>
      </c>
      <c r="J5" s="7" t="s">
        <v>142</v>
      </c>
      <c r="K5" s="7" t="s">
        <v>141</v>
      </c>
      <c r="L5" s="7" t="s">
        <v>165</v>
      </c>
      <c r="M5" s="7" t="s">
        <v>163</v>
      </c>
    </row>
    <row r="6" spans="2:13" ht="12.75" customHeight="1" x14ac:dyDescent="0.25">
      <c r="B6" s="154" t="s">
        <v>166</v>
      </c>
      <c r="C6" s="7" t="s">
        <v>167</v>
      </c>
      <c r="D6" s="27">
        <v>2.5</v>
      </c>
      <c r="E6" s="27">
        <v>0.75</v>
      </c>
      <c r="F6" s="27">
        <v>4.5</v>
      </c>
      <c r="G6" s="27">
        <v>1.5</v>
      </c>
      <c r="H6" s="27">
        <v>1.25</v>
      </c>
      <c r="I6" s="27">
        <v>6.8</v>
      </c>
      <c r="J6" s="27">
        <v>6.5</v>
      </c>
      <c r="K6" s="27">
        <v>1.2</v>
      </c>
      <c r="L6" s="27">
        <v>1.5</v>
      </c>
      <c r="M6" s="27">
        <v>6.5</v>
      </c>
    </row>
    <row r="7" spans="2:13" ht="12.75" customHeight="1" x14ac:dyDescent="0.25">
      <c r="B7" s="155"/>
      <c r="C7" s="7" t="s">
        <v>168</v>
      </c>
      <c r="D7" s="27">
        <f t="shared" ref="D7:D19" ca="1" si="0">(0.5+RAND())*$D$6</f>
        <v>1.7704066866233443</v>
      </c>
      <c r="E7" s="27">
        <f t="shared" ref="E7:M7" ca="1" si="1">(0.5+RAND())*E$6</f>
        <v>0.554810283412422</v>
      </c>
      <c r="F7" s="27">
        <f t="shared" ca="1" si="1"/>
        <v>6.5835582988353538</v>
      </c>
      <c r="G7" s="27">
        <f t="shared" ca="1" si="1"/>
        <v>1.238166296579011</v>
      </c>
      <c r="H7" s="27">
        <f t="shared" ca="1" si="1"/>
        <v>1.464606681571722</v>
      </c>
      <c r="I7" s="27">
        <f t="shared" ca="1" si="1"/>
        <v>9.7010521391975537</v>
      </c>
      <c r="J7" s="27">
        <f t="shared" ca="1" si="1"/>
        <v>7.7406188873543584</v>
      </c>
      <c r="K7" s="27">
        <f t="shared" ca="1" si="1"/>
        <v>1.2534790867315937</v>
      </c>
      <c r="L7" s="27">
        <f t="shared" ca="1" si="1"/>
        <v>0.79042866346256946</v>
      </c>
      <c r="M7" s="27">
        <f t="shared" ca="1" si="1"/>
        <v>4.3225863148110797</v>
      </c>
    </row>
    <row r="8" spans="2:13" ht="12.75" customHeight="1" x14ac:dyDescent="0.25">
      <c r="B8" s="155"/>
      <c r="C8" s="7" t="s">
        <v>169</v>
      </c>
      <c r="D8" s="27">
        <f t="shared" ca="1" si="0"/>
        <v>3.586265951701153</v>
      </c>
      <c r="E8" s="27">
        <f t="shared" ref="E8:M8" ca="1" si="2">(0.5+RAND())*E$6</f>
        <v>1.0098410126624784</v>
      </c>
      <c r="F8" s="27">
        <f t="shared" ca="1" si="2"/>
        <v>4.5397679893126099</v>
      </c>
      <c r="G8" s="27">
        <f t="shared" ca="1" si="2"/>
        <v>1.873969098722494</v>
      </c>
      <c r="H8" s="27">
        <f t="shared" ca="1" si="2"/>
        <v>1.6654579894904793</v>
      </c>
      <c r="I8" s="27">
        <f t="shared" ca="1" si="2"/>
        <v>9.9951717189893046</v>
      </c>
      <c r="J8" s="27">
        <f t="shared" ca="1" si="2"/>
        <v>6.6556700212596871</v>
      </c>
      <c r="K8" s="27">
        <f t="shared" ca="1" si="2"/>
        <v>1.0429383424281078</v>
      </c>
      <c r="L8" s="27">
        <f t="shared" ca="1" si="2"/>
        <v>2.1249611632308616</v>
      </c>
      <c r="M8" s="27">
        <f t="shared" ca="1" si="2"/>
        <v>3.2621424696580332</v>
      </c>
    </row>
    <row r="9" spans="2:13" ht="12.75" customHeight="1" x14ac:dyDescent="0.25">
      <c r="B9" s="155"/>
      <c r="C9" s="7" t="s">
        <v>170</v>
      </c>
      <c r="D9" s="27">
        <f t="shared" ca="1" si="0"/>
        <v>3.0730304548468452</v>
      </c>
      <c r="E9" s="27">
        <f t="shared" ref="E9:M9" ca="1" si="3">(0.5+RAND())*E$6</f>
        <v>0.65829750145173682</v>
      </c>
      <c r="F9" s="27">
        <f t="shared" ca="1" si="3"/>
        <v>4.5103433152144907</v>
      </c>
      <c r="G9" s="27">
        <f t="shared" ca="1" si="3"/>
        <v>2.1679076943284348</v>
      </c>
      <c r="H9" s="27">
        <f t="shared" ca="1" si="3"/>
        <v>1.0075374920252271</v>
      </c>
      <c r="I9" s="27">
        <f t="shared" ca="1" si="3"/>
        <v>7.8880620901060379</v>
      </c>
      <c r="J9" s="27">
        <f t="shared" ca="1" si="3"/>
        <v>4.5502866716509054</v>
      </c>
      <c r="K9" s="27">
        <f t="shared" ca="1" si="3"/>
        <v>0.89476258859898516</v>
      </c>
      <c r="L9" s="27">
        <f t="shared" ca="1" si="3"/>
        <v>1.7705139488496229</v>
      </c>
      <c r="M9" s="27">
        <f t="shared" ca="1" si="3"/>
        <v>5.0759426814553601</v>
      </c>
    </row>
    <row r="10" spans="2:13" ht="12.75" customHeight="1" x14ac:dyDescent="0.25">
      <c r="B10" s="155"/>
      <c r="C10" s="7" t="s">
        <v>171</v>
      </c>
      <c r="D10" s="27">
        <f t="shared" ca="1" si="0"/>
        <v>2.8144733993186599</v>
      </c>
      <c r="E10" s="27">
        <f t="shared" ref="E10:M10" ca="1" si="4">(0.5+RAND())*E$6</f>
        <v>0.85999612509936552</v>
      </c>
      <c r="F10" s="27">
        <f t="shared" ca="1" si="4"/>
        <v>3.1525909642250176</v>
      </c>
      <c r="G10" s="27">
        <f t="shared" ca="1" si="4"/>
        <v>1.3592797282584335</v>
      </c>
      <c r="H10" s="27">
        <f t="shared" ca="1" si="4"/>
        <v>1.6009539014519341</v>
      </c>
      <c r="I10" s="27">
        <f t="shared" ca="1" si="4"/>
        <v>9.4251310681824734</v>
      </c>
      <c r="J10" s="27">
        <f t="shared" ca="1" si="4"/>
        <v>6.0156364126657413</v>
      </c>
      <c r="K10" s="27">
        <f t="shared" ca="1" si="4"/>
        <v>1.7320308033758824</v>
      </c>
      <c r="L10" s="27">
        <f t="shared" ca="1" si="4"/>
        <v>1.5894205684795097</v>
      </c>
      <c r="M10" s="27">
        <f t="shared" ca="1" si="4"/>
        <v>7.5957143920393824</v>
      </c>
    </row>
    <row r="11" spans="2:13" ht="12.75" customHeight="1" x14ac:dyDescent="0.25">
      <c r="B11" s="155"/>
      <c r="C11" s="7" t="s">
        <v>172</v>
      </c>
      <c r="D11" s="27">
        <f t="shared" ca="1" si="0"/>
        <v>1.2923350044652731</v>
      </c>
      <c r="E11" s="27">
        <f t="shared" ref="E11:M11" ca="1" si="5">(0.5+RAND())*E$6</f>
        <v>0.52971728304393995</v>
      </c>
      <c r="F11" s="27">
        <f t="shared" ca="1" si="5"/>
        <v>3.2191804517914231</v>
      </c>
      <c r="G11" s="27">
        <f t="shared" ca="1" si="5"/>
        <v>1.6639637495563351</v>
      </c>
      <c r="H11" s="27">
        <f t="shared" ca="1" si="5"/>
        <v>0.67972364508077843</v>
      </c>
      <c r="I11" s="27">
        <f t="shared" ca="1" si="5"/>
        <v>7.0123053243907414</v>
      </c>
      <c r="J11" s="27">
        <f t="shared" ca="1" si="5"/>
        <v>8.9620364000055428</v>
      </c>
      <c r="K11" s="27">
        <f t="shared" ca="1" si="5"/>
        <v>1.1502641745047242</v>
      </c>
      <c r="L11" s="27">
        <f t="shared" ca="1" si="5"/>
        <v>1.0289915451667366</v>
      </c>
      <c r="M11" s="27">
        <f t="shared" ca="1" si="5"/>
        <v>4.556206359046449</v>
      </c>
    </row>
    <row r="12" spans="2:13" ht="12.75" customHeight="1" x14ac:dyDescent="0.25">
      <c r="B12" s="155"/>
      <c r="C12" s="7" t="s">
        <v>173</v>
      </c>
      <c r="D12" s="27">
        <f t="shared" ca="1" si="0"/>
        <v>1.8291563115252734</v>
      </c>
      <c r="E12" s="27">
        <f t="shared" ref="E12:M12" ca="1" si="6">(0.5+RAND())*E$6</f>
        <v>0.6843976755619664</v>
      </c>
      <c r="F12" s="27">
        <f t="shared" ca="1" si="6"/>
        <v>6.1814650440014676</v>
      </c>
      <c r="G12" s="27">
        <f t="shared" ca="1" si="6"/>
        <v>2.163490565789143</v>
      </c>
      <c r="H12" s="27">
        <f t="shared" ca="1" si="6"/>
        <v>1.5998471589285068</v>
      </c>
      <c r="I12" s="27">
        <f t="shared" ca="1" si="6"/>
        <v>7.3146860935289562</v>
      </c>
      <c r="J12" s="27">
        <f t="shared" ca="1" si="6"/>
        <v>5.4888198249261047</v>
      </c>
      <c r="K12" s="27">
        <f t="shared" ca="1" si="6"/>
        <v>1.2077024184152301</v>
      </c>
      <c r="L12" s="27">
        <f t="shared" ca="1" si="6"/>
        <v>1.0093063347677309</v>
      </c>
      <c r="M12" s="27">
        <f t="shared" ca="1" si="6"/>
        <v>8.2708923032557706</v>
      </c>
    </row>
    <row r="13" spans="2:13" ht="12.75" customHeight="1" x14ac:dyDescent="0.25">
      <c r="B13" s="155"/>
      <c r="C13" s="7" t="s">
        <v>174</v>
      </c>
      <c r="D13" s="27">
        <f t="shared" ca="1" si="0"/>
        <v>3.7087543820175317</v>
      </c>
      <c r="E13" s="27">
        <f t="shared" ref="E13:M13" ca="1" si="7">(0.5+RAND())*E$6</f>
        <v>0.92539143490179332</v>
      </c>
      <c r="F13" s="27">
        <f t="shared" ca="1" si="7"/>
        <v>4.1114400087327363</v>
      </c>
      <c r="G13" s="27">
        <f t="shared" ca="1" si="7"/>
        <v>1.5173176756668756</v>
      </c>
      <c r="H13" s="27">
        <f t="shared" ca="1" si="7"/>
        <v>1.1985824839722414</v>
      </c>
      <c r="I13" s="27">
        <f t="shared" ca="1" si="7"/>
        <v>9.4807133521288591</v>
      </c>
      <c r="J13" s="27">
        <f t="shared" ca="1" si="7"/>
        <v>8.4888158738668995</v>
      </c>
      <c r="K13" s="27">
        <f t="shared" ca="1" si="7"/>
        <v>1.49202889365911</v>
      </c>
      <c r="L13" s="27">
        <f t="shared" ca="1" si="7"/>
        <v>1.1672651420988189</v>
      </c>
      <c r="M13" s="27">
        <f t="shared" ca="1" si="7"/>
        <v>3.7933350229938352</v>
      </c>
    </row>
    <row r="14" spans="2:13" ht="12.75" customHeight="1" x14ac:dyDescent="0.25">
      <c r="B14" s="155"/>
      <c r="C14" s="7" t="s">
        <v>175</v>
      </c>
      <c r="D14" s="27">
        <f t="shared" ca="1" si="0"/>
        <v>1.6377112546341255</v>
      </c>
      <c r="E14" s="27">
        <f t="shared" ref="E14:M14" ca="1" si="8">(0.5+RAND())*E$6</f>
        <v>0.8775315134229893</v>
      </c>
      <c r="F14" s="27">
        <f t="shared" ca="1" si="8"/>
        <v>4.9380375141187383</v>
      </c>
      <c r="G14" s="27">
        <f t="shared" ca="1" si="8"/>
        <v>1.5145025049118843</v>
      </c>
      <c r="H14" s="27">
        <f t="shared" ca="1" si="8"/>
        <v>1.7383078257059081</v>
      </c>
      <c r="I14" s="27">
        <f t="shared" ca="1" si="8"/>
        <v>9.4526457128373504</v>
      </c>
      <c r="J14" s="27">
        <f t="shared" ca="1" si="8"/>
        <v>6.9877936068499054</v>
      </c>
      <c r="K14" s="27">
        <f t="shared" ca="1" si="8"/>
        <v>1.4753821564886873</v>
      </c>
      <c r="L14" s="27">
        <f t="shared" ca="1" si="8"/>
        <v>2.1238071584780376</v>
      </c>
      <c r="M14" s="27">
        <f t="shared" ca="1" si="8"/>
        <v>6.4304462031674854</v>
      </c>
    </row>
    <row r="15" spans="2:13" ht="12.75" customHeight="1" x14ac:dyDescent="0.25">
      <c r="B15" s="155"/>
      <c r="C15" s="7" t="s">
        <v>176</v>
      </c>
      <c r="D15" s="27">
        <f t="shared" ca="1" si="0"/>
        <v>2.8784669869042228</v>
      </c>
      <c r="E15" s="27">
        <f t="shared" ref="E15:M15" ca="1" si="9">(0.5+RAND())*E$6</f>
        <v>1.0762424070401981</v>
      </c>
      <c r="F15" s="27">
        <f t="shared" ca="1" si="9"/>
        <v>6.7430388546701092</v>
      </c>
      <c r="G15" s="27">
        <f t="shared" ca="1" si="9"/>
        <v>1.1293713774146728</v>
      </c>
      <c r="H15" s="27">
        <f t="shared" ca="1" si="9"/>
        <v>1.8575588178203466</v>
      </c>
      <c r="I15" s="27">
        <f t="shared" ca="1" si="9"/>
        <v>7.839517391450606</v>
      </c>
      <c r="J15" s="27">
        <f t="shared" ca="1" si="9"/>
        <v>7.019130762554818</v>
      </c>
      <c r="K15" s="27">
        <f t="shared" ca="1" si="9"/>
        <v>0.96882444990990835</v>
      </c>
      <c r="L15" s="27">
        <f t="shared" ca="1" si="9"/>
        <v>1.6773262339198602</v>
      </c>
      <c r="M15" s="27">
        <f t="shared" ca="1" si="9"/>
        <v>4.2001252201027137</v>
      </c>
    </row>
    <row r="16" spans="2:13" ht="12.75" customHeight="1" x14ac:dyDescent="0.25">
      <c r="B16" s="155"/>
      <c r="C16" s="7" t="s">
        <v>177</v>
      </c>
      <c r="D16" s="27">
        <f t="shared" ca="1" si="0"/>
        <v>2.6849256220067517</v>
      </c>
      <c r="E16" s="27">
        <f t="shared" ref="E16:M16" ca="1" si="10">(0.5+RAND())*E$6</f>
        <v>1.0731312963634689</v>
      </c>
      <c r="F16" s="27">
        <f t="shared" ca="1" si="10"/>
        <v>4.0663634841899494</v>
      </c>
      <c r="G16" s="27">
        <f t="shared" ca="1" si="10"/>
        <v>1.0840509443456243</v>
      </c>
      <c r="H16" s="27">
        <f t="shared" ca="1" si="10"/>
        <v>1.2984026928905847</v>
      </c>
      <c r="I16" s="27">
        <f t="shared" ca="1" si="10"/>
        <v>4.3509836134600928</v>
      </c>
      <c r="J16" s="27">
        <f t="shared" ca="1" si="10"/>
        <v>6.649891260828463</v>
      </c>
      <c r="K16" s="27">
        <f t="shared" ca="1" si="10"/>
        <v>1.2988642801113959</v>
      </c>
      <c r="L16" s="27">
        <f t="shared" ca="1" si="10"/>
        <v>1.381710677385052</v>
      </c>
      <c r="M16" s="27">
        <f t="shared" ca="1" si="10"/>
        <v>4.0392076646468213</v>
      </c>
    </row>
    <row r="17" spans="2:13" ht="12.75" customHeight="1" x14ac:dyDescent="0.25">
      <c r="B17" s="155"/>
      <c r="C17" s="7" t="s">
        <v>178</v>
      </c>
      <c r="D17" s="27">
        <f t="shared" ca="1" si="0"/>
        <v>3.4752933905309566</v>
      </c>
      <c r="E17" s="27">
        <f t="shared" ref="E17:M17" ca="1" si="11">(0.5+RAND())*E$6</f>
        <v>0.70759985202636833</v>
      </c>
      <c r="F17" s="27">
        <f t="shared" ca="1" si="11"/>
        <v>5.5286382931979503</v>
      </c>
      <c r="G17" s="27">
        <f t="shared" ca="1" si="11"/>
        <v>1.9963766325103784</v>
      </c>
      <c r="H17" s="27">
        <f t="shared" ca="1" si="11"/>
        <v>0.8551809583302582</v>
      </c>
      <c r="I17" s="27">
        <f t="shared" ca="1" si="11"/>
        <v>8.5187773236955753</v>
      </c>
      <c r="J17" s="27">
        <f t="shared" ca="1" si="11"/>
        <v>5.9866239687110614</v>
      </c>
      <c r="K17" s="27">
        <f t="shared" ca="1" si="11"/>
        <v>1.7693964080860898</v>
      </c>
      <c r="L17" s="27">
        <f t="shared" ca="1" si="11"/>
        <v>1.4282143575674218</v>
      </c>
      <c r="M17" s="27">
        <f t="shared" ca="1" si="11"/>
        <v>5.2586339289483108</v>
      </c>
    </row>
    <row r="18" spans="2:13" ht="12.75" customHeight="1" x14ac:dyDescent="0.25">
      <c r="B18" s="155"/>
      <c r="C18" s="7" t="s">
        <v>179</v>
      </c>
      <c r="D18" s="27">
        <f t="shared" ca="1" si="0"/>
        <v>3.0164027249352232</v>
      </c>
      <c r="E18" s="27">
        <f t="shared" ref="E18:M18" ca="1" si="12">(0.5+RAND())*E$6</f>
        <v>0.8123634646592327</v>
      </c>
      <c r="F18" s="27">
        <f t="shared" ca="1" si="12"/>
        <v>3.3300877721299522</v>
      </c>
      <c r="G18" s="27">
        <f t="shared" ca="1" si="12"/>
        <v>1.2211300316227069</v>
      </c>
      <c r="H18" s="27">
        <f t="shared" ca="1" si="12"/>
        <v>1.702134045363396</v>
      </c>
      <c r="I18" s="27">
        <f t="shared" ca="1" si="12"/>
        <v>4.8587258970601024</v>
      </c>
      <c r="J18" s="27">
        <f t="shared" ca="1" si="12"/>
        <v>5.6876948505944975</v>
      </c>
      <c r="K18" s="27">
        <f t="shared" ca="1" si="12"/>
        <v>1.4578364307898029</v>
      </c>
      <c r="L18" s="27">
        <f t="shared" ca="1" si="12"/>
        <v>1.5224355404187142</v>
      </c>
      <c r="M18" s="27">
        <f t="shared" ca="1" si="12"/>
        <v>7.6690758887524169</v>
      </c>
    </row>
    <row r="19" spans="2:13" ht="12.75" customHeight="1" x14ac:dyDescent="0.25">
      <c r="B19" s="156"/>
      <c r="C19" s="7" t="s">
        <v>180</v>
      </c>
      <c r="D19" s="27">
        <f t="shared" ca="1" si="0"/>
        <v>2.1352526671397221</v>
      </c>
      <c r="E19" s="27">
        <f t="shared" ref="E19:M19" ca="1" si="13">(0.5+RAND())*E$6</f>
        <v>0.96098535754517012</v>
      </c>
      <c r="F19" s="27">
        <f t="shared" ca="1" si="13"/>
        <v>4.5076346258760509</v>
      </c>
      <c r="G19" s="27">
        <f t="shared" ca="1" si="13"/>
        <v>1.0835311488438224</v>
      </c>
      <c r="H19" s="27">
        <f t="shared" ca="1" si="13"/>
        <v>1.300004598102658</v>
      </c>
      <c r="I19" s="27">
        <f t="shared" ca="1" si="13"/>
        <v>6.1707705415516134</v>
      </c>
      <c r="J19" s="27">
        <f t="shared" ca="1" si="13"/>
        <v>7.3144121660928354</v>
      </c>
      <c r="K19" s="27">
        <f t="shared" ca="1" si="13"/>
        <v>0.99311027596787094</v>
      </c>
      <c r="L19" s="27">
        <f t="shared" ca="1" si="13"/>
        <v>1.4530389836561128</v>
      </c>
      <c r="M19" s="27">
        <f t="shared" ca="1" si="13"/>
        <v>7.6114675628641528</v>
      </c>
    </row>
    <row r="20" spans="2:13" ht="12.75" customHeight="1" x14ac:dyDescent="0.25"/>
    <row r="21" spans="2:13" ht="12.75" customHeight="1" x14ac:dyDescent="0.25"/>
    <row r="22" spans="2:13" ht="12.75" customHeight="1" x14ac:dyDescent="0.25"/>
    <row r="23" spans="2:13" ht="12.75" customHeight="1" x14ac:dyDescent="0.25"/>
    <row r="24" spans="2:13" ht="12.75" customHeight="1" x14ac:dyDescent="0.25">
      <c r="D24" s="7" t="s">
        <v>127</v>
      </c>
      <c r="E24" s="7" t="s">
        <v>133</v>
      </c>
      <c r="F24" s="7" t="s">
        <v>130</v>
      </c>
      <c r="G24" s="7" t="s">
        <v>131</v>
      </c>
      <c r="H24" s="7" t="s">
        <v>132</v>
      </c>
      <c r="I24" s="7" t="s">
        <v>164</v>
      </c>
      <c r="J24" s="7" t="s">
        <v>142</v>
      </c>
      <c r="K24" s="7" t="s">
        <v>141</v>
      </c>
      <c r="L24" s="7" t="s">
        <v>165</v>
      </c>
      <c r="M24" s="7" t="s">
        <v>163</v>
      </c>
    </row>
    <row r="25" spans="2:13" ht="12.75" customHeight="1" x14ac:dyDescent="0.25">
      <c r="B25" s="154" t="s">
        <v>72</v>
      </c>
      <c r="C25" s="7" t="s">
        <v>167</v>
      </c>
      <c r="D25" s="27">
        <v>9</v>
      </c>
      <c r="E25" s="27">
        <v>14</v>
      </c>
      <c r="F25" s="27">
        <v>7</v>
      </c>
      <c r="G25" s="27">
        <v>12</v>
      </c>
      <c r="H25" s="27">
        <v>12</v>
      </c>
      <c r="I25" s="27">
        <v>5</v>
      </c>
      <c r="J25" s="27">
        <v>7</v>
      </c>
      <c r="K25" s="27">
        <v>15</v>
      </c>
      <c r="L25" s="27">
        <v>11</v>
      </c>
      <c r="M25" s="27">
        <v>7</v>
      </c>
    </row>
    <row r="26" spans="2:13" ht="12.75" customHeight="1" x14ac:dyDescent="0.25">
      <c r="B26" s="155"/>
      <c r="C26" s="7" t="s">
        <v>168</v>
      </c>
      <c r="D26" s="27">
        <f t="shared" ref="D26:M26" ca="1" si="14">(0.5+RAND())*D$25</f>
        <v>8.5470511731027621</v>
      </c>
      <c r="E26" s="27">
        <f t="shared" ca="1" si="14"/>
        <v>16.382844901902679</v>
      </c>
      <c r="F26" s="27">
        <f t="shared" ca="1" si="14"/>
        <v>7.2755138223137354</v>
      </c>
      <c r="G26" s="27">
        <f t="shared" ca="1" si="14"/>
        <v>11.612985950941408</v>
      </c>
      <c r="H26" s="27">
        <f t="shared" ca="1" si="14"/>
        <v>14.671865953022493</v>
      </c>
      <c r="I26" s="27">
        <f t="shared" ca="1" si="14"/>
        <v>5.8220915384570757</v>
      </c>
      <c r="J26" s="27">
        <f t="shared" ca="1" si="14"/>
        <v>7.7483738978726571</v>
      </c>
      <c r="K26" s="27">
        <f t="shared" ca="1" si="14"/>
        <v>11.259213629926318</v>
      </c>
      <c r="L26" s="27">
        <f t="shared" ca="1" si="14"/>
        <v>9.4120282175026375</v>
      </c>
      <c r="M26" s="27">
        <f t="shared" ca="1" si="14"/>
        <v>5.2936162945154113</v>
      </c>
    </row>
    <row r="27" spans="2:13" ht="12.75" customHeight="1" x14ac:dyDescent="0.25">
      <c r="B27" s="155"/>
      <c r="C27" s="7" t="s">
        <v>169</v>
      </c>
      <c r="D27" s="27">
        <f t="shared" ref="D27:M27" ca="1" si="15">(0.5+RAND())*D$25</f>
        <v>7.4882140541170603</v>
      </c>
      <c r="E27" s="27">
        <f t="shared" ca="1" si="15"/>
        <v>15.284790553702763</v>
      </c>
      <c r="F27" s="27">
        <f t="shared" ca="1" si="15"/>
        <v>9.5853587122131927</v>
      </c>
      <c r="G27" s="27">
        <f t="shared" ca="1" si="15"/>
        <v>12.07381283540365</v>
      </c>
      <c r="H27" s="27">
        <f t="shared" ca="1" si="15"/>
        <v>10.196731640075118</v>
      </c>
      <c r="I27" s="27">
        <f t="shared" ca="1" si="15"/>
        <v>5.5344060983255368</v>
      </c>
      <c r="J27" s="27">
        <f t="shared" ca="1" si="15"/>
        <v>6.3003416118280828</v>
      </c>
      <c r="K27" s="27">
        <f t="shared" ca="1" si="15"/>
        <v>10.206475704207477</v>
      </c>
      <c r="L27" s="27">
        <f t="shared" ca="1" si="15"/>
        <v>14.343909732583915</v>
      </c>
      <c r="M27" s="27">
        <f t="shared" ca="1" si="15"/>
        <v>4.5194836689695093</v>
      </c>
    </row>
    <row r="28" spans="2:13" ht="12.75" customHeight="1" x14ac:dyDescent="0.25">
      <c r="B28" s="155"/>
      <c r="C28" s="7" t="s">
        <v>170</v>
      </c>
      <c r="D28" s="27">
        <f t="shared" ref="D28:M28" ca="1" si="16">(0.5+RAND())*D$25</f>
        <v>6.5513691943166386</v>
      </c>
      <c r="E28" s="27">
        <f t="shared" ca="1" si="16"/>
        <v>15.198181374890261</v>
      </c>
      <c r="F28" s="27">
        <f t="shared" ca="1" si="16"/>
        <v>4.2602528168962932</v>
      </c>
      <c r="G28" s="27">
        <f t="shared" ca="1" si="16"/>
        <v>9.4157390349703132</v>
      </c>
      <c r="H28" s="27">
        <f t="shared" ca="1" si="16"/>
        <v>10.688883898538332</v>
      </c>
      <c r="I28" s="27">
        <f t="shared" ca="1" si="16"/>
        <v>3.7820879212221454</v>
      </c>
      <c r="J28" s="27">
        <f t="shared" ca="1" si="16"/>
        <v>8.3223050005187407</v>
      </c>
      <c r="K28" s="27">
        <f t="shared" ca="1" si="16"/>
        <v>11.772063181703142</v>
      </c>
      <c r="L28" s="27">
        <f t="shared" ca="1" si="16"/>
        <v>14.982851783405099</v>
      </c>
      <c r="M28" s="27">
        <f t="shared" ca="1" si="16"/>
        <v>4.5350039219003468</v>
      </c>
    </row>
    <row r="29" spans="2:13" ht="12.75" customHeight="1" x14ac:dyDescent="0.25">
      <c r="B29" s="155"/>
      <c r="C29" s="7" t="s">
        <v>171</v>
      </c>
      <c r="D29" s="27">
        <f t="shared" ref="D29:M29" ca="1" si="17">(0.5+RAND())*D$25</f>
        <v>11.397736715680608</v>
      </c>
      <c r="E29" s="27">
        <f t="shared" ca="1" si="17"/>
        <v>14.726856612538231</v>
      </c>
      <c r="F29" s="27">
        <f t="shared" ca="1" si="17"/>
        <v>7.1256107124138079</v>
      </c>
      <c r="G29" s="27">
        <f t="shared" ca="1" si="17"/>
        <v>16.694918412445549</v>
      </c>
      <c r="H29" s="27">
        <f t="shared" ca="1" si="17"/>
        <v>16.689770729137599</v>
      </c>
      <c r="I29" s="27">
        <f t="shared" ca="1" si="17"/>
        <v>6.0326398790442148</v>
      </c>
      <c r="J29" s="27">
        <f t="shared" ca="1" si="17"/>
        <v>7.1211748070347038</v>
      </c>
      <c r="K29" s="27">
        <f t="shared" ca="1" si="17"/>
        <v>7.5398546492905485</v>
      </c>
      <c r="L29" s="27">
        <f t="shared" ca="1" si="17"/>
        <v>15.134023561491178</v>
      </c>
      <c r="M29" s="27">
        <f t="shared" ca="1" si="17"/>
        <v>6.2096834008402855</v>
      </c>
    </row>
    <row r="30" spans="2:13" ht="12.75" customHeight="1" x14ac:dyDescent="0.25">
      <c r="B30" s="155"/>
      <c r="C30" s="7" t="s">
        <v>172</v>
      </c>
      <c r="D30" s="27">
        <f t="shared" ref="D30:M30" ca="1" si="18">(0.5+RAND())*D$25</f>
        <v>10.279521609936477</v>
      </c>
      <c r="E30" s="27">
        <f t="shared" ca="1" si="18"/>
        <v>19.987913132074077</v>
      </c>
      <c r="F30" s="27">
        <f t="shared" ca="1" si="18"/>
        <v>4.907020886373493</v>
      </c>
      <c r="G30" s="27">
        <f t="shared" ca="1" si="18"/>
        <v>11.667156448422432</v>
      </c>
      <c r="H30" s="27">
        <f t="shared" ca="1" si="18"/>
        <v>13.610266358947017</v>
      </c>
      <c r="I30" s="27">
        <f t="shared" ca="1" si="18"/>
        <v>4.272777673274776</v>
      </c>
      <c r="J30" s="27">
        <f t="shared" ca="1" si="18"/>
        <v>5.1614476120037649</v>
      </c>
      <c r="K30" s="27">
        <f t="shared" ca="1" si="18"/>
        <v>17.069937725841548</v>
      </c>
      <c r="L30" s="27">
        <f t="shared" ca="1" si="18"/>
        <v>16.116351790597445</v>
      </c>
      <c r="M30" s="27">
        <f t="shared" ca="1" si="18"/>
        <v>7.2275572457597752</v>
      </c>
    </row>
    <row r="31" spans="2:13" ht="12.75" customHeight="1" x14ac:dyDescent="0.25">
      <c r="B31" s="155"/>
      <c r="C31" s="7" t="s">
        <v>173</v>
      </c>
      <c r="D31" s="27">
        <f t="shared" ref="D31:M31" ca="1" si="19">(0.5+RAND())*D$25</f>
        <v>6.245788762438603</v>
      </c>
      <c r="E31" s="27">
        <f t="shared" ca="1" si="19"/>
        <v>16.784691977182121</v>
      </c>
      <c r="F31" s="27">
        <f t="shared" ca="1" si="19"/>
        <v>6.3845606962897232</v>
      </c>
      <c r="G31" s="27">
        <f t="shared" ca="1" si="19"/>
        <v>7.9187786624060861</v>
      </c>
      <c r="H31" s="27">
        <f t="shared" ca="1" si="19"/>
        <v>9.9205753463423356</v>
      </c>
      <c r="I31" s="27">
        <f t="shared" ca="1" si="19"/>
        <v>7.4380487926566419</v>
      </c>
      <c r="J31" s="27">
        <f t="shared" ca="1" si="19"/>
        <v>7.0999017533369466</v>
      </c>
      <c r="K31" s="27">
        <f t="shared" ca="1" si="19"/>
        <v>14.485933028614591</v>
      </c>
      <c r="L31" s="27">
        <f t="shared" ca="1" si="19"/>
        <v>8.8835090854552732</v>
      </c>
      <c r="M31" s="27">
        <f t="shared" ca="1" si="19"/>
        <v>3.9166586182745173</v>
      </c>
    </row>
    <row r="32" spans="2:13" ht="12.75" customHeight="1" x14ac:dyDescent="0.25">
      <c r="B32" s="155"/>
      <c r="C32" s="7" t="s">
        <v>174</v>
      </c>
      <c r="D32" s="27">
        <f t="shared" ref="D32:M32" ca="1" si="20">(0.5+RAND())*D$25</f>
        <v>9.6888388797679834</v>
      </c>
      <c r="E32" s="27">
        <f t="shared" ca="1" si="20"/>
        <v>11.935163561946734</v>
      </c>
      <c r="F32" s="27">
        <f t="shared" ca="1" si="20"/>
        <v>8.0987459646690034</v>
      </c>
      <c r="G32" s="27">
        <f t="shared" ca="1" si="20"/>
        <v>12.560439605846517</v>
      </c>
      <c r="H32" s="27">
        <f t="shared" ca="1" si="20"/>
        <v>9.3691977816106924</v>
      </c>
      <c r="I32" s="27">
        <f t="shared" ca="1" si="20"/>
        <v>4.8043931613513182</v>
      </c>
      <c r="J32" s="27">
        <f t="shared" ca="1" si="20"/>
        <v>10.380209530627589</v>
      </c>
      <c r="K32" s="27">
        <f t="shared" ca="1" si="20"/>
        <v>12.815747369934698</v>
      </c>
      <c r="L32" s="27">
        <f t="shared" ca="1" si="20"/>
        <v>8.3305281383298784</v>
      </c>
      <c r="M32" s="27">
        <f t="shared" ca="1" si="20"/>
        <v>7.8861607371219486</v>
      </c>
    </row>
    <row r="33" spans="2:13" ht="12.75" customHeight="1" x14ac:dyDescent="0.25">
      <c r="B33" s="155"/>
      <c r="C33" s="7" t="s">
        <v>175</v>
      </c>
      <c r="D33" s="27">
        <f t="shared" ref="D33:M33" ca="1" si="21">(0.5+RAND())*D$25</f>
        <v>10.97848253146754</v>
      </c>
      <c r="E33" s="27">
        <f t="shared" ca="1" si="21"/>
        <v>18.500218297848264</v>
      </c>
      <c r="F33" s="27">
        <f t="shared" ca="1" si="21"/>
        <v>5.7879784131984326</v>
      </c>
      <c r="G33" s="27">
        <f t="shared" ca="1" si="21"/>
        <v>16.03465791295239</v>
      </c>
      <c r="H33" s="27">
        <f t="shared" ca="1" si="21"/>
        <v>10.727807685838524</v>
      </c>
      <c r="I33" s="27">
        <f t="shared" ca="1" si="21"/>
        <v>6.5853831064226442</v>
      </c>
      <c r="J33" s="27">
        <f t="shared" ca="1" si="21"/>
        <v>9.8268704165130778</v>
      </c>
      <c r="K33" s="27">
        <f t="shared" ca="1" si="21"/>
        <v>14.069327211962776</v>
      </c>
      <c r="L33" s="27">
        <f t="shared" ca="1" si="21"/>
        <v>7.1506378096305179</v>
      </c>
      <c r="M33" s="27">
        <f t="shared" ca="1" si="21"/>
        <v>5.1303993495011104</v>
      </c>
    </row>
    <row r="34" spans="2:13" ht="12.75" customHeight="1" x14ac:dyDescent="0.25">
      <c r="B34" s="155"/>
      <c r="C34" s="7" t="s">
        <v>176</v>
      </c>
      <c r="D34" s="27">
        <f t="shared" ref="D34:M34" ca="1" si="22">(0.5+RAND())*D$25</f>
        <v>8.9986279208193221</v>
      </c>
      <c r="E34" s="27">
        <f t="shared" ca="1" si="22"/>
        <v>7.2627709593705756</v>
      </c>
      <c r="F34" s="27">
        <f t="shared" ca="1" si="22"/>
        <v>8.4394632887278149</v>
      </c>
      <c r="G34" s="27">
        <f t="shared" ca="1" si="22"/>
        <v>11.266664707190269</v>
      </c>
      <c r="H34" s="27">
        <f t="shared" ca="1" si="22"/>
        <v>14.30775252276538</v>
      </c>
      <c r="I34" s="27">
        <f t="shared" ca="1" si="22"/>
        <v>7.1083786375261742</v>
      </c>
      <c r="J34" s="27">
        <f t="shared" ca="1" si="22"/>
        <v>7.310173969885998</v>
      </c>
      <c r="K34" s="27">
        <f t="shared" ca="1" si="22"/>
        <v>12.465569713435075</v>
      </c>
      <c r="L34" s="27">
        <f t="shared" ca="1" si="22"/>
        <v>8.4200388578325125</v>
      </c>
      <c r="M34" s="27">
        <f t="shared" ca="1" si="22"/>
        <v>9.0728633071327973</v>
      </c>
    </row>
    <row r="35" spans="2:13" ht="12.75" customHeight="1" x14ac:dyDescent="0.25">
      <c r="B35" s="155"/>
      <c r="C35" s="7" t="s">
        <v>177</v>
      </c>
      <c r="D35" s="27">
        <f t="shared" ref="D35:M35" ca="1" si="23">(0.5+RAND())*D$25</f>
        <v>9.1877286861027354</v>
      </c>
      <c r="E35" s="27">
        <f t="shared" ca="1" si="23"/>
        <v>7.8246370711392821</v>
      </c>
      <c r="F35" s="27">
        <f t="shared" ca="1" si="23"/>
        <v>6.1766056429841267</v>
      </c>
      <c r="G35" s="27">
        <f t="shared" ca="1" si="23"/>
        <v>14.613715268171488</v>
      </c>
      <c r="H35" s="27">
        <f t="shared" ca="1" si="23"/>
        <v>11.404203552656192</v>
      </c>
      <c r="I35" s="27">
        <f t="shared" ca="1" si="23"/>
        <v>7.3839979098481585</v>
      </c>
      <c r="J35" s="27">
        <f t="shared" ca="1" si="23"/>
        <v>4.6099758762969332</v>
      </c>
      <c r="K35" s="27">
        <f t="shared" ca="1" si="23"/>
        <v>15.08337329184889</v>
      </c>
      <c r="L35" s="27">
        <f t="shared" ca="1" si="23"/>
        <v>6.8074436008277148</v>
      </c>
      <c r="M35" s="27">
        <f t="shared" ca="1" si="23"/>
        <v>7.2302403815526963</v>
      </c>
    </row>
    <row r="36" spans="2:13" ht="12.75" customHeight="1" x14ac:dyDescent="0.25">
      <c r="B36" s="155"/>
      <c r="C36" s="7" t="s">
        <v>178</v>
      </c>
      <c r="D36" s="27">
        <f t="shared" ref="D36:M36" ca="1" si="24">(0.5+RAND())*D$25</f>
        <v>8.4993696904363372</v>
      </c>
      <c r="E36" s="27">
        <f t="shared" ca="1" si="24"/>
        <v>14.90563768447641</v>
      </c>
      <c r="F36" s="27">
        <f t="shared" ca="1" si="24"/>
        <v>9.0761259139154689</v>
      </c>
      <c r="G36" s="27">
        <f t="shared" ca="1" si="24"/>
        <v>8.637976693148369</v>
      </c>
      <c r="H36" s="27">
        <f t="shared" ca="1" si="24"/>
        <v>7.1296109989829546</v>
      </c>
      <c r="I36" s="27">
        <f t="shared" ca="1" si="24"/>
        <v>5.9770037745644764</v>
      </c>
      <c r="J36" s="27">
        <f t="shared" ca="1" si="24"/>
        <v>9.1909955048312817</v>
      </c>
      <c r="K36" s="27">
        <f t="shared" ca="1" si="24"/>
        <v>22.048271220389978</v>
      </c>
      <c r="L36" s="27">
        <f t="shared" ca="1" si="24"/>
        <v>14.610080372184573</v>
      </c>
      <c r="M36" s="27">
        <f t="shared" ca="1" si="24"/>
        <v>7.3209028234880957</v>
      </c>
    </row>
    <row r="37" spans="2:13" ht="12.75" customHeight="1" x14ac:dyDescent="0.25">
      <c r="B37" s="155"/>
      <c r="C37" s="7" t="s">
        <v>179</v>
      </c>
      <c r="D37" s="27">
        <f t="shared" ref="D37:M37" ca="1" si="25">(0.5+RAND())*D$25</f>
        <v>11.218631118625318</v>
      </c>
      <c r="E37" s="27">
        <f t="shared" ca="1" si="25"/>
        <v>18.865054347668096</v>
      </c>
      <c r="F37" s="27">
        <f t="shared" ca="1" si="25"/>
        <v>6.8222298265125421</v>
      </c>
      <c r="G37" s="27">
        <f t="shared" ca="1" si="25"/>
        <v>17.247969223927178</v>
      </c>
      <c r="H37" s="27">
        <f t="shared" ca="1" si="25"/>
        <v>9.9377470211929744</v>
      </c>
      <c r="I37" s="27">
        <f t="shared" ca="1" si="25"/>
        <v>6.1805938421570499</v>
      </c>
      <c r="J37" s="27">
        <f t="shared" ca="1" si="25"/>
        <v>9.270042197562109</v>
      </c>
      <c r="K37" s="27">
        <f t="shared" ca="1" si="25"/>
        <v>15.807707206951742</v>
      </c>
      <c r="L37" s="27">
        <f t="shared" ca="1" si="25"/>
        <v>7.79071499427166</v>
      </c>
      <c r="M37" s="27">
        <f t="shared" ca="1" si="25"/>
        <v>6.874052469773873</v>
      </c>
    </row>
    <row r="38" spans="2:13" ht="12.75" customHeight="1" x14ac:dyDescent="0.25">
      <c r="B38" s="156"/>
      <c r="C38" s="7" t="s">
        <v>180</v>
      </c>
      <c r="D38" s="27">
        <f t="shared" ref="D38:M38" ca="1" si="26">(0.5+RAND())*D$25</f>
        <v>7.3999374481320332</v>
      </c>
      <c r="E38" s="27">
        <f t="shared" ca="1" si="26"/>
        <v>7.6809774887126911</v>
      </c>
      <c r="F38" s="27">
        <f t="shared" ca="1" si="26"/>
        <v>3.5648291872201723</v>
      </c>
      <c r="G38" s="27">
        <f t="shared" ca="1" si="26"/>
        <v>14.79966316346005</v>
      </c>
      <c r="H38" s="27">
        <f t="shared" ca="1" si="26"/>
        <v>10.79541544699158</v>
      </c>
      <c r="I38" s="27">
        <f t="shared" ca="1" si="26"/>
        <v>4.1146927148996602</v>
      </c>
      <c r="J38" s="27">
        <f t="shared" ca="1" si="26"/>
        <v>5.5082353416899954</v>
      </c>
      <c r="K38" s="27">
        <f t="shared" ca="1" si="26"/>
        <v>12.302741103130653</v>
      </c>
      <c r="L38" s="27">
        <f t="shared" ca="1" si="26"/>
        <v>5.6336723872000425</v>
      </c>
      <c r="M38" s="27">
        <f t="shared" ca="1" si="26"/>
        <v>6.4323005064235534</v>
      </c>
    </row>
    <row r="39" spans="2:13" ht="12.75" customHeight="1" x14ac:dyDescent="0.25"/>
    <row r="40" spans="2:13" ht="12.75" customHeight="1" x14ac:dyDescent="0.25"/>
    <row r="41" spans="2:13" ht="12.75" customHeight="1" x14ac:dyDescent="0.25"/>
    <row r="42" spans="2:13" ht="12.75" customHeight="1" x14ac:dyDescent="0.25">
      <c r="D42" s="7" t="s">
        <v>181</v>
      </c>
      <c r="E42" s="7" t="s">
        <v>182</v>
      </c>
    </row>
    <row r="43" spans="2:13" ht="12.75" customHeight="1" x14ac:dyDescent="0.25">
      <c r="B43" s="157" t="s">
        <v>183</v>
      </c>
      <c r="C43" s="7" t="s">
        <v>167</v>
      </c>
      <c r="D43" s="7">
        <v>1600</v>
      </c>
      <c r="E43" s="7">
        <v>92.3</v>
      </c>
    </row>
    <row r="44" spans="2:13" ht="12.75" customHeight="1" x14ac:dyDescent="0.25">
      <c r="B44" s="155"/>
      <c r="C44" s="7" t="s">
        <v>168</v>
      </c>
      <c r="D44" s="5">
        <v>2900</v>
      </c>
      <c r="E44" s="28">
        <v>100.490621572495</v>
      </c>
      <c r="F44" s="5"/>
    </row>
    <row r="45" spans="2:13" ht="12.75" customHeight="1" x14ac:dyDescent="0.25">
      <c r="B45" s="155"/>
      <c r="C45" s="7" t="s">
        <v>169</v>
      </c>
      <c r="D45" s="5">
        <v>2700</v>
      </c>
      <c r="E45" s="28">
        <v>113.411129978113</v>
      </c>
      <c r="F45" s="5"/>
    </row>
    <row r="46" spans="2:13" ht="12.75" customHeight="1" x14ac:dyDescent="0.25">
      <c r="B46" s="155"/>
      <c r="C46" s="7" t="s">
        <v>170</v>
      </c>
      <c r="D46" s="5">
        <v>2600</v>
      </c>
      <c r="E46" s="28">
        <v>80.841831220499003</v>
      </c>
      <c r="F46" s="5"/>
    </row>
    <row r="47" spans="2:13" ht="12.75" customHeight="1" x14ac:dyDescent="0.25">
      <c r="B47" s="155"/>
      <c r="C47" s="7" t="s">
        <v>171</v>
      </c>
      <c r="D47" s="5">
        <v>3000</v>
      </c>
      <c r="E47" s="28">
        <v>78.562830363879911</v>
      </c>
      <c r="F47" s="5"/>
    </row>
    <row r="48" spans="2:13" ht="12.75" customHeight="1" x14ac:dyDescent="0.25">
      <c r="B48" s="155"/>
      <c r="C48" s="7" t="s">
        <v>172</v>
      </c>
      <c r="D48" s="5">
        <v>1900</v>
      </c>
      <c r="E48" s="28">
        <v>100.23638952450855</v>
      </c>
      <c r="F48" s="5"/>
    </row>
    <row r="49" spans="2:13" ht="12.75" customHeight="1" x14ac:dyDescent="0.25">
      <c r="B49" s="155"/>
      <c r="C49" s="7" t="s">
        <v>173</v>
      </c>
      <c r="D49" s="5">
        <v>2900</v>
      </c>
      <c r="E49" s="28">
        <v>99.413389578885443</v>
      </c>
      <c r="F49" s="5"/>
    </row>
    <row r="50" spans="2:13" ht="12.75" customHeight="1" x14ac:dyDescent="0.25">
      <c r="B50" s="155"/>
      <c r="C50" s="7" t="s">
        <v>174</v>
      </c>
      <c r="D50" s="5">
        <v>1800</v>
      </c>
      <c r="E50" s="28">
        <v>94.581378550804004</v>
      </c>
      <c r="F50" s="5"/>
    </row>
    <row r="51" spans="2:13" ht="12.75" customHeight="1" x14ac:dyDescent="0.25">
      <c r="B51" s="155"/>
      <c r="C51" s="7" t="s">
        <v>175</v>
      </c>
      <c r="D51" s="5">
        <v>3100</v>
      </c>
      <c r="E51" s="28">
        <v>93.069310566121402</v>
      </c>
      <c r="F51" s="5"/>
    </row>
    <row r="52" spans="2:13" ht="12.75" customHeight="1" x14ac:dyDescent="0.25">
      <c r="B52" s="155"/>
      <c r="C52" s="7" t="s">
        <v>176</v>
      </c>
      <c r="D52" s="5">
        <v>1800</v>
      </c>
      <c r="E52" s="28">
        <v>90.694100434826595</v>
      </c>
      <c r="F52" s="5"/>
    </row>
    <row r="53" spans="2:13" ht="12.75" customHeight="1" x14ac:dyDescent="0.25">
      <c r="B53" s="155"/>
      <c r="C53" s="7" t="s">
        <v>177</v>
      </c>
      <c r="D53" s="5">
        <v>2500</v>
      </c>
      <c r="E53" s="28">
        <v>96.102793427526507</v>
      </c>
      <c r="F53" s="5"/>
    </row>
    <row r="54" spans="2:13" ht="12.75" customHeight="1" x14ac:dyDescent="0.25">
      <c r="B54" s="155"/>
      <c r="C54" s="7" t="s">
        <v>178</v>
      </c>
      <c r="D54" s="5">
        <v>2400</v>
      </c>
      <c r="E54" s="28">
        <v>98.228263631632004</v>
      </c>
      <c r="F54" s="5"/>
    </row>
    <row r="55" spans="2:13" ht="12.75" customHeight="1" x14ac:dyDescent="0.25">
      <c r="B55" s="155"/>
      <c r="C55" s="7" t="s">
        <v>179</v>
      </c>
      <c r="D55" s="5">
        <v>1800</v>
      </c>
      <c r="E55" s="28">
        <v>81.927096694379998</v>
      </c>
      <c r="F55" s="5"/>
    </row>
    <row r="56" spans="2:13" ht="12.75" customHeight="1" x14ac:dyDescent="0.25">
      <c r="B56" s="156"/>
      <c r="C56" s="7" t="s">
        <v>180</v>
      </c>
      <c r="D56" s="5">
        <v>2000</v>
      </c>
      <c r="E56" s="28">
        <v>99.377580279295699</v>
      </c>
      <c r="F56" s="5"/>
    </row>
    <row r="57" spans="2:13" ht="12.75" customHeight="1" x14ac:dyDescent="0.25"/>
    <row r="58" spans="2:13" ht="12.75" customHeight="1" x14ac:dyDescent="0.25"/>
    <row r="59" spans="2:13" ht="12.75" customHeight="1" x14ac:dyDescent="0.25"/>
    <row r="60" spans="2:13" ht="12.75" customHeight="1" x14ac:dyDescent="0.25">
      <c r="D60" s="7" t="s">
        <v>127</v>
      </c>
      <c r="E60" s="7" t="s">
        <v>133</v>
      </c>
      <c r="F60" s="7" t="s">
        <v>130</v>
      </c>
      <c r="G60" s="7" t="s">
        <v>131</v>
      </c>
      <c r="H60" s="7" t="s">
        <v>132</v>
      </c>
      <c r="I60" s="7" t="s">
        <v>164</v>
      </c>
      <c r="J60" s="7" t="s">
        <v>142</v>
      </c>
      <c r="K60" s="7" t="s">
        <v>141</v>
      </c>
      <c r="L60" s="7" t="s">
        <v>165</v>
      </c>
      <c r="M60" s="7" t="s">
        <v>163</v>
      </c>
    </row>
    <row r="61" spans="2:13" ht="12.75" customHeight="1" x14ac:dyDescent="0.25">
      <c r="B61" s="158" t="s">
        <v>184</v>
      </c>
      <c r="C61" s="7" t="s">
        <v>167</v>
      </c>
      <c r="D61" s="29">
        <v>9580</v>
      </c>
      <c r="E61" s="29">
        <v>5880</v>
      </c>
      <c r="F61" s="29">
        <v>10080</v>
      </c>
      <c r="G61" s="29">
        <v>6080</v>
      </c>
      <c r="H61" s="29">
        <v>5880</v>
      </c>
      <c r="I61" s="29">
        <v>11080</v>
      </c>
      <c r="J61" s="29">
        <v>11080</v>
      </c>
      <c r="K61" s="29">
        <v>6580</v>
      </c>
      <c r="L61" s="29">
        <v>6180</v>
      </c>
      <c r="M61" s="29">
        <v>11080</v>
      </c>
    </row>
    <row r="62" spans="2:13" ht="12.75" customHeight="1" x14ac:dyDescent="0.25">
      <c r="B62" s="148"/>
      <c r="C62" s="7" t="s">
        <v>168</v>
      </c>
      <c r="D62" s="29">
        <f t="shared" ref="D62:M62" ca="1" si="27">ROUNDUP((1+RAND())*D$61,-2)</f>
        <v>10300</v>
      </c>
      <c r="E62" s="29">
        <f t="shared" ca="1" si="27"/>
        <v>6200</v>
      </c>
      <c r="F62" s="29">
        <f t="shared" ca="1" si="27"/>
        <v>10900</v>
      </c>
      <c r="G62" s="29">
        <f t="shared" ca="1" si="27"/>
        <v>8200</v>
      </c>
      <c r="H62" s="29">
        <f t="shared" ca="1" si="27"/>
        <v>6200</v>
      </c>
      <c r="I62" s="29">
        <f t="shared" ca="1" si="27"/>
        <v>21100</v>
      </c>
      <c r="J62" s="29">
        <f t="shared" ca="1" si="27"/>
        <v>13400</v>
      </c>
      <c r="K62" s="29">
        <f t="shared" ca="1" si="27"/>
        <v>8300</v>
      </c>
      <c r="L62" s="29">
        <f t="shared" ca="1" si="27"/>
        <v>11900</v>
      </c>
      <c r="M62" s="29">
        <f t="shared" ca="1" si="27"/>
        <v>19300</v>
      </c>
    </row>
    <row r="63" spans="2:13" ht="12.75" customHeight="1" x14ac:dyDescent="0.25">
      <c r="B63" s="148"/>
      <c r="C63" s="7" t="s">
        <v>169</v>
      </c>
      <c r="D63" s="29">
        <f t="shared" ref="D63:M63" ca="1" si="28">ROUNDUP((1+RAND())*D$61,-2)</f>
        <v>17300</v>
      </c>
      <c r="E63" s="29">
        <f t="shared" ca="1" si="28"/>
        <v>7500</v>
      </c>
      <c r="F63" s="29">
        <f t="shared" ca="1" si="28"/>
        <v>10700</v>
      </c>
      <c r="G63" s="29">
        <f t="shared" ca="1" si="28"/>
        <v>9100</v>
      </c>
      <c r="H63" s="29">
        <f t="shared" ca="1" si="28"/>
        <v>10300</v>
      </c>
      <c r="I63" s="29">
        <f t="shared" ca="1" si="28"/>
        <v>16300</v>
      </c>
      <c r="J63" s="29">
        <f t="shared" ca="1" si="28"/>
        <v>14800</v>
      </c>
      <c r="K63" s="29">
        <f t="shared" ca="1" si="28"/>
        <v>8700</v>
      </c>
      <c r="L63" s="29">
        <f t="shared" ca="1" si="28"/>
        <v>10700</v>
      </c>
      <c r="M63" s="29">
        <f t="shared" ca="1" si="28"/>
        <v>15100</v>
      </c>
    </row>
    <row r="64" spans="2:13" ht="12.75" customHeight="1" x14ac:dyDescent="0.25">
      <c r="B64" s="148"/>
      <c r="C64" s="7" t="s">
        <v>170</v>
      </c>
      <c r="D64" s="29">
        <f t="shared" ref="D64:M64" ca="1" si="29">ROUNDUP((1+RAND())*D$61,-2)</f>
        <v>12200</v>
      </c>
      <c r="E64" s="29">
        <f t="shared" ca="1" si="29"/>
        <v>7800</v>
      </c>
      <c r="F64" s="29">
        <f t="shared" ca="1" si="29"/>
        <v>17900</v>
      </c>
      <c r="G64" s="29">
        <f t="shared" ca="1" si="29"/>
        <v>10200</v>
      </c>
      <c r="H64" s="29">
        <f t="shared" ca="1" si="29"/>
        <v>9700</v>
      </c>
      <c r="I64" s="29">
        <f t="shared" ca="1" si="29"/>
        <v>13300</v>
      </c>
      <c r="J64" s="29">
        <f t="shared" ca="1" si="29"/>
        <v>12700</v>
      </c>
      <c r="K64" s="29">
        <f t="shared" ca="1" si="29"/>
        <v>10500</v>
      </c>
      <c r="L64" s="29">
        <f t="shared" ca="1" si="29"/>
        <v>8800</v>
      </c>
      <c r="M64" s="29">
        <f t="shared" ca="1" si="29"/>
        <v>15900</v>
      </c>
    </row>
    <row r="65" spans="2:13" ht="12.75" customHeight="1" x14ac:dyDescent="0.25">
      <c r="B65" s="148"/>
      <c r="C65" s="7" t="s">
        <v>171</v>
      </c>
      <c r="D65" s="29">
        <f t="shared" ref="D65:M65" ca="1" si="30">ROUNDUP((1+RAND())*D$61,-2)</f>
        <v>9800</v>
      </c>
      <c r="E65" s="29">
        <f t="shared" ca="1" si="30"/>
        <v>7100</v>
      </c>
      <c r="F65" s="29">
        <f t="shared" ca="1" si="30"/>
        <v>10800</v>
      </c>
      <c r="G65" s="29">
        <f t="shared" ca="1" si="30"/>
        <v>8500</v>
      </c>
      <c r="H65" s="29">
        <f t="shared" ca="1" si="30"/>
        <v>7900</v>
      </c>
      <c r="I65" s="29">
        <f t="shared" ca="1" si="30"/>
        <v>21600</v>
      </c>
      <c r="J65" s="29">
        <f t="shared" ca="1" si="30"/>
        <v>14100</v>
      </c>
      <c r="K65" s="29">
        <f t="shared" ca="1" si="30"/>
        <v>13100</v>
      </c>
      <c r="L65" s="29">
        <f t="shared" ca="1" si="30"/>
        <v>7500</v>
      </c>
      <c r="M65" s="29">
        <f t="shared" ca="1" si="30"/>
        <v>15700</v>
      </c>
    </row>
    <row r="66" spans="2:13" ht="12.75" customHeight="1" x14ac:dyDescent="0.25">
      <c r="B66" s="148"/>
      <c r="C66" s="7" t="s">
        <v>172</v>
      </c>
      <c r="D66" s="29">
        <f t="shared" ref="D66:M66" ca="1" si="31">ROUNDUP((1+RAND())*D$61,-2)</f>
        <v>18200</v>
      </c>
      <c r="E66" s="29">
        <f t="shared" ca="1" si="31"/>
        <v>9500</v>
      </c>
      <c r="F66" s="29">
        <f t="shared" ca="1" si="31"/>
        <v>12900</v>
      </c>
      <c r="G66" s="29">
        <f t="shared" ca="1" si="31"/>
        <v>9600</v>
      </c>
      <c r="H66" s="29">
        <f t="shared" ca="1" si="31"/>
        <v>9400</v>
      </c>
      <c r="I66" s="29">
        <f t="shared" ca="1" si="31"/>
        <v>15900</v>
      </c>
      <c r="J66" s="29">
        <f t="shared" ca="1" si="31"/>
        <v>15900</v>
      </c>
      <c r="K66" s="29">
        <f t="shared" ca="1" si="31"/>
        <v>8500</v>
      </c>
      <c r="L66" s="29">
        <f t="shared" ca="1" si="31"/>
        <v>7900</v>
      </c>
      <c r="M66" s="29">
        <f t="shared" ca="1" si="31"/>
        <v>21400</v>
      </c>
    </row>
    <row r="67" spans="2:13" ht="12.75" customHeight="1" x14ac:dyDescent="0.25">
      <c r="B67" s="148"/>
      <c r="C67" s="7" t="s">
        <v>173</v>
      </c>
      <c r="D67" s="29">
        <f t="shared" ref="D67:M67" ca="1" si="32">ROUNDUP((1+RAND())*D$61,-2)</f>
        <v>14100</v>
      </c>
      <c r="E67" s="29">
        <f t="shared" ca="1" si="32"/>
        <v>7400</v>
      </c>
      <c r="F67" s="29">
        <f t="shared" ca="1" si="32"/>
        <v>18000</v>
      </c>
      <c r="G67" s="29">
        <f t="shared" ca="1" si="32"/>
        <v>8900</v>
      </c>
      <c r="H67" s="29">
        <f t="shared" ca="1" si="32"/>
        <v>7500</v>
      </c>
      <c r="I67" s="29">
        <f t="shared" ca="1" si="32"/>
        <v>21700</v>
      </c>
      <c r="J67" s="29">
        <f t="shared" ca="1" si="32"/>
        <v>18600</v>
      </c>
      <c r="K67" s="29">
        <f t="shared" ca="1" si="32"/>
        <v>12600</v>
      </c>
      <c r="L67" s="29">
        <f t="shared" ca="1" si="32"/>
        <v>11500</v>
      </c>
      <c r="M67" s="29">
        <f t="shared" ca="1" si="32"/>
        <v>15000</v>
      </c>
    </row>
    <row r="68" spans="2:13" ht="12.75" customHeight="1" x14ac:dyDescent="0.25">
      <c r="B68" s="148"/>
      <c r="C68" s="7" t="s">
        <v>174</v>
      </c>
      <c r="D68" s="29">
        <f t="shared" ref="D68:M68" ca="1" si="33">ROUNDUP((1+RAND())*D$61,-2)</f>
        <v>17100</v>
      </c>
      <c r="E68" s="29">
        <f t="shared" ca="1" si="33"/>
        <v>9000</v>
      </c>
      <c r="F68" s="29">
        <f t="shared" ca="1" si="33"/>
        <v>12800</v>
      </c>
      <c r="G68" s="29">
        <f t="shared" ca="1" si="33"/>
        <v>9200</v>
      </c>
      <c r="H68" s="29">
        <f t="shared" ca="1" si="33"/>
        <v>7700</v>
      </c>
      <c r="I68" s="29">
        <f t="shared" ca="1" si="33"/>
        <v>13000</v>
      </c>
      <c r="J68" s="29">
        <f t="shared" ca="1" si="33"/>
        <v>14400</v>
      </c>
      <c r="K68" s="29">
        <f t="shared" ca="1" si="33"/>
        <v>7600</v>
      </c>
      <c r="L68" s="29">
        <f t="shared" ca="1" si="33"/>
        <v>6300</v>
      </c>
      <c r="M68" s="29">
        <f t="shared" ca="1" si="33"/>
        <v>17100</v>
      </c>
    </row>
    <row r="69" spans="2:13" ht="12.75" customHeight="1" x14ac:dyDescent="0.25">
      <c r="B69" s="148"/>
      <c r="C69" s="7" t="s">
        <v>175</v>
      </c>
      <c r="D69" s="29">
        <f t="shared" ref="D69:M69" ca="1" si="34">ROUNDUP((1+RAND())*D$61,-2)</f>
        <v>14200</v>
      </c>
      <c r="E69" s="29">
        <f t="shared" ca="1" si="34"/>
        <v>8100</v>
      </c>
      <c r="F69" s="29">
        <f t="shared" ca="1" si="34"/>
        <v>10300</v>
      </c>
      <c r="G69" s="29">
        <f t="shared" ca="1" si="34"/>
        <v>9400</v>
      </c>
      <c r="H69" s="29">
        <f t="shared" ca="1" si="34"/>
        <v>9900</v>
      </c>
      <c r="I69" s="29">
        <f t="shared" ca="1" si="34"/>
        <v>19000</v>
      </c>
      <c r="J69" s="29">
        <f t="shared" ca="1" si="34"/>
        <v>14600</v>
      </c>
      <c r="K69" s="29">
        <f t="shared" ca="1" si="34"/>
        <v>8500</v>
      </c>
      <c r="L69" s="29">
        <f t="shared" ca="1" si="34"/>
        <v>9200</v>
      </c>
      <c r="M69" s="29">
        <f t="shared" ca="1" si="34"/>
        <v>15200</v>
      </c>
    </row>
    <row r="70" spans="2:13" ht="12.75" customHeight="1" x14ac:dyDescent="0.25">
      <c r="B70" s="148"/>
      <c r="C70" s="7" t="s">
        <v>176</v>
      </c>
      <c r="D70" s="29">
        <f t="shared" ref="D70:M70" ca="1" si="35">ROUNDUP((1+RAND())*D$61,-2)</f>
        <v>9700</v>
      </c>
      <c r="E70" s="29">
        <f t="shared" ca="1" si="35"/>
        <v>7400</v>
      </c>
      <c r="F70" s="29">
        <f t="shared" ca="1" si="35"/>
        <v>10900</v>
      </c>
      <c r="G70" s="29">
        <f t="shared" ca="1" si="35"/>
        <v>7200</v>
      </c>
      <c r="H70" s="29">
        <f t="shared" ca="1" si="35"/>
        <v>7700</v>
      </c>
      <c r="I70" s="29">
        <f t="shared" ca="1" si="35"/>
        <v>15100</v>
      </c>
      <c r="J70" s="29">
        <f t="shared" ca="1" si="35"/>
        <v>14700</v>
      </c>
      <c r="K70" s="29">
        <f t="shared" ca="1" si="35"/>
        <v>9300</v>
      </c>
      <c r="L70" s="29">
        <f t="shared" ca="1" si="35"/>
        <v>11000</v>
      </c>
      <c r="M70" s="29">
        <f t="shared" ca="1" si="35"/>
        <v>12700</v>
      </c>
    </row>
    <row r="71" spans="2:13" ht="12.75" customHeight="1" x14ac:dyDescent="0.25">
      <c r="B71" s="148"/>
      <c r="C71" s="7" t="s">
        <v>177</v>
      </c>
      <c r="D71" s="29">
        <f t="shared" ref="D71:M71" ca="1" si="36">ROUNDUP((1+RAND())*D$61,-2)</f>
        <v>13500</v>
      </c>
      <c r="E71" s="29">
        <f t="shared" ca="1" si="36"/>
        <v>11700</v>
      </c>
      <c r="F71" s="29">
        <f t="shared" ca="1" si="36"/>
        <v>11700</v>
      </c>
      <c r="G71" s="29">
        <f t="shared" ca="1" si="36"/>
        <v>8800</v>
      </c>
      <c r="H71" s="29">
        <f t="shared" ca="1" si="36"/>
        <v>8900</v>
      </c>
      <c r="I71" s="29">
        <f t="shared" ca="1" si="36"/>
        <v>12700</v>
      </c>
      <c r="J71" s="29">
        <f t="shared" ca="1" si="36"/>
        <v>17100</v>
      </c>
      <c r="K71" s="29">
        <f t="shared" ca="1" si="36"/>
        <v>11400</v>
      </c>
      <c r="L71" s="29">
        <f t="shared" ca="1" si="36"/>
        <v>10000</v>
      </c>
      <c r="M71" s="29">
        <f t="shared" ca="1" si="36"/>
        <v>11900</v>
      </c>
    </row>
    <row r="72" spans="2:13" ht="12.75" customHeight="1" x14ac:dyDescent="0.25">
      <c r="B72" s="148"/>
      <c r="C72" s="7" t="s">
        <v>178</v>
      </c>
      <c r="D72" s="29">
        <f t="shared" ref="D72:M72" ca="1" si="37">ROUNDUP((1+RAND())*D$61,-2)</f>
        <v>18700</v>
      </c>
      <c r="E72" s="29">
        <f t="shared" ca="1" si="37"/>
        <v>6600</v>
      </c>
      <c r="F72" s="29">
        <f t="shared" ca="1" si="37"/>
        <v>11200</v>
      </c>
      <c r="G72" s="29">
        <f t="shared" ca="1" si="37"/>
        <v>12000</v>
      </c>
      <c r="H72" s="29">
        <f t="shared" ca="1" si="37"/>
        <v>11200</v>
      </c>
      <c r="I72" s="29">
        <f t="shared" ca="1" si="37"/>
        <v>19800</v>
      </c>
      <c r="J72" s="29">
        <f t="shared" ca="1" si="37"/>
        <v>14400</v>
      </c>
      <c r="K72" s="29">
        <f t="shared" ca="1" si="37"/>
        <v>11100</v>
      </c>
      <c r="L72" s="29">
        <f t="shared" ca="1" si="37"/>
        <v>8900</v>
      </c>
      <c r="M72" s="29">
        <f t="shared" ca="1" si="37"/>
        <v>14500</v>
      </c>
    </row>
    <row r="73" spans="2:13" ht="12.75" customHeight="1" x14ac:dyDescent="0.25">
      <c r="B73" s="148"/>
      <c r="C73" s="7" t="s">
        <v>179</v>
      </c>
      <c r="D73" s="29">
        <f t="shared" ref="D73:M73" ca="1" si="38">ROUNDUP((1+RAND())*D$61,-2)</f>
        <v>13600</v>
      </c>
      <c r="E73" s="29">
        <f t="shared" ca="1" si="38"/>
        <v>11100</v>
      </c>
      <c r="F73" s="29">
        <f t="shared" ca="1" si="38"/>
        <v>17100</v>
      </c>
      <c r="G73" s="29">
        <f t="shared" ca="1" si="38"/>
        <v>6800</v>
      </c>
      <c r="H73" s="29">
        <f t="shared" ca="1" si="38"/>
        <v>9100</v>
      </c>
      <c r="I73" s="29">
        <f t="shared" ca="1" si="38"/>
        <v>15400</v>
      </c>
      <c r="J73" s="29">
        <f t="shared" ca="1" si="38"/>
        <v>13300</v>
      </c>
      <c r="K73" s="29">
        <f t="shared" ca="1" si="38"/>
        <v>9000</v>
      </c>
      <c r="L73" s="29">
        <f t="shared" ca="1" si="38"/>
        <v>11300</v>
      </c>
      <c r="M73" s="29">
        <f t="shared" ca="1" si="38"/>
        <v>20200</v>
      </c>
    </row>
    <row r="74" spans="2:13" ht="12.75" customHeight="1" x14ac:dyDescent="0.25">
      <c r="B74" s="148"/>
      <c r="C74" s="7" t="s">
        <v>180</v>
      </c>
      <c r="D74" s="29">
        <f t="shared" ref="D74:M74" ca="1" si="39">ROUNDUP((1+RAND())*D$61,-2)</f>
        <v>12000</v>
      </c>
      <c r="E74" s="29">
        <f t="shared" ca="1" si="39"/>
        <v>10200</v>
      </c>
      <c r="F74" s="29">
        <f t="shared" ca="1" si="39"/>
        <v>19100</v>
      </c>
      <c r="G74" s="29">
        <f t="shared" ca="1" si="39"/>
        <v>6800</v>
      </c>
      <c r="H74" s="29">
        <f t="shared" ca="1" si="39"/>
        <v>8900</v>
      </c>
      <c r="I74" s="29">
        <f t="shared" ca="1" si="39"/>
        <v>16100</v>
      </c>
      <c r="J74" s="29">
        <f t="shared" ca="1" si="39"/>
        <v>12600</v>
      </c>
      <c r="K74" s="29">
        <f t="shared" ca="1" si="39"/>
        <v>11000</v>
      </c>
      <c r="L74" s="29">
        <f t="shared" ca="1" si="39"/>
        <v>9200</v>
      </c>
      <c r="M74" s="29">
        <f t="shared" ca="1" si="39"/>
        <v>11200</v>
      </c>
    </row>
    <row r="75" spans="2:13" ht="12.75" customHeight="1" x14ac:dyDescent="0.25"/>
    <row r="76" spans="2:13" ht="12.75" customHeight="1" x14ac:dyDescent="0.25"/>
    <row r="77" spans="2:13" ht="12.75" customHeight="1" x14ac:dyDescent="0.25"/>
    <row r="78" spans="2:13" ht="12.75" customHeight="1" x14ac:dyDescent="0.25"/>
    <row r="79" spans="2:13" ht="12.75" customHeight="1" x14ac:dyDescent="0.25"/>
    <row r="80" spans="2:13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">
    <mergeCell ref="B6:B19"/>
    <mergeCell ref="B25:B38"/>
    <mergeCell ref="B43:B56"/>
    <mergeCell ref="B61:B7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50"/>
  <sheetViews>
    <sheetView workbookViewId="0">
      <selection activeCell="C13" sqref="C13"/>
    </sheetView>
  </sheetViews>
  <sheetFormatPr defaultRowHeight="15" x14ac:dyDescent="0.25"/>
  <cols>
    <col min="1" max="1" width="13.140625" customWidth="1"/>
    <col min="2" max="2" width="19.42578125" customWidth="1"/>
    <col min="3" max="3" width="9.85546875" bestFit="1" customWidth="1"/>
    <col min="4" max="12" width="8.85546875" customWidth="1"/>
    <col min="13" max="16" width="7.85546875" customWidth="1"/>
    <col min="17" max="18" width="8.85546875" customWidth="1"/>
    <col min="19" max="21" width="7.85546875" customWidth="1"/>
    <col min="22" max="23" width="8.85546875" customWidth="1"/>
    <col min="24" max="24" width="7.140625" customWidth="1"/>
    <col min="25" max="25" width="8.85546875" customWidth="1"/>
    <col min="26" max="27" width="7.140625" customWidth="1"/>
    <col min="28" max="28" width="7.85546875" customWidth="1"/>
    <col min="29" max="29" width="7.140625" customWidth="1"/>
    <col min="30" max="32" width="7.85546875" customWidth="1"/>
    <col min="33" max="33" width="7.140625" customWidth="1"/>
    <col min="34" max="34" width="6.140625" customWidth="1"/>
    <col min="35" max="37" width="7.140625" customWidth="1"/>
    <col min="38" max="38" width="7.85546875" customWidth="1"/>
    <col min="39" max="39" width="7.140625" customWidth="1"/>
    <col min="40" max="41" width="7.85546875" customWidth="1"/>
    <col min="42" max="48" width="7.140625" customWidth="1"/>
    <col min="49" max="49" width="6.85546875" customWidth="1"/>
    <col min="50" max="50" width="11.28515625" bestFit="1" customWidth="1"/>
  </cols>
  <sheetData>
    <row r="1" spans="1:2" x14ac:dyDescent="0.25">
      <c r="A1" s="135" t="s">
        <v>210</v>
      </c>
      <c r="B1" t="s">
        <v>307</v>
      </c>
    </row>
    <row r="2" spans="1:2" x14ac:dyDescent="0.25">
      <c r="A2" s="136">
        <v>6.2334370611785653E-3</v>
      </c>
      <c r="B2" s="137">
        <v>-76.186569700422268</v>
      </c>
    </row>
    <row r="3" spans="1:2" x14ac:dyDescent="0.25">
      <c r="A3" s="136">
        <v>1.7685573045075509E-2</v>
      </c>
      <c r="B3" s="137">
        <v>-11.084481491860066</v>
      </c>
    </row>
    <row r="4" spans="1:2" x14ac:dyDescent="0.25">
      <c r="A4" s="136">
        <v>3.1770432069402763E-2</v>
      </c>
      <c r="B4" s="137">
        <v>-2.6681823392304458</v>
      </c>
    </row>
    <row r="5" spans="1:2" x14ac:dyDescent="0.25">
      <c r="A5" s="136">
        <v>3.8458789846003774E-2</v>
      </c>
      <c r="B5" s="137">
        <v>-2.8031538742530171</v>
      </c>
    </row>
    <row r="6" spans="1:2" x14ac:dyDescent="0.25">
      <c r="A6" s="136">
        <v>5.1758238317643791E-2</v>
      </c>
      <c r="B6" s="137">
        <v>-2.2661537003357917</v>
      </c>
    </row>
    <row r="7" spans="1:2" x14ac:dyDescent="0.25">
      <c r="A7" s="136">
        <v>5.5519116919592097E-2</v>
      </c>
      <c r="B7" s="137">
        <v>-1.7545556561257505</v>
      </c>
    </row>
    <row r="8" spans="1:2" x14ac:dyDescent="0.25">
      <c r="A8" s="136">
        <v>5.6415991758001244E-2</v>
      </c>
      <c r="B8" s="137">
        <v>-1.1456909108640301</v>
      </c>
    </row>
    <row r="9" spans="1:2" x14ac:dyDescent="0.25">
      <c r="A9" s="136">
        <v>5.7318554278333898E-2</v>
      </c>
      <c r="B9" s="137">
        <v>-1.6680795817533152</v>
      </c>
    </row>
    <row r="10" spans="1:2" x14ac:dyDescent="0.25">
      <c r="A10" s="136">
        <v>6.4613689776154934E-2</v>
      </c>
      <c r="B10" s="137">
        <v>-1.6421322692152889</v>
      </c>
    </row>
    <row r="11" spans="1:2" x14ac:dyDescent="0.25">
      <c r="A11" s="136">
        <v>6.7011387775109899E-2</v>
      </c>
      <c r="B11" s="137">
        <v>-2.8230887892163565</v>
      </c>
    </row>
    <row r="12" spans="1:2" x14ac:dyDescent="0.25">
      <c r="A12" s="136">
        <v>7.4183589572151848E-2</v>
      </c>
      <c r="B12" s="137">
        <v>-1.9526665395892602</v>
      </c>
    </row>
    <row r="13" spans="1:2" x14ac:dyDescent="0.25">
      <c r="A13" s="136">
        <v>7.4932923076923078E-2</v>
      </c>
      <c r="B13" s="137">
        <v>-0.57679900612434964</v>
      </c>
    </row>
    <row r="14" spans="1:2" x14ac:dyDescent="0.25">
      <c r="A14" s="136">
        <v>7.5005460847507505E-2</v>
      </c>
      <c r="B14" s="137">
        <v>-0.55374108808099987</v>
      </c>
    </row>
    <row r="15" spans="1:2" x14ac:dyDescent="0.25">
      <c r="A15" s="136">
        <v>8.9245560019160688E-2</v>
      </c>
      <c r="B15" s="137">
        <v>-0.11740757351211208</v>
      </c>
    </row>
    <row r="16" spans="1:2" x14ac:dyDescent="0.25">
      <c r="A16" s="136">
        <v>0.10277208443808308</v>
      </c>
      <c r="B16" s="137">
        <v>-0.76122914235875105</v>
      </c>
    </row>
    <row r="17" spans="1:2" x14ac:dyDescent="0.25">
      <c r="A17" s="136">
        <v>0.115581655360411</v>
      </c>
      <c r="B17" s="137">
        <v>-1.1374205895522556</v>
      </c>
    </row>
    <row r="18" spans="1:2" x14ac:dyDescent="0.25">
      <c r="A18" s="136">
        <v>0.11876216654496234</v>
      </c>
      <c r="B18" s="137">
        <v>-1.8697552742022869</v>
      </c>
    </row>
    <row r="19" spans="1:2" x14ac:dyDescent="0.25">
      <c r="A19" s="136">
        <v>0.12456441575464913</v>
      </c>
      <c r="B19" s="137">
        <v>-0.48673380089246293</v>
      </c>
    </row>
    <row r="20" spans="1:2" x14ac:dyDescent="0.25">
      <c r="A20" s="136">
        <v>0.12900062582925614</v>
      </c>
      <c r="B20" s="137">
        <v>-0.34424129935486247</v>
      </c>
    </row>
    <row r="21" spans="1:2" x14ac:dyDescent="0.25">
      <c r="A21" s="136">
        <v>0.14094980479365077</v>
      </c>
      <c r="B21" s="137">
        <v>-0.66829548961852647</v>
      </c>
    </row>
    <row r="22" spans="1:2" x14ac:dyDescent="0.25">
      <c r="A22" s="136">
        <v>0.14770660667993785</v>
      </c>
      <c r="B22" s="137">
        <v>-2.6760324099908082</v>
      </c>
    </row>
    <row r="23" spans="1:2" x14ac:dyDescent="0.25">
      <c r="A23" s="136">
        <v>0.14814900827359642</v>
      </c>
      <c r="B23" s="137">
        <v>-1.0900973110301606</v>
      </c>
    </row>
    <row r="24" spans="1:2" x14ac:dyDescent="0.25">
      <c r="A24" s="136">
        <v>0.15776567008290027</v>
      </c>
      <c r="B24" s="137">
        <v>0.26131074068649057</v>
      </c>
    </row>
    <row r="25" spans="1:2" x14ac:dyDescent="0.25">
      <c r="A25" s="136">
        <v>0.17622069170455551</v>
      </c>
      <c r="B25" s="137">
        <v>-1.4647143920320487</v>
      </c>
    </row>
    <row r="26" spans="1:2" x14ac:dyDescent="0.25">
      <c r="A26" s="136">
        <v>0.17765633262759339</v>
      </c>
      <c r="B26" s="137">
        <v>0.36468971253938126</v>
      </c>
    </row>
    <row r="27" spans="1:2" x14ac:dyDescent="0.25">
      <c r="A27" s="136">
        <v>0.18432337679576274</v>
      </c>
      <c r="B27" s="137">
        <v>0.38766884879515406</v>
      </c>
    </row>
    <row r="28" spans="1:2" x14ac:dyDescent="0.25">
      <c r="A28" s="136">
        <v>0.1931324221908351</v>
      </c>
      <c r="B28" s="137">
        <v>-0.38363119704072701</v>
      </c>
    </row>
    <row r="29" spans="1:2" x14ac:dyDescent="0.25">
      <c r="A29" s="136">
        <v>0.19405378806814819</v>
      </c>
      <c r="B29" s="137">
        <v>0.48610554910051695</v>
      </c>
    </row>
    <row r="30" spans="1:2" x14ac:dyDescent="0.25">
      <c r="A30" s="136">
        <v>0.20120123076923077</v>
      </c>
      <c r="B30" s="137">
        <v>-0.41830250462221918</v>
      </c>
    </row>
    <row r="31" spans="1:2" x14ac:dyDescent="0.25">
      <c r="A31" s="136">
        <v>0.21624930859474484</v>
      </c>
      <c r="B31" s="137">
        <v>-0.69023598969080691</v>
      </c>
    </row>
    <row r="32" spans="1:2" x14ac:dyDescent="0.25">
      <c r="A32" s="136">
        <v>0.23468093238919682</v>
      </c>
      <c r="B32" s="137">
        <v>-0.8507412195625591</v>
      </c>
    </row>
    <row r="33" spans="1:2" x14ac:dyDescent="0.25">
      <c r="A33" s="136">
        <v>0.25597200815343735</v>
      </c>
      <c r="B33" s="137">
        <v>0.32254459889850406</v>
      </c>
    </row>
    <row r="34" spans="1:2" x14ac:dyDescent="0.25">
      <c r="A34" s="136">
        <v>0.27868825459293101</v>
      </c>
      <c r="B34" s="137">
        <v>4.2940491841903704E-2</v>
      </c>
    </row>
    <row r="35" spans="1:2" x14ac:dyDescent="0.25">
      <c r="A35" s="136">
        <v>0.29084602181699831</v>
      </c>
      <c r="B35" s="137">
        <v>0.36466174937661777</v>
      </c>
    </row>
    <row r="36" spans="1:2" x14ac:dyDescent="0.25">
      <c r="A36" s="136">
        <v>0.2946935037135906</v>
      </c>
      <c r="B36" s="137">
        <v>0.18105864918147815</v>
      </c>
    </row>
    <row r="37" spans="1:2" x14ac:dyDescent="0.25">
      <c r="A37" s="136">
        <v>0.29723152467656277</v>
      </c>
      <c r="B37" s="137">
        <v>0.26631879100547212</v>
      </c>
    </row>
    <row r="38" spans="1:2" x14ac:dyDescent="0.25">
      <c r="A38" s="136">
        <v>0.32088533333333336</v>
      </c>
      <c r="B38" s="137">
        <v>-0.47685347259608868</v>
      </c>
    </row>
    <row r="39" spans="1:2" x14ac:dyDescent="0.25">
      <c r="A39" s="136">
        <v>0.33411106473358937</v>
      </c>
      <c r="B39" s="137">
        <v>0.32383491735385822</v>
      </c>
    </row>
    <row r="40" spans="1:2" x14ac:dyDescent="0.25">
      <c r="A40" s="136">
        <v>0.34943708814808438</v>
      </c>
      <c r="B40" s="137">
        <v>-0.19464518773465525</v>
      </c>
    </row>
    <row r="41" spans="1:2" x14ac:dyDescent="0.25">
      <c r="A41" s="136">
        <v>0.36429154348027576</v>
      </c>
      <c r="B41" s="137">
        <v>-0.19226944130691073</v>
      </c>
    </row>
    <row r="42" spans="1:2" x14ac:dyDescent="0.25">
      <c r="A42" s="136">
        <v>0.44595811412548153</v>
      </c>
      <c r="B42" s="137">
        <v>0.15389650076160605</v>
      </c>
    </row>
    <row r="43" spans="1:2" x14ac:dyDescent="0.25">
      <c r="A43" s="136">
        <v>0.58261759999999996</v>
      </c>
      <c r="B43" s="137">
        <v>0.73636259610676302</v>
      </c>
    </row>
    <row r="44" spans="1:2" x14ac:dyDescent="0.25">
      <c r="A44" s="136">
        <v>0.66767363999880003</v>
      </c>
      <c r="B44" s="137">
        <v>0.7767012993952056</v>
      </c>
    </row>
    <row r="45" spans="1:2" x14ac:dyDescent="0.25">
      <c r="A45" s="136">
        <v>0.68985012344689445</v>
      </c>
      <c r="B45" s="137">
        <v>0.62448335198766236</v>
      </c>
    </row>
    <row r="46" spans="1:2" x14ac:dyDescent="0.25">
      <c r="A46" s="136">
        <v>0.69589078823897543</v>
      </c>
      <c r="B46" s="137">
        <v>0.53596478103947953</v>
      </c>
    </row>
    <row r="47" spans="1:2" x14ac:dyDescent="0.25">
      <c r="A47" s="136">
        <v>0.72715106575096167</v>
      </c>
      <c r="B47" s="137">
        <v>0.54071096638950433</v>
      </c>
    </row>
    <row r="48" spans="1:2" x14ac:dyDescent="0.25">
      <c r="A48" s="136">
        <v>0.8260234561969072</v>
      </c>
      <c r="B48" s="137">
        <v>0.62513780916951556</v>
      </c>
    </row>
    <row r="49" spans="1:2" x14ac:dyDescent="0.25">
      <c r="A49" s="136">
        <v>1.0540911370751489</v>
      </c>
      <c r="B49" s="137">
        <v>-6.8437715607900476E-2</v>
      </c>
    </row>
    <row r="50" spans="1:2" x14ac:dyDescent="0.25">
      <c r="A50" s="136" t="s">
        <v>211</v>
      </c>
      <c r="B50" s="137">
        <v>-114.02194760414794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T1000"/>
  <sheetViews>
    <sheetView topLeftCell="G1" workbookViewId="0">
      <pane ySplit="1" topLeftCell="A37" activePane="bottomLeft" state="frozen"/>
      <selection activeCell="G1" sqref="G1"/>
      <selection pane="bottomLeft" activeCell="R15" sqref="R15"/>
    </sheetView>
  </sheetViews>
  <sheetFormatPr defaultColWidth="14.42578125" defaultRowHeight="15" customHeight="1" x14ac:dyDescent="0.25"/>
  <cols>
    <col min="1" max="1" width="8.28515625" customWidth="1"/>
    <col min="2" max="2" width="18.42578125" customWidth="1"/>
    <col min="3" max="3" width="11.140625" customWidth="1"/>
    <col min="4" max="4" width="32.5703125" customWidth="1"/>
    <col min="5" max="5" width="10.85546875" customWidth="1"/>
    <col min="6" max="6" width="15.5703125" customWidth="1"/>
    <col min="7" max="7" width="20.5703125" customWidth="1"/>
    <col min="8" max="8" width="18.140625" customWidth="1"/>
    <col min="9" max="9" width="10.5703125" customWidth="1"/>
    <col min="10" max="10" width="18" customWidth="1"/>
    <col min="11" max="11" width="14.140625" customWidth="1"/>
    <col min="12" max="12" width="14.42578125" customWidth="1"/>
    <col min="13" max="14" width="13.7109375" customWidth="1"/>
    <col min="15" max="15" width="14.85546875" customWidth="1"/>
    <col min="16" max="16" width="13.85546875" customWidth="1"/>
    <col min="17" max="18" width="13.7109375" customWidth="1"/>
    <col min="19" max="19" width="8.7109375" customWidth="1"/>
    <col min="20" max="20" width="9.7109375" bestFit="1" customWidth="1"/>
    <col min="21" max="26" width="8.7109375" customWidth="1"/>
  </cols>
  <sheetData>
    <row r="1" spans="1:20" ht="12.75" customHeight="1" x14ac:dyDescent="0.25">
      <c r="A1" s="65" t="s">
        <v>65</v>
      </c>
      <c r="B1" s="65" t="s">
        <v>66</v>
      </c>
      <c r="C1" s="64" t="s">
        <v>67</v>
      </c>
      <c r="D1" s="64" t="s">
        <v>0</v>
      </c>
      <c r="E1" s="64" t="s">
        <v>68</v>
      </c>
      <c r="F1" s="64" t="s">
        <v>69</v>
      </c>
      <c r="G1" s="64" t="s">
        <v>70</v>
      </c>
      <c r="H1" s="64" t="s">
        <v>71</v>
      </c>
      <c r="I1" s="64" t="s">
        <v>72</v>
      </c>
      <c r="J1" s="64" t="s">
        <v>73</v>
      </c>
      <c r="K1" s="64" t="s">
        <v>74</v>
      </c>
      <c r="L1" s="64" t="s">
        <v>75</v>
      </c>
      <c r="M1" s="64" t="s">
        <v>76</v>
      </c>
      <c r="N1" s="64" t="s">
        <v>77</v>
      </c>
      <c r="O1" s="64" t="s">
        <v>78</v>
      </c>
      <c r="P1" s="64" t="s">
        <v>79</v>
      </c>
      <c r="Q1" s="64" t="s">
        <v>80</v>
      </c>
      <c r="R1" s="66" t="s">
        <v>1</v>
      </c>
    </row>
    <row r="2" spans="1:20" ht="12.75" customHeight="1" x14ac:dyDescent="0.25">
      <c r="A2" s="89">
        <v>1</v>
      </c>
      <c r="B2" s="90" t="s">
        <v>81</v>
      </c>
      <c r="C2" s="90" t="str">
        <f>partner_vehicles_form_AMD!B2</f>
        <v>VAPT1</v>
      </c>
      <c r="D2" s="90" t="str">
        <f>partner_vehicles_form_AMD!C2</f>
        <v>AGARWAL SUGANDHA AMIT</v>
      </c>
      <c r="E2" s="90" t="s">
        <v>127</v>
      </c>
      <c r="F2" s="90" t="str">
        <f>VLOOKUP(E2,'Vehicle mapping'!$A$2:$B$12,2,FALSE)</f>
        <v>Eicher 14</v>
      </c>
      <c r="G2" s="90" t="s">
        <v>77</v>
      </c>
      <c r="H2" s="90">
        <v>2018</v>
      </c>
      <c r="I2" s="91">
        <f>INDEX(AMD_OU_Data!$D$25:$M$38,MATCH(cost_base_improved!C2,AMD_OU_Data!$C$25:$C$38,0),MATCH(cost_base_improved!E2,AMD_OU_Data!$D$24:$M$24,0))</f>
        <v>9</v>
      </c>
      <c r="J2" s="91">
        <f>GETPIVOTDATA("Vehicle Capacity",'Pivot Table-1'!$G$3)</f>
        <v>2.5078186848300463</v>
      </c>
      <c r="K2" s="90" t="str">
        <f>G2</f>
        <v>EMI</v>
      </c>
      <c r="L2" s="90">
        <f>INDEX(AMD_OU_Data!$D$43:$D$56,MATCH(cost_base_improved!C2,AMD_OU_Data!$C$43:$C$56,0))</f>
        <v>1600</v>
      </c>
      <c r="M2" s="92">
        <f>IF(G2="Market",0,(L2/I2*(INDEX(AMD_OU_Data!$E$43:$E$56,MATCH(cost_base_improved!C2,AMD_OU_Data!$C$43:$C$56,0)))))</f>
        <v>16408.888888888887</v>
      </c>
      <c r="N2" s="92">
        <f>IF(AND(K2="EMI",H2&gt;=2016),VLOOKUP(F2,AMD_EMI_Data!$A$7:$E$26,5,FALSE),0)</f>
        <v>11420.447400423482</v>
      </c>
      <c r="O2" s="92">
        <f>INDEX(AMD_OU_Data!$D$61:$M$74,MATCH(cost_base_improved!C2,AMD_OU_Data!$C$61:$C$74,0),MATCH(cost_base_improved!E2,AMD_OU_Data!$D$60:$M$60,0))</f>
        <v>9580</v>
      </c>
      <c r="P2" s="92">
        <f>IF(AND(K2="Market", J2&gt;3), 80000, IF(AND(K2="Market", J2&lt;=3), 40000, (M2+N2+O2)))</f>
        <v>37409.33628931237</v>
      </c>
      <c r="Q2" s="92">
        <f>IF(AND(K2="Market", J2&gt;3), 8000*2, IF(AND(K2="Market", J2&lt;=3), 8000, IF(J2&gt;3, 20000+(8000*2), IF(J2&lt;=3, 20000+8000, 0))))</f>
        <v>28000</v>
      </c>
      <c r="R2" s="93">
        <f>P2+Q2</f>
        <v>65409.33628931237</v>
      </c>
    </row>
    <row r="3" spans="1:20" ht="12.75" customHeight="1" x14ac:dyDescent="0.25">
      <c r="A3" s="94">
        <v>2</v>
      </c>
      <c r="B3" s="95" t="s">
        <v>81</v>
      </c>
      <c r="C3" s="95" t="str">
        <f>partner_vehicles_form_AMD!B2</f>
        <v>VAPT1</v>
      </c>
      <c r="D3" s="95" t="str">
        <f>partner_vehicles_form_AMD!C2</f>
        <v>AGARWAL SUGANDHA AMIT</v>
      </c>
      <c r="E3" s="95" t="s">
        <v>133</v>
      </c>
      <c r="F3" s="95" t="str">
        <f>VLOOKUP(E3,'Vehicle mapping'!$A$2:$B$12,2,FALSE)</f>
        <v>Tata Ace</v>
      </c>
      <c r="G3" s="95" t="s">
        <v>77</v>
      </c>
      <c r="H3" s="95">
        <v>2017</v>
      </c>
      <c r="I3" s="96">
        <f>INDEX(AMD_OU_Data!$D$25:$M$38,MATCH(cost_base_improved!C3,AMD_OU_Data!$C$25:$C$38,0),MATCH(cost_base_improved!E3,AMD_OU_Data!$D$24:$M$24,0))</f>
        <v>14</v>
      </c>
      <c r="J3" s="96">
        <f>GETPIVOTDATA("Vehicle Capacity",'Pivot Table-1'!$K$20)</f>
        <v>0.87167911083665661</v>
      </c>
      <c r="K3" s="95" t="str">
        <f t="shared" ref="K3:K64" si="0">G3</f>
        <v>EMI</v>
      </c>
      <c r="L3" s="95">
        <f>INDEX(AMD_OU_Data!$D$43:$D$56,MATCH(cost_base_improved!C3,AMD_OU_Data!$C$43:$C$56,0))</f>
        <v>1600</v>
      </c>
      <c r="M3" s="97">
        <f>IF(G3="Market",0,(L3/I3*(INDEX(AMD_OU_Data!$E$43:$E$56,MATCH(cost_base_improved!C3,AMD_OU_Data!$C$43:$C$56,0)))))</f>
        <v>10548.571428571429</v>
      </c>
      <c r="N3" s="97">
        <f>IF(AND(K3="EMI",H3&gt;=2016),VLOOKUP(F3,AMD_EMI_Data!$A$7:$E$26,5,FALSE),0)</f>
        <v>6090.9052802258566</v>
      </c>
      <c r="O3" s="97">
        <f>INDEX(AMD_OU_Data!$D$61:$M$74,MATCH(cost_base_improved!C3,AMD_OU_Data!$C$61:$C$74,0),MATCH(cost_base_improved!E3,AMD_OU_Data!$D$60:$M$60,0))</f>
        <v>5880</v>
      </c>
      <c r="P3" s="97">
        <f t="shared" ref="P3:P64" si="1">IF(AND(K3="Market", J3&gt;3), 80000, IF(AND(K3="Market", J3&lt;=3), 40000, (M3+N3+O3)))</f>
        <v>22519.476708797287</v>
      </c>
      <c r="Q3" s="97">
        <f t="shared" ref="Q3:Q64" si="2">IF(AND(K3="Market", J3&gt;3), 8000*2, IF(AND(K3="Market", J3&lt;=3), 8000, IF(J3&gt;3, 20000+(8000*2), IF(J3&lt;=3, 20000+8000, 0))))</f>
        <v>28000</v>
      </c>
      <c r="R3" s="98">
        <f t="shared" ref="R3:R64" si="3">P3+Q3</f>
        <v>50519.476708797287</v>
      </c>
    </row>
    <row r="4" spans="1:20" ht="12.75" customHeight="1" x14ac:dyDescent="0.25">
      <c r="A4" s="89">
        <v>3</v>
      </c>
      <c r="B4" s="90" t="s">
        <v>81</v>
      </c>
      <c r="C4" s="90" t="str">
        <f>partner_vehicles_form_AMD!B3</f>
        <v>VAPT1</v>
      </c>
      <c r="D4" s="90" t="str">
        <f>partner_vehicles_form_AMD!C3</f>
        <v>Amit Ramesh Agarwal</v>
      </c>
      <c r="E4" s="90" t="s">
        <v>127</v>
      </c>
      <c r="F4" s="90" t="str">
        <f>VLOOKUP(E4,'Vehicle mapping'!$A$2:$B$12,2,FALSE)</f>
        <v>Eicher 14</v>
      </c>
      <c r="G4" s="90" t="s">
        <v>128</v>
      </c>
      <c r="H4" s="99" t="s">
        <v>129</v>
      </c>
      <c r="I4" s="91">
        <f>INDEX(AMD_OU_Data!$D$25:$M$38,MATCH(cost_base_improved!C4,AMD_OU_Data!$C$25:$C$38,0),MATCH(cost_base_improved!E4,AMD_OU_Data!$D$24:$M$24,0))</f>
        <v>9</v>
      </c>
      <c r="J4" s="91">
        <f>GETPIVOTDATA("Vehicle Capacity",'Pivot Table-1'!$G$3)</f>
        <v>2.5078186848300463</v>
      </c>
      <c r="K4" s="90" t="str">
        <f t="shared" si="0"/>
        <v>Market</v>
      </c>
      <c r="L4" s="90">
        <f>INDEX(AMD_OU_Data!$D$43:$D$56,MATCH(cost_base_improved!C4,AMD_OU_Data!$C$43:$C$56,0))</f>
        <v>1600</v>
      </c>
      <c r="M4" s="92">
        <f>IF(G4="Market",0,(L4/I4*(INDEX(AMD_OU_Data!$E$43:$E$56,MATCH(cost_base_improved!C4,AMD_OU_Data!$C$43:$C$56,0)))))</f>
        <v>0</v>
      </c>
      <c r="N4" s="92">
        <f>IF(AND(K4="EMI",H4&gt;=2016),VLOOKUP(F4,AMD_EMI_Data!$A$7:$E$26,5,FALSE),0)</f>
        <v>0</v>
      </c>
      <c r="O4" s="92">
        <f>INDEX(AMD_OU_Data!$D$61:$M$74,MATCH(cost_base_improved!C4,AMD_OU_Data!$C$61:$C$74,0),MATCH(cost_base_improved!E4,AMD_OU_Data!$D$60:$M$60,0))</f>
        <v>9580</v>
      </c>
      <c r="P4" s="92">
        <f t="shared" si="1"/>
        <v>40000</v>
      </c>
      <c r="Q4" s="92">
        <f t="shared" si="2"/>
        <v>8000</v>
      </c>
      <c r="R4" s="93">
        <f t="shared" si="3"/>
        <v>48000</v>
      </c>
      <c r="T4" s="81"/>
    </row>
    <row r="5" spans="1:20" ht="12.75" customHeight="1" x14ac:dyDescent="0.25">
      <c r="A5" s="94">
        <v>4</v>
      </c>
      <c r="B5" s="95" t="s">
        <v>82</v>
      </c>
      <c r="C5" s="95" t="str">
        <f>partner_vehicles_form_AMD!B4</f>
        <v>AMDT1</v>
      </c>
      <c r="D5" s="95" t="str">
        <f>partner_vehicles_form_AMD!C4</f>
        <v>ASHISH SAXENA</v>
      </c>
      <c r="E5" s="95" t="s">
        <v>130</v>
      </c>
      <c r="F5" s="95" t="str">
        <f>VLOOKUP(E5,'Vehicle mapping'!$A$2:$B$12,2,FALSE)</f>
        <v>Eicher 17</v>
      </c>
      <c r="G5" s="95" t="s">
        <v>77</v>
      </c>
      <c r="H5" s="95">
        <v>2014</v>
      </c>
      <c r="I5" s="96">
        <f>INDEX(AMD_OU_Data!$D$25:$M$38,MATCH(cost_base_improved!C5,AMD_OU_Data!$C$25:$C$38,0),MATCH(cost_base_improved!E5,AMD_OU_Data!$D$24:$M$24,0))</f>
        <v>6.5525461364709248</v>
      </c>
      <c r="J5" s="96">
        <f>GETPIVOTDATA("Vehicle Capacity",'Pivot Table-1'!$J$3)</f>
        <v>5.8259590265690795</v>
      </c>
      <c r="K5" s="95" t="str">
        <f t="shared" si="0"/>
        <v>EMI</v>
      </c>
      <c r="L5" s="95">
        <f>INDEX(AMD_OU_Data!$D$43:$D$56,MATCH(cost_base_improved!C5,AMD_OU_Data!$C$43:$C$56,0))</f>
        <v>2900</v>
      </c>
      <c r="M5" s="97">
        <f>IF(G5="Market",0,(L5/I5*(INDEX(AMD_OU_Data!$E$43:$E$56,MATCH(cost_base_improved!C5,AMD_OU_Data!$C$43:$C$56,0)))))</f>
        <v>44474.742564298867</v>
      </c>
      <c r="N5" s="97">
        <f>IF(AND(K5="EMI",H5&gt;=2016),VLOOKUP(F5,AMD_EMI_Data!$A$7:$E$26,5,FALSE),0)</f>
        <v>0</v>
      </c>
      <c r="O5" s="97">
        <f>INDEX(AMD_OU_Data!$D$61:$M$74,MATCH(cost_base_improved!C5,AMD_OU_Data!$C$61:$C$74,0),MATCH(cost_base_improved!E5,AMD_OU_Data!$D$60:$M$60,0))</f>
        <v>12500</v>
      </c>
      <c r="P5" s="97">
        <f t="shared" si="1"/>
        <v>56974.742564298867</v>
      </c>
      <c r="Q5" s="97">
        <f t="shared" si="2"/>
        <v>36000</v>
      </c>
      <c r="R5" s="98">
        <f t="shared" si="3"/>
        <v>92974.742564298867</v>
      </c>
    </row>
    <row r="6" spans="1:20" ht="12.75" customHeight="1" x14ac:dyDescent="0.25">
      <c r="A6" s="89">
        <v>5</v>
      </c>
      <c r="B6" s="90" t="s">
        <v>83</v>
      </c>
      <c r="C6" s="90" t="str">
        <f>partner_vehicles_form_AMD!B5</f>
        <v>GNCB1</v>
      </c>
      <c r="D6" s="90" t="str">
        <f>partner_vehicles_form_AMD!C5</f>
        <v>Ashok Kumar_GNCB1</v>
      </c>
      <c r="E6" s="90" t="s">
        <v>131</v>
      </c>
      <c r="F6" s="90" t="str">
        <f>VLOOKUP(E6,'Vehicle mapping'!$A$2:$B$12,2,FALSE)</f>
        <v>Mahindra</v>
      </c>
      <c r="G6" s="90" t="s">
        <v>77</v>
      </c>
      <c r="H6" s="90">
        <v>2019</v>
      </c>
      <c r="I6" s="91">
        <f>INDEX(AMD_OU_Data!$D$25:$M$38,MATCH(cost_base_improved!C6,AMD_OU_Data!$C$25:$C$38,0),MATCH(cost_base_improved!E6,AMD_OU_Data!$D$24:$M$24,0))</f>
        <v>16.829787347508621</v>
      </c>
      <c r="J6" s="91">
        <f>GETPIVOTDATA("Vehicle Capacity",'Pivot Table-1'!$G$16)</f>
        <v>1.5040526693998157</v>
      </c>
      <c r="K6" s="90" t="str">
        <f t="shared" si="0"/>
        <v>EMI</v>
      </c>
      <c r="L6" s="90">
        <f>INDEX(AMD_OU_Data!$D$43:$D$56,MATCH(cost_base_improved!C6,AMD_OU_Data!$C$43:$C$56,0))</f>
        <v>2700</v>
      </c>
      <c r="M6" s="92">
        <f>IF(G6="Market",0,(L6/I6*(INDEX(AMD_OU_Data!$E$43:$E$56,MATCH(cost_base_improved!C6,AMD_OU_Data!$C$43:$C$56,0)))))</f>
        <v>18194.528820724201</v>
      </c>
      <c r="N6" s="92">
        <f>IF(AND(K6="EMI",H6&gt;=2016),VLOOKUP(F6,AMD_EMI_Data!$A$7:$E$26,5,FALSE),0)</f>
        <v>11420.447400423482</v>
      </c>
      <c r="O6" s="92">
        <f>INDEX(AMD_OU_Data!$D$61:$M$74,MATCH(cost_base_improved!C6,AMD_OU_Data!$C$61:$C$74,0),MATCH(cost_base_improved!E6,AMD_OU_Data!$D$60:$M$60,0))</f>
        <v>8200</v>
      </c>
      <c r="P6" s="92">
        <f t="shared" si="1"/>
        <v>37814.976221147685</v>
      </c>
      <c r="Q6" s="92">
        <f t="shared" si="2"/>
        <v>28000</v>
      </c>
      <c r="R6" s="93">
        <f t="shared" si="3"/>
        <v>65814.976221147692</v>
      </c>
    </row>
    <row r="7" spans="1:20" ht="12.75" customHeight="1" x14ac:dyDescent="0.25">
      <c r="A7" s="94">
        <v>6</v>
      </c>
      <c r="B7" s="95" t="s">
        <v>84</v>
      </c>
      <c r="C7" s="95" t="str">
        <f>partner_vehicles_form_AMD!B6</f>
        <v>AMDBP</v>
      </c>
      <c r="D7" s="95" t="str">
        <f>partner_vehicles_form_AMD!C6</f>
        <v>BELIM RIYAZUDDIN MEHBOOBBHAI</v>
      </c>
      <c r="E7" s="95" t="s">
        <v>132</v>
      </c>
      <c r="F7" s="95" t="str">
        <f>VLOOKUP(E7,'Vehicle mapping'!$A$2:$B$12,2,FALSE)</f>
        <v>AL Dost</v>
      </c>
      <c r="G7" s="95" t="s">
        <v>77</v>
      </c>
      <c r="H7" s="95">
        <v>2016</v>
      </c>
      <c r="I7" s="96">
        <f>INDEX(AMD_OU_Data!$D$25:$M$38,MATCH(cost_base_improved!C7,AMD_OU_Data!$C$25:$C$38,0),MATCH(cost_base_improved!E7,AMD_OU_Data!$D$24:$M$24,0))</f>
        <v>15.340744990271009</v>
      </c>
      <c r="J7" s="96">
        <f>GETPIVOTDATA("Vehicle Capacity",'Pivot Table-1'!$D$3)</f>
        <v>1.2617401368798644</v>
      </c>
      <c r="K7" s="95" t="str">
        <f t="shared" si="0"/>
        <v>EMI</v>
      </c>
      <c r="L7" s="95">
        <f>INDEX(AMD_OU_Data!$D$43:$D$56,MATCH(cost_base_improved!C7,AMD_OU_Data!$C$43:$C$56,0))</f>
        <v>2600</v>
      </c>
      <c r="M7" s="97">
        <f>IF(G7="Market",0,(L7/I7*(INDEX(AMD_OU_Data!$E$43:$E$56,MATCH(cost_base_improved!C7,AMD_OU_Data!$C$43:$C$56,0)))))</f>
        <v>13701.339883206299</v>
      </c>
      <c r="N7" s="97">
        <f>IF(AND(K7="EMI",H7&gt;=2016),VLOOKUP(F7,AMD_EMI_Data!$A$7:$E$26,5,FALSE),0)</f>
        <v>7613.6316002823205</v>
      </c>
      <c r="O7" s="97">
        <f>INDEX(AMD_OU_Data!$D$61:$M$74,MATCH(cost_base_improved!C7,AMD_OU_Data!$C$61:$C$74,0),MATCH(cost_base_improved!E7,AMD_OU_Data!$D$60:$M$60,0))</f>
        <v>11400</v>
      </c>
      <c r="P7" s="97">
        <f t="shared" si="1"/>
        <v>32714.971483488618</v>
      </c>
      <c r="Q7" s="97">
        <f t="shared" si="2"/>
        <v>28000</v>
      </c>
      <c r="R7" s="98">
        <f t="shared" si="3"/>
        <v>60714.971483488618</v>
      </c>
    </row>
    <row r="8" spans="1:20" ht="12.75" customHeight="1" x14ac:dyDescent="0.25">
      <c r="A8" s="89">
        <v>7</v>
      </c>
      <c r="B8" s="90" t="s">
        <v>84</v>
      </c>
      <c r="C8" s="90" t="str">
        <f>partner_vehicles_form_AMD!B7</f>
        <v>AMDBP</v>
      </c>
      <c r="D8" s="90" t="str">
        <f>partner_vehicles_form_AMD!C7</f>
        <v>Bharat madhusing lodha</v>
      </c>
      <c r="E8" s="90" t="s">
        <v>133</v>
      </c>
      <c r="F8" s="90" t="str">
        <f>VLOOKUP(E8,'Vehicle mapping'!$A$2:$B$12,2,FALSE)</f>
        <v>Tata Ace</v>
      </c>
      <c r="G8" s="90" t="s">
        <v>77</v>
      </c>
      <c r="H8" s="90">
        <v>2012</v>
      </c>
      <c r="I8" s="91">
        <f>INDEX(AMD_OU_Data!$D$25:$M$38,MATCH(cost_base_improved!C8,AMD_OU_Data!$C$25:$C$38,0),MATCH(cost_base_improved!E8,AMD_OU_Data!$D$24:$M$24,0))</f>
        <v>7.7853868200690899</v>
      </c>
      <c r="J8" s="91">
        <f>GETPIVOTDATA("Vehicle Capacity",'Pivot Table-1'!$K$20)</f>
        <v>0.87167911083665661</v>
      </c>
      <c r="K8" s="90" t="str">
        <f t="shared" si="0"/>
        <v>EMI</v>
      </c>
      <c r="L8" s="90">
        <f>INDEX(AMD_OU_Data!$D$43:$D$56,MATCH(cost_base_improved!C8,AMD_OU_Data!$C$43:$C$56,0))</f>
        <v>2600</v>
      </c>
      <c r="M8" s="92">
        <f>IF(G8="Market",0,(L8/I8*(INDEX(AMD_OU_Data!$E$43:$E$56,MATCH(cost_base_improved!C8,AMD_OU_Data!$C$43:$C$56,0)))))</f>
        <v>26997.857143266792</v>
      </c>
      <c r="N8" s="92">
        <f>IF(AND(K8="EMI",H8&gt;=2016),VLOOKUP(F8,AMD_EMI_Data!$A$7:$E$26,5,FALSE),0)</f>
        <v>0</v>
      </c>
      <c r="O8" s="92">
        <f>INDEX(AMD_OU_Data!$D$61:$M$74,MATCH(cost_base_improved!C8,AMD_OU_Data!$C$61:$C$74,0),MATCH(cost_base_improved!E8,AMD_OU_Data!$D$60:$M$60,0))</f>
        <v>6900</v>
      </c>
      <c r="P8" s="92">
        <f t="shared" si="1"/>
        <v>33897.857143266796</v>
      </c>
      <c r="Q8" s="92">
        <f t="shared" si="2"/>
        <v>28000</v>
      </c>
      <c r="R8" s="93">
        <f t="shared" si="3"/>
        <v>61897.857143266796</v>
      </c>
    </row>
    <row r="9" spans="1:20" ht="12.75" customHeight="1" x14ac:dyDescent="0.25">
      <c r="A9" s="94">
        <v>8</v>
      </c>
      <c r="B9" s="95" t="s">
        <v>85</v>
      </c>
      <c r="C9" s="95" t="str">
        <f>partner_vehicles_form_AMD!B8</f>
        <v>JGAB1</v>
      </c>
      <c r="D9" s="95" t="str">
        <f>partner_vehicles_form_AMD!C8</f>
        <v>DENISH B. BAVARIYA</v>
      </c>
      <c r="E9" s="95" t="s">
        <v>133</v>
      </c>
      <c r="F9" s="95" t="str">
        <f>VLOOKUP(E9,'Vehicle mapping'!$A$2:$B$12,2,FALSE)</f>
        <v>Tata Ace</v>
      </c>
      <c r="G9" s="95" t="s">
        <v>77</v>
      </c>
      <c r="H9" s="95">
        <v>2019</v>
      </c>
      <c r="I9" s="96">
        <f>INDEX(AMD_OU_Data!$D$25:$M$38,MATCH(cost_base_improved!C9,AMD_OU_Data!$C$25:$C$38,0),MATCH(cost_base_improved!E9,AMD_OU_Data!$D$24:$M$24,0))</f>
        <v>17.527489465012966</v>
      </c>
      <c r="J9" s="96">
        <f>GETPIVOTDATA("Vehicle Capacity",'Pivot Table-1'!$K$20)</f>
        <v>0.87167911083665661</v>
      </c>
      <c r="K9" s="95" t="str">
        <f t="shared" si="0"/>
        <v>EMI</v>
      </c>
      <c r="L9" s="95">
        <f>INDEX(AMD_OU_Data!$D$43:$D$56,MATCH(cost_base_improved!C9,AMD_OU_Data!$C$43:$C$56,0))</f>
        <v>1900</v>
      </c>
      <c r="M9" s="97">
        <f>IF(G9="Market",0,(L9/I9*(INDEX(AMD_OU_Data!$E$43:$E$56,MATCH(cost_base_improved!C9,AMD_OU_Data!$C$43:$C$56,0)))))</f>
        <v>10865.739812694012</v>
      </c>
      <c r="N9" s="97">
        <f>IF(AND(K9="EMI",H9&gt;=2016),VLOOKUP(F9,AMD_EMI_Data!$A$7:$E$26,5,FALSE),0)</f>
        <v>6090.9052802258566</v>
      </c>
      <c r="O9" s="97">
        <f>INDEX(AMD_OU_Data!$D$61:$M$74,MATCH(cost_base_improved!C9,AMD_OU_Data!$C$61:$C$74,0),MATCH(cost_base_improved!E9,AMD_OU_Data!$D$60:$M$60,0))</f>
        <v>10700</v>
      </c>
      <c r="P9" s="97">
        <f t="shared" si="1"/>
        <v>27656.645092919869</v>
      </c>
      <c r="Q9" s="97">
        <f t="shared" si="2"/>
        <v>28000</v>
      </c>
      <c r="R9" s="98">
        <f t="shared" si="3"/>
        <v>55656.645092919869</v>
      </c>
    </row>
    <row r="10" spans="1:20" ht="12.75" customHeight="1" x14ac:dyDescent="0.25">
      <c r="A10" s="89">
        <v>9</v>
      </c>
      <c r="B10" s="90" t="s">
        <v>86</v>
      </c>
      <c r="C10" s="90" t="str">
        <f>partner_vehicles_form_AMD!B9</f>
        <v>STVT1</v>
      </c>
      <c r="D10" s="90" t="str">
        <f>partner_vehicles_form_AMD!C9</f>
        <v>Devendar Vanga</v>
      </c>
      <c r="E10" s="90" t="s">
        <v>127</v>
      </c>
      <c r="F10" s="90" t="str">
        <f>VLOOKUP(E10,'Vehicle mapping'!$A$2:$B$12,2,FALSE)</f>
        <v>Eicher 14</v>
      </c>
      <c r="G10" s="90" t="s">
        <v>77</v>
      </c>
      <c r="H10" s="90">
        <v>2016</v>
      </c>
      <c r="I10" s="91">
        <f>INDEX(AMD_OU_Data!$D$25:$M$38,MATCH(cost_base_improved!C10,AMD_OU_Data!$C$25:$C$38,0),MATCH(cost_base_improved!E10,AMD_OU_Data!$D$24:$M$24,0))</f>
        <v>13.044642984582476</v>
      </c>
      <c r="J10" s="91">
        <f>GETPIVOTDATA("Vehicle Capacity",'Pivot Table-1'!$G$3)</f>
        <v>2.5078186848300463</v>
      </c>
      <c r="K10" s="90" t="str">
        <f t="shared" si="0"/>
        <v>EMI</v>
      </c>
      <c r="L10" s="90">
        <f>INDEX(AMD_OU_Data!$D$43:$D$56,MATCH(cost_base_improved!C10,AMD_OU_Data!$C$43:$C$56,0))</f>
        <v>2900</v>
      </c>
      <c r="M10" s="92">
        <f>IF(G10="Market",0,(L10/I10*(INDEX(AMD_OU_Data!$E$43:$E$56,MATCH(cost_base_improved!C10,AMD_OU_Data!$C$43:$C$56,0)))))</f>
        <v>22100.936769178697</v>
      </c>
      <c r="N10" s="92">
        <f>IF(AND(K10="EMI",H10&gt;=2016),VLOOKUP(F10,AMD_EMI_Data!$A$7:$E$26,5,FALSE),0)</f>
        <v>11420.447400423482</v>
      </c>
      <c r="O10" s="92">
        <f>INDEX(AMD_OU_Data!$D$61:$M$74,MATCH(cost_base_improved!C10,AMD_OU_Data!$C$61:$C$74,0),MATCH(cost_base_improved!E10,AMD_OU_Data!$D$60:$M$60,0))</f>
        <v>18700</v>
      </c>
      <c r="P10" s="92">
        <f t="shared" si="1"/>
        <v>52221.384169602177</v>
      </c>
      <c r="Q10" s="92">
        <f t="shared" si="2"/>
        <v>28000</v>
      </c>
      <c r="R10" s="93">
        <f t="shared" si="3"/>
        <v>80221.384169602185</v>
      </c>
    </row>
    <row r="11" spans="1:20" ht="12.75" customHeight="1" x14ac:dyDescent="0.25">
      <c r="A11" s="94">
        <v>10</v>
      </c>
      <c r="B11" s="95" t="s">
        <v>86</v>
      </c>
      <c r="C11" s="95" t="str">
        <f>partner_vehicles_form_AMD!B9</f>
        <v>STVT1</v>
      </c>
      <c r="D11" s="95" t="str">
        <f>partner_vehicles_form_AMD!C9</f>
        <v>Devendar Vanga</v>
      </c>
      <c r="E11" s="95" t="s">
        <v>130</v>
      </c>
      <c r="F11" s="95" t="str">
        <f>VLOOKUP(E11,'Vehicle mapping'!$A$2:$B$12,2,FALSE)</f>
        <v>Eicher 17</v>
      </c>
      <c r="G11" s="95" t="s">
        <v>77</v>
      </c>
      <c r="H11" s="95">
        <v>2017</v>
      </c>
      <c r="I11" s="96">
        <f>INDEX(AMD_OU_Data!$D$25:$M$38,MATCH(cost_base_improved!C11,AMD_OU_Data!$C$25:$C$38,0),MATCH(cost_base_improved!E11,AMD_OU_Data!$D$24:$M$24,0))</f>
        <v>7.7766332599738792</v>
      </c>
      <c r="J11" s="96">
        <f>GETPIVOTDATA("Vehicle Capacity",'Pivot Table-1'!$J$3)</f>
        <v>5.8259590265690795</v>
      </c>
      <c r="K11" s="95" t="str">
        <f t="shared" si="0"/>
        <v>EMI</v>
      </c>
      <c r="L11" s="95">
        <f>INDEX(AMD_OU_Data!$D$43:$D$56,MATCH(cost_base_improved!C11,AMD_OU_Data!$C$43:$C$56,0))</f>
        <v>2900</v>
      </c>
      <c r="M11" s="97">
        <f>IF(G11="Market",0,(L11/I11*(INDEX(AMD_OU_Data!$E$43:$E$56,MATCH(cost_base_improved!C11,AMD_OU_Data!$C$43:$C$56,0)))))</f>
        <v>37072.44769566723</v>
      </c>
      <c r="N11" s="97">
        <f>IF(AND(K11="EMI",H11&gt;=2016),VLOOKUP(F11,AMD_EMI_Data!$A$7:$E$26,5,FALSE),0)</f>
        <v>17511.352680649339</v>
      </c>
      <c r="O11" s="97">
        <f>INDEX(AMD_OU_Data!$D$61:$M$74,MATCH(cost_base_improved!C11,AMD_OU_Data!$C$61:$C$74,0),MATCH(cost_base_improved!E11,AMD_OU_Data!$D$60:$M$60,0))</f>
        <v>15600</v>
      </c>
      <c r="P11" s="97">
        <f t="shared" si="1"/>
        <v>70183.800376316562</v>
      </c>
      <c r="Q11" s="97">
        <f t="shared" si="2"/>
        <v>36000</v>
      </c>
      <c r="R11" s="98">
        <f t="shared" si="3"/>
        <v>106183.80037631656</v>
      </c>
    </row>
    <row r="12" spans="1:20" ht="12.75" customHeight="1" x14ac:dyDescent="0.25">
      <c r="A12" s="89">
        <v>11</v>
      </c>
      <c r="B12" s="90" t="s">
        <v>86</v>
      </c>
      <c r="C12" s="90" t="str">
        <f>partner_vehicles_form_AMD!B9</f>
        <v>STVT1</v>
      </c>
      <c r="D12" s="90" t="str">
        <f>partner_vehicles_form_AMD!C9</f>
        <v>Devendar Vanga</v>
      </c>
      <c r="E12" s="90" t="s">
        <v>164</v>
      </c>
      <c r="F12" s="90" t="str">
        <f>VLOOKUP(E12,'Vehicle mapping'!$A$2:$B$12,2,FALSE)</f>
        <v>22 ft</v>
      </c>
      <c r="G12" s="90" t="s">
        <v>128</v>
      </c>
      <c r="H12" s="99" t="s">
        <v>129</v>
      </c>
      <c r="I12" s="91">
        <f>INDEX(AMD_OU_Data!$D$25:$M$38,MATCH(cost_base_improved!C12,AMD_OU_Data!$C$25:$C$38,0),MATCH(cost_base_improved!E12,AMD_OU_Data!$D$24:$M$24,0))</f>
        <v>6.653749290515103</v>
      </c>
      <c r="J12" s="91">
        <f>GETPIVOTDATA("Vehicle Capacity",'Pivot Table-1'!$A$3)</f>
        <v>8.2407106661901022</v>
      </c>
      <c r="K12" s="90" t="str">
        <f t="shared" si="0"/>
        <v>Market</v>
      </c>
      <c r="L12" s="90">
        <f>INDEX(AMD_OU_Data!$D$43:$D$56,MATCH(cost_base_improved!C12,AMD_OU_Data!$C$43:$C$56,0))</f>
        <v>2900</v>
      </c>
      <c r="M12" s="92">
        <f>IF(G12="Market",0,(L12/I12*(INDEX(AMD_OU_Data!$E$43:$E$56,MATCH(cost_base_improved!C12,AMD_OU_Data!$C$43:$C$56,0)))))</f>
        <v>0</v>
      </c>
      <c r="N12" s="92">
        <f>IF(AND(K12="EMI",H12&gt;=2016),VLOOKUP(F12,AMD_EMI_Data!$A$7:$E$26,5,FALSE),0)</f>
        <v>0</v>
      </c>
      <c r="O12" s="92">
        <f>INDEX(AMD_OU_Data!$D$61:$M$74,MATCH(cost_base_improved!C12,AMD_OU_Data!$C$61:$C$74,0),MATCH(cost_base_improved!E12,AMD_OU_Data!$D$60:$M$60,0))</f>
        <v>22100</v>
      </c>
      <c r="P12" s="92">
        <f t="shared" si="1"/>
        <v>80000</v>
      </c>
      <c r="Q12" s="92">
        <f t="shared" si="2"/>
        <v>16000</v>
      </c>
      <c r="R12" s="93">
        <f t="shared" si="3"/>
        <v>96000</v>
      </c>
    </row>
    <row r="13" spans="1:20" ht="12.75" customHeight="1" x14ac:dyDescent="0.25">
      <c r="A13" s="94">
        <v>12</v>
      </c>
      <c r="B13" s="95" t="s">
        <v>87</v>
      </c>
      <c r="C13" s="95" t="str">
        <f>partner_vehicles_form_AMD!B10</f>
        <v>BDQT1</v>
      </c>
      <c r="D13" s="95" t="str">
        <f>partner_vehicles_form_AMD!C10</f>
        <v>Devendra r. mistry</v>
      </c>
      <c r="E13" s="95" t="s">
        <v>133</v>
      </c>
      <c r="F13" s="95" t="str">
        <f>VLOOKUP(E13,'Vehicle mapping'!$A$2:$B$12,2,FALSE)</f>
        <v>Tata Ace</v>
      </c>
      <c r="G13" s="95" t="s">
        <v>137</v>
      </c>
      <c r="H13" s="95">
        <v>2016</v>
      </c>
      <c r="I13" s="96">
        <f>INDEX(AMD_OU_Data!$D$25:$M$38,MATCH(cost_base_improved!C13,AMD_OU_Data!$C$25:$C$38,0),MATCH(cost_base_improved!E13,AMD_OU_Data!$D$24:$M$24,0))</f>
        <v>18.889971546597494</v>
      </c>
      <c r="J13" s="96">
        <f>GETPIVOTDATA("Vehicle Capacity",'Pivot Table-1'!$K$20)</f>
        <v>0.87167911083665661</v>
      </c>
      <c r="K13" s="95" t="str">
        <f t="shared" si="0"/>
        <v>Owned</v>
      </c>
      <c r="L13" s="95">
        <f>INDEX(AMD_OU_Data!$D$43:$D$56,MATCH(cost_base_improved!C13,AMD_OU_Data!$C$43:$C$56,0))</f>
        <v>3000</v>
      </c>
      <c r="M13" s="97">
        <f>IF(G13="Market",0,(L13/I13*(INDEX(AMD_OU_Data!$E$43:$E$56,MATCH(cost_base_improved!C13,AMD_OU_Data!$C$43:$C$56,0)))))</f>
        <v>12476.910857713416</v>
      </c>
      <c r="N13" s="97">
        <f>IF(AND(K13="EMI",H13&gt;=2016),VLOOKUP(F13,AMD_EMI_Data!$A$7:$E$26,5,FALSE),0)</f>
        <v>0</v>
      </c>
      <c r="O13" s="97">
        <f>INDEX(AMD_OU_Data!$D$61:$M$74,MATCH(cost_base_improved!C13,AMD_OU_Data!$C$61:$C$74,0),MATCH(cost_base_improved!E13,AMD_OU_Data!$D$60:$M$60,0))</f>
        <v>10700</v>
      </c>
      <c r="P13" s="97">
        <f t="shared" si="1"/>
        <v>23176.910857713417</v>
      </c>
      <c r="Q13" s="97">
        <f t="shared" si="2"/>
        <v>28000</v>
      </c>
      <c r="R13" s="98">
        <f t="shared" si="3"/>
        <v>51176.910857713417</v>
      </c>
    </row>
    <row r="14" spans="1:20" ht="12.75" customHeight="1" x14ac:dyDescent="0.25">
      <c r="A14" s="89">
        <v>13</v>
      </c>
      <c r="B14" s="90" t="s">
        <v>88</v>
      </c>
      <c r="C14" s="90" t="str">
        <f>partner_vehicles_form_AMD!B11</f>
        <v>AMDBL</v>
      </c>
      <c r="D14" s="90" t="str">
        <f>partner_vehicles_form_AMD!C11</f>
        <v>Dharmendra Sharma</v>
      </c>
      <c r="E14" s="90" t="s">
        <v>127</v>
      </c>
      <c r="F14" s="90" t="str">
        <f>VLOOKUP(E14,'Vehicle mapping'!$A$2:$B$12,2,FALSE)</f>
        <v>Eicher 14</v>
      </c>
      <c r="G14" s="90" t="s">
        <v>77</v>
      </c>
      <c r="H14" s="90">
        <v>2013</v>
      </c>
      <c r="I14" s="91">
        <f>INDEX(AMD_OU_Data!$D$25:$M$38,MATCH(cost_base_improved!C14,AMD_OU_Data!$C$25:$C$38,0),MATCH(cost_base_improved!E14,AMD_OU_Data!$D$24:$M$24,0))</f>
        <v>9.095012736983012</v>
      </c>
      <c r="J14" s="91">
        <f>GETPIVOTDATA("Vehicle Capacity",'Pivot Table-1'!$G$3)</f>
        <v>2.5078186848300463</v>
      </c>
      <c r="K14" s="90" t="str">
        <f t="shared" si="0"/>
        <v>EMI</v>
      </c>
      <c r="L14" s="90">
        <f>INDEX(AMD_OU_Data!$D$43:$D$56,MATCH(cost_base_improved!C14,AMD_OU_Data!$C$43:$C$56,0))</f>
        <v>1800</v>
      </c>
      <c r="M14" s="92">
        <f>IF(G14="Market",0,(L14/I14*(INDEX(AMD_OU_Data!$E$43:$E$56,MATCH(cost_base_improved!C14,AMD_OU_Data!$C$43:$C$56,0)))))</f>
        <v>18718.663328438746</v>
      </c>
      <c r="N14" s="92">
        <f>IF(AND(K14="EMI",H14&gt;=2016),VLOOKUP(F14,AMD_EMI_Data!$A$7:$E$26,5,FALSE),0)</f>
        <v>0</v>
      </c>
      <c r="O14" s="92">
        <f>INDEX(AMD_OU_Data!$D$61:$M$74,MATCH(cost_base_improved!C14,AMD_OU_Data!$C$61:$C$74,0),MATCH(cost_base_improved!E14,AMD_OU_Data!$D$60:$M$60,0))</f>
        <v>12000</v>
      </c>
      <c r="P14" s="92">
        <f t="shared" si="1"/>
        <v>30718.663328438746</v>
      </c>
      <c r="Q14" s="92">
        <f t="shared" si="2"/>
        <v>28000</v>
      </c>
      <c r="R14" s="93">
        <f t="shared" si="3"/>
        <v>58718.66332843875</v>
      </c>
    </row>
    <row r="15" spans="1:20" ht="12.75" customHeight="1" x14ac:dyDescent="0.25">
      <c r="A15" s="94">
        <v>14</v>
      </c>
      <c r="B15" s="95" t="s">
        <v>88</v>
      </c>
      <c r="C15" s="95" t="str">
        <f>partner_vehicles_form_AMD!B11</f>
        <v>AMDBL</v>
      </c>
      <c r="D15" s="95" t="str">
        <f>partner_vehicles_form_AMD!C11</f>
        <v>Dharmendra Sharma</v>
      </c>
      <c r="E15" s="95" t="s">
        <v>142</v>
      </c>
      <c r="F15" s="95" t="str">
        <f>VLOOKUP(E15,'Vehicle mapping'!$A$2:$B$12,2,FALSE)</f>
        <v>Eicher 19</v>
      </c>
      <c r="G15" s="95" t="s">
        <v>128</v>
      </c>
      <c r="H15" s="100" t="s">
        <v>129</v>
      </c>
      <c r="I15" s="96">
        <f>INDEX(AMD_OU_Data!$D$25:$M$38,MATCH(cost_base_improved!C15,AMD_OU_Data!$C$25:$C$38,0),MATCH(cost_base_improved!E15,AMD_OU_Data!$D$24:$M$24,0))</f>
        <v>3.5462174548919334</v>
      </c>
      <c r="J15" s="96">
        <f>GETPIVOTDATA("Vehicle Capacity",'Pivot Table-1'!$M$3)</f>
        <v>7.4990589179901326</v>
      </c>
      <c r="K15" s="95" t="str">
        <f t="shared" si="0"/>
        <v>Market</v>
      </c>
      <c r="L15" s="95">
        <f>INDEX(AMD_OU_Data!$D$43:$D$56,MATCH(cost_base_improved!C15,AMD_OU_Data!$C$43:$C$56,0))</f>
        <v>1800</v>
      </c>
      <c r="M15" s="97">
        <f>IF(G15="Market",0,(L15/I15*(INDEX(AMD_OU_Data!$E$43:$E$56,MATCH(cost_base_improved!C15,AMD_OU_Data!$C$43:$C$56,0)))))</f>
        <v>0</v>
      </c>
      <c r="N15" s="97">
        <f>IF(AND(K15="EMI",H15&gt;=2016),VLOOKUP(F15,AMD_EMI_Data!$A$7:$E$26,5,FALSE),0)</f>
        <v>0</v>
      </c>
      <c r="O15" s="97">
        <f>INDEX(AMD_OU_Data!$D$61:$M$74,MATCH(cost_base_improved!C15,AMD_OU_Data!$C$61:$C$74,0),MATCH(cost_base_improved!E15,AMD_OU_Data!$D$60:$M$60,0))</f>
        <v>19000</v>
      </c>
      <c r="P15" s="97">
        <f t="shared" si="1"/>
        <v>80000</v>
      </c>
      <c r="Q15" s="97">
        <f t="shared" si="2"/>
        <v>16000</v>
      </c>
      <c r="R15" s="98">
        <f t="shared" si="3"/>
        <v>96000</v>
      </c>
    </row>
    <row r="16" spans="1:20" ht="12.75" customHeight="1" x14ac:dyDescent="0.25">
      <c r="A16" s="89">
        <v>15</v>
      </c>
      <c r="B16" s="90" t="s">
        <v>89</v>
      </c>
      <c r="C16" s="90" t="str">
        <f>partner_vehicles_form_AMD!B12</f>
        <v>AMDBC</v>
      </c>
      <c r="D16" s="90" t="str">
        <f>partner_vehicles_form_AMD!C12</f>
        <v>DINESHBHAI MOHANBHAI SOLANKI</v>
      </c>
      <c r="E16" s="90" t="s">
        <v>133</v>
      </c>
      <c r="F16" s="90" t="str">
        <f>VLOOKUP(E16,'Vehicle mapping'!$A$2:$B$12,2,FALSE)</f>
        <v>Tata Ace</v>
      </c>
      <c r="G16" s="90" t="s">
        <v>77</v>
      </c>
      <c r="H16" s="90">
        <v>2020</v>
      </c>
      <c r="I16" s="91">
        <f>INDEX(AMD_OU_Data!$D$25:$M$38,MATCH(cost_base_improved!C16,AMD_OU_Data!$C$25:$C$38,0),MATCH(cost_base_improved!E16,AMD_OU_Data!$D$24:$M$24,0))</f>
        <v>17.157710528177709</v>
      </c>
      <c r="J16" s="91">
        <f>GETPIVOTDATA("Vehicle Capacity",'Pivot Table-1'!$K$20)</f>
        <v>0.87167911083665661</v>
      </c>
      <c r="K16" s="90" t="str">
        <f t="shared" si="0"/>
        <v>EMI</v>
      </c>
      <c r="L16" s="90">
        <f>INDEX(AMD_OU_Data!$D$43:$D$56,MATCH(cost_base_improved!C16,AMD_OU_Data!$C$43:$C$56,0))</f>
        <v>3100</v>
      </c>
      <c r="M16" s="92">
        <f>IF(G16="Market",0,(L16/I16*(INDEX(AMD_OU_Data!$E$43:$E$56,MATCH(cost_base_improved!C16,AMD_OU_Data!$C$43:$C$56,0)))))</f>
        <v>16815.46394439719</v>
      </c>
      <c r="N16" s="92">
        <f>IF(AND(K16="EMI",H16&gt;=2016),VLOOKUP(F16,AMD_EMI_Data!$A$7:$E$26,5,FALSE),0)</f>
        <v>6090.9052802258566</v>
      </c>
      <c r="O16" s="92">
        <f>INDEX(AMD_OU_Data!$D$61:$M$74,MATCH(cost_base_improved!C16,AMD_OU_Data!$C$61:$C$74,0),MATCH(cost_base_improved!E16,AMD_OU_Data!$D$60:$M$60,0))</f>
        <v>11800</v>
      </c>
      <c r="P16" s="92">
        <f t="shared" si="1"/>
        <v>34706.369224623049</v>
      </c>
      <c r="Q16" s="92">
        <f t="shared" si="2"/>
        <v>28000</v>
      </c>
      <c r="R16" s="93">
        <f t="shared" si="3"/>
        <v>62706.369224623049</v>
      </c>
    </row>
    <row r="17" spans="1:18" ht="12.75" customHeight="1" x14ac:dyDescent="0.25">
      <c r="A17" s="94">
        <v>16</v>
      </c>
      <c r="B17" s="95" t="s">
        <v>81</v>
      </c>
      <c r="C17" s="95" t="str">
        <f>partner_vehicles_form_AMD!B13</f>
        <v>VAPT1</v>
      </c>
      <c r="D17" s="95" t="str">
        <f>partner_vehicles_form_AMD!C13</f>
        <v>EKTA AGARWAL</v>
      </c>
      <c r="E17" s="95" t="s">
        <v>133</v>
      </c>
      <c r="F17" s="95" t="str">
        <f>VLOOKUP(E17,'Vehicle mapping'!$A$2:$B$12,2,FALSE)</f>
        <v>Tata Ace</v>
      </c>
      <c r="G17" s="95" t="s">
        <v>77</v>
      </c>
      <c r="H17" s="95">
        <v>2010</v>
      </c>
      <c r="I17" s="96">
        <f>INDEX(AMD_OU_Data!$D$25:$M$38,MATCH(cost_base_improved!C17,AMD_OU_Data!$C$25:$C$38,0),MATCH(cost_base_improved!E17,AMD_OU_Data!$D$24:$M$24,0))</f>
        <v>14</v>
      </c>
      <c r="J17" s="96">
        <f>GETPIVOTDATA("Vehicle Capacity",'Pivot Table-1'!$K$20)</f>
        <v>0.87167911083665661</v>
      </c>
      <c r="K17" s="95" t="str">
        <f t="shared" si="0"/>
        <v>EMI</v>
      </c>
      <c r="L17" s="95">
        <f>INDEX(AMD_OU_Data!$D$43:$D$56,MATCH(cost_base_improved!C17,AMD_OU_Data!$C$43:$C$56,0))</f>
        <v>1600</v>
      </c>
      <c r="M17" s="97">
        <f>IF(G17="Market",0,(L17/I17*(INDEX(AMD_OU_Data!$E$43:$E$56,MATCH(cost_base_improved!C17,AMD_OU_Data!$C$43:$C$56,0)))))</f>
        <v>10548.571428571429</v>
      </c>
      <c r="N17" s="97">
        <f>IF(AND(K17="EMI",H17&gt;=2016),VLOOKUP(F17,AMD_EMI_Data!$A$7:$E$26,5,FALSE),0)</f>
        <v>0</v>
      </c>
      <c r="O17" s="97">
        <f>INDEX(AMD_OU_Data!$D$61:$M$74,MATCH(cost_base_improved!C17,AMD_OU_Data!$C$61:$C$74,0),MATCH(cost_base_improved!E17,AMD_OU_Data!$D$60:$M$60,0))</f>
        <v>5880</v>
      </c>
      <c r="P17" s="97">
        <f t="shared" si="1"/>
        <v>16428.571428571428</v>
      </c>
      <c r="Q17" s="97">
        <f t="shared" si="2"/>
        <v>28000</v>
      </c>
      <c r="R17" s="98">
        <f t="shared" si="3"/>
        <v>44428.571428571428</v>
      </c>
    </row>
    <row r="18" spans="1:18" ht="12.75" customHeight="1" x14ac:dyDescent="0.25">
      <c r="A18" s="89">
        <v>17</v>
      </c>
      <c r="B18" s="90" t="s">
        <v>90</v>
      </c>
      <c r="C18" s="90" t="str">
        <f>partner_vehicles_form_AMD!B14</f>
        <v>RAJB1</v>
      </c>
      <c r="D18" s="90" t="str">
        <f>partner_vehicles_form_AMD!C14</f>
        <v>FAIZILA Theba</v>
      </c>
      <c r="E18" s="90" t="s">
        <v>141</v>
      </c>
      <c r="F18" s="90" t="str">
        <f>VLOOKUP(E18,'Vehicle mapping'!$A$2:$B$12,2,FALSE)</f>
        <v>Super ace</v>
      </c>
      <c r="G18" s="90" t="s">
        <v>137</v>
      </c>
      <c r="H18" s="90">
        <v>2019</v>
      </c>
      <c r="I18" s="91">
        <f>INDEX(AMD_OU_Data!$D$25:$M$38,MATCH(cost_base_improved!C18,AMD_OU_Data!$C$25:$C$38,0),MATCH(cost_base_improved!E18,AMD_OU_Data!$D$24:$M$24,0))</f>
        <v>17.582051377297987</v>
      </c>
      <c r="J18" s="91">
        <f>GETPIVOTDATA("Vehicle Capacity",'Pivot Table-1'!$A$18)</f>
        <v>1.5355205199174393</v>
      </c>
      <c r="K18" s="90" t="str">
        <f t="shared" si="0"/>
        <v>Owned</v>
      </c>
      <c r="L18" s="90">
        <f>INDEX(AMD_OU_Data!$D$43:$D$56,MATCH(cost_base_improved!C18,AMD_OU_Data!$C$43:$C$56,0))</f>
        <v>1800</v>
      </c>
      <c r="M18" s="92">
        <f>IF(G18="Market",0,(L18/I18*(INDEX(AMD_OU_Data!$E$43:$E$56,MATCH(cost_base_improved!C18,AMD_OU_Data!$C$43:$C$56,0)))))</f>
        <v>9285.0019192570508</v>
      </c>
      <c r="N18" s="92">
        <f>IF(AND(K18="EMI",H18&gt;=2016),VLOOKUP(F18,AMD_EMI_Data!$A$7:$E$26,5,FALSE),0)</f>
        <v>0</v>
      </c>
      <c r="O18" s="92">
        <f>INDEX(AMD_OU_Data!$D$61:$M$74,MATCH(cost_base_improved!C18,AMD_OU_Data!$C$61:$C$74,0),MATCH(cost_base_improved!E18,AMD_OU_Data!$D$60:$M$60,0))</f>
        <v>9900</v>
      </c>
      <c r="P18" s="92">
        <f t="shared" si="1"/>
        <v>19185.001919257051</v>
      </c>
      <c r="Q18" s="92">
        <f t="shared" si="2"/>
        <v>28000</v>
      </c>
      <c r="R18" s="93">
        <f t="shared" si="3"/>
        <v>47185.001919257047</v>
      </c>
    </row>
    <row r="19" spans="1:18" ht="12.75" customHeight="1" x14ac:dyDescent="0.25">
      <c r="A19" s="94">
        <v>18</v>
      </c>
      <c r="B19" s="95" t="s">
        <v>83</v>
      </c>
      <c r="C19" s="95" t="str">
        <f>partner_vehicles_form_AMD!B15</f>
        <v>GNCB1</v>
      </c>
      <c r="D19" s="95" t="str">
        <f>partner_vehicles_form_AMD!C15</f>
        <v>GAJRAJSINGH B RATHOD</v>
      </c>
      <c r="E19" s="95" t="s">
        <v>131</v>
      </c>
      <c r="F19" s="95" t="str">
        <f>VLOOKUP(E19,'Vehicle mapping'!$A$2:$B$12,2,FALSE)</f>
        <v>Mahindra</v>
      </c>
      <c r="G19" s="95" t="s">
        <v>77</v>
      </c>
      <c r="H19" s="95">
        <v>2019</v>
      </c>
      <c r="I19" s="96">
        <f>INDEX(AMD_OU_Data!$D$25:$M$38,MATCH(cost_base_improved!C19,AMD_OU_Data!$C$25:$C$38,0),MATCH(cost_base_improved!E19,AMD_OU_Data!$D$24:$M$24,0))</f>
        <v>16.829787347508621</v>
      </c>
      <c r="J19" s="96">
        <f>GETPIVOTDATA("Vehicle Capacity",'Pivot Table-1'!$G$16)</f>
        <v>1.5040526693998157</v>
      </c>
      <c r="K19" s="95" t="str">
        <f t="shared" si="0"/>
        <v>EMI</v>
      </c>
      <c r="L19" s="95">
        <f>INDEX(AMD_OU_Data!$D$43:$D$56,MATCH(cost_base_improved!C19,AMD_OU_Data!$C$43:$C$56,0))</f>
        <v>2700</v>
      </c>
      <c r="M19" s="97">
        <f>IF(G19="Market",0,(L19/I19*(INDEX(AMD_OU_Data!$E$43:$E$56,MATCH(cost_base_improved!C19,AMD_OU_Data!$C$43:$C$56,0)))))</f>
        <v>18194.528820724201</v>
      </c>
      <c r="N19" s="97">
        <f>IF(AND(K19="EMI",H19&gt;=2016),VLOOKUP(F19,AMD_EMI_Data!$A$7:$E$26,5,FALSE),0)</f>
        <v>11420.447400423482</v>
      </c>
      <c r="O19" s="97">
        <f>INDEX(AMD_OU_Data!$D$61:$M$74,MATCH(cost_base_improved!C19,AMD_OU_Data!$C$61:$C$74,0),MATCH(cost_base_improved!E19,AMD_OU_Data!$D$60:$M$60,0))</f>
        <v>8200</v>
      </c>
      <c r="P19" s="97">
        <f t="shared" si="1"/>
        <v>37814.976221147685</v>
      </c>
      <c r="Q19" s="97">
        <f t="shared" si="2"/>
        <v>28000</v>
      </c>
      <c r="R19" s="98">
        <f t="shared" si="3"/>
        <v>65814.976221147692</v>
      </c>
    </row>
    <row r="20" spans="1:18" ht="12.75" customHeight="1" x14ac:dyDescent="0.25">
      <c r="A20" s="89">
        <v>19</v>
      </c>
      <c r="B20" s="90" t="s">
        <v>91</v>
      </c>
      <c r="C20" s="90" t="str">
        <f>partner_vehicles_form_AMD!B16</f>
        <v>BVCB1</v>
      </c>
      <c r="D20" s="90" t="str">
        <f>partner_vehicles_form_AMD!C16</f>
        <v>GOHIL RAGHUVIRSINH R</v>
      </c>
      <c r="E20" s="90" t="s">
        <v>131</v>
      </c>
      <c r="F20" s="90" t="str">
        <f>VLOOKUP(E20,'Vehicle mapping'!$A$2:$B$12,2,FALSE)</f>
        <v>Mahindra</v>
      </c>
      <c r="G20" s="90" t="s">
        <v>137</v>
      </c>
      <c r="H20" s="90">
        <v>2020</v>
      </c>
      <c r="I20" s="91">
        <f>INDEX(AMD_OU_Data!$D$25:$M$38,MATCH(cost_base_improved!C20,AMD_OU_Data!$C$25:$C$38,0),MATCH(cost_base_improved!E20,AMD_OU_Data!$D$24:$M$24,0))</f>
        <v>9.8332980589745791</v>
      </c>
      <c r="J20" s="91">
        <f>GETPIVOTDATA("Vehicle Capacity",'Pivot Table-1'!$G$16)</f>
        <v>1.5040526693998157</v>
      </c>
      <c r="K20" s="90" t="str">
        <f t="shared" si="0"/>
        <v>Owned</v>
      </c>
      <c r="L20" s="90">
        <f>INDEX(AMD_OU_Data!$D$43:$D$56,MATCH(cost_base_improved!C20,AMD_OU_Data!$C$43:$C$56,0))</f>
        <v>2500</v>
      </c>
      <c r="M20" s="92">
        <f>IF(G20="Market",0,(L20/I20*(INDEX(AMD_OU_Data!$E$43:$E$56,MATCH(cost_base_improved!C20,AMD_OU_Data!$C$43:$C$56,0)))))</f>
        <v>24433.001229891568</v>
      </c>
      <c r="N20" s="92">
        <f>IF(AND(K20="EMI",H20&gt;=2016),VLOOKUP(F20,AMD_EMI_Data!$A$7:$E$26,5,FALSE),0)</f>
        <v>0</v>
      </c>
      <c r="O20" s="92">
        <f>INDEX(AMD_OU_Data!$D$61:$M$74,MATCH(cost_base_improved!C20,AMD_OU_Data!$C$61:$C$74,0),MATCH(cost_base_improved!E20,AMD_OU_Data!$D$60:$M$60,0))</f>
        <v>10200</v>
      </c>
      <c r="P20" s="92">
        <f t="shared" si="1"/>
        <v>34633.001229891568</v>
      </c>
      <c r="Q20" s="92">
        <f t="shared" si="2"/>
        <v>28000</v>
      </c>
      <c r="R20" s="93">
        <f t="shared" si="3"/>
        <v>62633.001229891568</v>
      </c>
    </row>
    <row r="21" spans="1:18" ht="12.75" customHeight="1" x14ac:dyDescent="0.25">
      <c r="A21" s="94">
        <v>20</v>
      </c>
      <c r="B21" s="95" t="s">
        <v>82</v>
      </c>
      <c r="C21" s="95" t="str">
        <f>partner_vehicles_form_AMD!B17</f>
        <v>AMDT1</v>
      </c>
      <c r="D21" s="95" t="str">
        <f>partner_vehicles_form_AMD!C17</f>
        <v>Gulamhusen Mohamad Ghanchi</v>
      </c>
      <c r="E21" s="95" t="s">
        <v>130</v>
      </c>
      <c r="F21" s="95" t="str">
        <f>VLOOKUP(E21,'Vehicle mapping'!$A$2:$B$12,2,FALSE)</f>
        <v>Eicher 17</v>
      </c>
      <c r="G21" s="95" t="s">
        <v>137</v>
      </c>
      <c r="H21" s="95">
        <v>2012</v>
      </c>
      <c r="I21" s="96">
        <f>INDEX(AMD_OU_Data!$D$25:$M$38,MATCH(cost_base_improved!C21,AMD_OU_Data!$C$25:$C$38,0),MATCH(cost_base_improved!E21,AMD_OU_Data!$D$24:$M$24,0))</f>
        <v>6.5525461364709248</v>
      </c>
      <c r="J21" s="96">
        <f>GETPIVOTDATA("Vehicle Capacity",'Pivot Table-1'!$J$3)</f>
        <v>5.8259590265690795</v>
      </c>
      <c r="K21" s="95" t="str">
        <f t="shared" si="0"/>
        <v>Owned</v>
      </c>
      <c r="L21" s="95">
        <f>INDEX(AMD_OU_Data!$D$43:$D$56,MATCH(cost_base_improved!C21,AMD_OU_Data!$C$43:$C$56,0))</f>
        <v>2900</v>
      </c>
      <c r="M21" s="97">
        <f>IF(G21="Market",0,(L21/I21*(INDEX(AMD_OU_Data!$E$43:$E$56,MATCH(cost_base_improved!C21,AMD_OU_Data!$C$43:$C$56,0)))))</f>
        <v>44474.742564298867</v>
      </c>
      <c r="N21" s="97">
        <f>IF(AND(K21="EMI",H21&gt;=2016),VLOOKUP(F21,AMD_EMI_Data!$A$7:$E$26,5,FALSE),0)</f>
        <v>0</v>
      </c>
      <c r="O21" s="97">
        <f>INDEX(AMD_OU_Data!$D$61:$M$74,MATCH(cost_base_improved!C21,AMD_OU_Data!$C$61:$C$74,0),MATCH(cost_base_improved!E21,AMD_OU_Data!$D$60:$M$60,0))</f>
        <v>12500</v>
      </c>
      <c r="P21" s="97">
        <f t="shared" si="1"/>
        <v>56974.742564298867</v>
      </c>
      <c r="Q21" s="97">
        <f t="shared" si="2"/>
        <v>36000</v>
      </c>
      <c r="R21" s="98">
        <f t="shared" si="3"/>
        <v>92974.742564298867</v>
      </c>
    </row>
    <row r="22" spans="1:18" ht="12.75" customHeight="1" x14ac:dyDescent="0.25">
      <c r="A22" s="89">
        <v>21</v>
      </c>
      <c r="B22" s="90" t="s">
        <v>82</v>
      </c>
      <c r="C22" s="90" t="str">
        <f>partner_vehicles_form_AMD!B18</f>
        <v>AMDT1</v>
      </c>
      <c r="D22" s="90" t="str">
        <f>partner_vehicles_form_AMD!C18</f>
        <v>GULZAR F MEMON</v>
      </c>
      <c r="E22" s="90" t="s">
        <v>142</v>
      </c>
      <c r="F22" s="90" t="str">
        <f>VLOOKUP(E22,'Vehicle mapping'!$A$2:$B$12,2,FALSE)</f>
        <v>Eicher 19</v>
      </c>
      <c r="G22" s="90" t="s">
        <v>128</v>
      </c>
      <c r="H22" s="99" t="s">
        <v>129</v>
      </c>
      <c r="I22" s="91">
        <f>INDEX(AMD_OU_Data!$D$25:$M$38,MATCH(cost_base_improved!C22,AMD_OU_Data!$C$25:$C$38,0),MATCH(cost_base_improved!E22,AMD_OU_Data!$D$24:$M$24,0))</f>
        <v>6.9433969910850388</v>
      </c>
      <c r="J22" s="91">
        <f>GETPIVOTDATA("Vehicle Capacity",'Pivot Table-1'!$M$3)</f>
        <v>7.4990589179901326</v>
      </c>
      <c r="K22" s="90" t="str">
        <f t="shared" si="0"/>
        <v>Market</v>
      </c>
      <c r="L22" s="90">
        <f>INDEX(AMD_OU_Data!$D$43:$D$56,MATCH(cost_base_improved!C22,AMD_OU_Data!$C$43:$C$56,0))</f>
        <v>2900</v>
      </c>
      <c r="M22" s="92">
        <f>IF(G22="Market",0,(L22/I22*(INDEX(AMD_OU_Data!$E$43:$E$56,MATCH(cost_base_improved!C22,AMD_OU_Data!$C$43:$C$56,0)))))</f>
        <v>0</v>
      </c>
      <c r="N22" s="92">
        <f>IF(AND(K22="EMI",H22&gt;=2016),VLOOKUP(F22,AMD_EMI_Data!$A$7:$E$26,5,FALSE),0)</f>
        <v>0</v>
      </c>
      <c r="O22" s="92">
        <f>INDEX(AMD_OU_Data!$D$61:$M$74,MATCH(cost_base_improved!C22,AMD_OU_Data!$C$61:$C$74,0),MATCH(cost_base_improved!E22,AMD_OU_Data!$D$60:$M$60,0))</f>
        <v>11400</v>
      </c>
      <c r="P22" s="92">
        <f t="shared" si="1"/>
        <v>80000</v>
      </c>
      <c r="Q22" s="92">
        <f t="shared" si="2"/>
        <v>16000</v>
      </c>
      <c r="R22" s="93">
        <f t="shared" si="3"/>
        <v>96000</v>
      </c>
    </row>
    <row r="23" spans="1:18" ht="12.75" customHeight="1" x14ac:dyDescent="0.25">
      <c r="A23" s="94">
        <v>22</v>
      </c>
      <c r="B23" s="95" t="s">
        <v>85</v>
      </c>
      <c r="C23" s="95" t="str">
        <f>partner_vehicles_form_AMD!B19</f>
        <v>JGAB1</v>
      </c>
      <c r="D23" s="95" t="str">
        <f>partner_vehicles_form_AMD!C19</f>
        <v>Hardik Patel</v>
      </c>
      <c r="E23" s="95" t="s">
        <v>127</v>
      </c>
      <c r="F23" s="95" t="str">
        <f>VLOOKUP(E23,'Vehicle mapping'!$A$2:$B$12,2,FALSE)</f>
        <v>Eicher 14</v>
      </c>
      <c r="G23" s="95" t="s">
        <v>77</v>
      </c>
      <c r="H23" s="95">
        <v>2020</v>
      </c>
      <c r="I23" s="96">
        <f>INDEX(AMD_OU_Data!$D$25:$M$38,MATCH(cost_base_improved!C23,AMD_OU_Data!$C$25:$C$38,0),MATCH(cost_base_improved!E23,AMD_OU_Data!$D$24:$M$24,0))</f>
        <v>8.5572888357740542</v>
      </c>
      <c r="J23" s="96">
        <f>GETPIVOTDATA("Vehicle Capacity",'Pivot Table-1'!$G$3)</f>
        <v>2.5078186848300463</v>
      </c>
      <c r="K23" s="95" t="str">
        <f t="shared" si="0"/>
        <v>EMI</v>
      </c>
      <c r="L23" s="95">
        <f>INDEX(AMD_OU_Data!$D$43:$D$56,MATCH(cost_base_improved!C23,AMD_OU_Data!$C$43:$C$56,0))</f>
        <v>1900</v>
      </c>
      <c r="M23" s="97">
        <f>IF(G23="Market",0,(L23/I23*(INDEX(AMD_OU_Data!$E$43:$E$56,MATCH(cost_base_improved!C23,AMD_OU_Data!$C$43:$C$56,0)))))</f>
        <v>22255.780277088084</v>
      </c>
      <c r="N23" s="97">
        <f>IF(AND(K23="EMI",H23&gt;=2016),VLOOKUP(F23,AMD_EMI_Data!$A$7:$E$26,5,FALSE),0)</f>
        <v>11420.447400423482</v>
      </c>
      <c r="O23" s="97">
        <f>INDEX(AMD_OU_Data!$D$61:$M$74,MATCH(cost_base_improved!C23,AMD_OU_Data!$C$61:$C$74,0),MATCH(cost_base_improved!E23,AMD_OU_Data!$D$60:$M$60,0))</f>
        <v>11900</v>
      </c>
      <c r="P23" s="97">
        <f t="shared" si="1"/>
        <v>45576.227677511568</v>
      </c>
      <c r="Q23" s="97">
        <f t="shared" si="2"/>
        <v>28000</v>
      </c>
      <c r="R23" s="98">
        <f t="shared" si="3"/>
        <v>73576.227677511575</v>
      </c>
    </row>
    <row r="24" spans="1:18" ht="12.75" customHeight="1" x14ac:dyDescent="0.25">
      <c r="A24" s="89">
        <v>23</v>
      </c>
      <c r="B24" s="90" t="s">
        <v>85</v>
      </c>
      <c r="C24" s="90" t="str">
        <f>partner_vehicles_form_AMD!B19</f>
        <v>JGAB1</v>
      </c>
      <c r="D24" s="90" t="str">
        <f>partner_vehicles_form_AMD!C19</f>
        <v>Hardik Patel</v>
      </c>
      <c r="E24" s="90" t="s">
        <v>133</v>
      </c>
      <c r="F24" s="90" t="str">
        <f>VLOOKUP(E24,'Vehicle mapping'!$A$2:$B$12,2,FALSE)</f>
        <v>Tata Ace</v>
      </c>
      <c r="G24" s="90" t="s">
        <v>137</v>
      </c>
      <c r="H24" s="90">
        <v>2018</v>
      </c>
      <c r="I24" s="91">
        <f>INDEX(AMD_OU_Data!$D$25:$M$38,MATCH(cost_base_improved!C24,AMD_OU_Data!$C$25:$C$38,0),MATCH(cost_base_improved!E24,AMD_OU_Data!$D$24:$M$24,0))</f>
        <v>17.527489465012966</v>
      </c>
      <c r="J24" s="91">
        <f>GETPIVOTDATA("Vehicle Capacity",'Pivot Table-1'!$K$20)</f>
        <v>0.87167911083665661</v>
      </c>
      <c r="K24" s="90" t="str">
        <f t="shared" si="0"/>
        <v>Owned</v>
      </c>
      <c r="L24" s="90">
        <f>INDEX(AMD_OU_Data!$D$43:$D$56,MATCH(cost_base_improved!C24,AMD_OU_Data!$C$43:$C$56,0))</f>
        <v>1900</v>
      </c>
      <c r="M24" s="92">
        <f>IF(G24="Market",0,(L24/I24*(INDEX(AMD_OU_Data!$E$43:$E$56,MATCH(cost_base_improved!C24,AMD_OU_Data!$C$43:$C$56,0)))))</f>
        <v>10865.739812694012</v>
      </c>
      <c r="N24" s="92">
        <f>IF(AND(K24="EMI",H24&gt;=2016),VLOOKUP(F24,AMD_EMI_Data!$A$7:$E$26,5,FALSE),0)</f>
        <v>0</v>
      </c>
      <c r="O24" s="92">
        <f>INDEX(AMD_OU_Data!$D$61:$M$74,MATCH(cost_base_improved!C24,AMD_OU_Data!$C$61:$C$74,0),MATCH(cost_base_improved!E24,AMD_OU_Data!$D$60:$M$60,0))</f>
        <v>10700</v>
      </c>
      <c r="P24" s="92">
        <f t="shared" si="1"/>
        <v>21565.73981269401</v>
      </c>
      <c r="Q24" s="92">
        <f t="shared" si="2"/>
        <v>28000</v>
      </c>
      <c r="R24" s="93">
        <f t="shared" si="3"/>
        <v>49565.73981269401</v>
      </c>
    </row>
    <row r="25" spans="1:18" ht="12.75" customHeight="1" x14ac:dyDescent="0.25">
      <c r="A25" s="94">
        <v>24</v>
      </c>
      <c r="B25" s="95" t="s">
        <v>90</v>
      </c>
      <c r="C25" s="95" t="str">
        <f>partner_vehicles_form_AMD!B20</f>
        <v>RAJB1</v>
      </c>
      <c r="D25" s="95" t="str">
        <f>partner_vehicles_form_AMD!C20</f>
        <v>Harun Abdul Bhai Theba</v>
      </c>
      <c r="E25" s="95" t="s">
        <v>131</v>
      </c>
      <c r="F25" s="95" t="str">
        <f>VLOOKUP(E25,'Vehicle mapping'!$A$2:$B$12,2,FALSE)</f>
        <v>Mahindra</v>
      </c>
      <c r="G25" s="95" t="s">
        <v>137</v>
      </c>
      <c r="H25" s="95">
        <v>2013</v>
      </c>
      <c r="I25" s="96">
        <f>INDEX(AMD_OU_Data!$D$25:$M$38,MATCH(cost_base_improved!C25,AMD_OU_Data!$C$25:$C$38,0),MATCH(cost_base_improved!E25,AMD_OU_Data!$D$24:$M$24,0))</f>
        <v>9.8850325042295175</v>
      </c>
      <c r="J25" s="96">
        <f>GETPIVOTDATA("Vehicle Capacity",'Pivot Table-1'!$G$16)</f>
        <v>1.5040526693998157</v>
      </c>
      <c r="K25" s="95" t="str">
        <f t="shared" si="0"/>
        <v>Owned</v>
      </c>
      <c r="L25" s="95">
        <f>INDEX(AMD_OU_Data!$D$43:$D$56,MATCH(cost_base_improved!C25,AMD_OU_Data!$C$43:$C$56,0))</f>
        <v>1800</v>
      </c>
      <c r="M25" s="97">
        <f>IF(G25="Market",0,(L25/I25*(INDEX(AMD_OU_Data!$E$43:$E$56,MATCH(cost_base_improved!C25,AMD_OU_Data!$C$43:$C$56,0)))))</f>
        <v>16514.804651662827</v>
      </c>
      <c r="N25" s="97">
        <f>IF(AND(K25="EMI",H25&gt;=2016),VLOOKUP(F25,AMD_EMI_Data!$A$7:$E$26,5,FALSE),0)</f>
        <v>0</v>
      </c>
      <c r="O25" s="97">
        <f>INDEX(AMD_OU_Data!$D$61:$M$74,MATCH(cost_base_improved!C25,AMD_OU_Data!$C$61:$C$74,0),MATCH(cost_base_improved!E25,AMD_OU_Data!$D$60:$M$60,0))</f>
        <v>8600</v>
      </c>
      <c r="P25" s="97">
        <f t="shared" si="1"/>
        <v>25114.804651662827</v>
      </c>
      <c r="Q25" s="97">
        <f t="shared" si="2"/>
        <v>28000</v>
      </c>
      <c r="R25" s="98">
        <f t="shared" si="3"/>
        <v>53114.804651662824</v>
      </c>
    </row>
    <row r="26" spans="1:18" ht="12.75" customHeight="1" x14ac:dyDescent="0.25">
      <c r="A26" s="89">
        <v>25</v>
      </c>
      <c r="B26" s="90" t="s">
        <v>87</v>
      </c>
      <c r="C26" s="90" t="str">
        <f>partner_vehicles_form_AMD!B21</f>
        <v>BDQT1</v>
      </c>
      <c r="D26" s="90" t="str">
        <f>partner_vehicles_form_AMD!C21</f>
        <v>Inderkumar moolchand gupta</v>
      </c>
      <c r="E26" s="90" t="s">
        <v>127</v>
      </c>
      <c r="F26" s="90" t="str">
        <f>VLOOKUP(E26,'Vehicle mapping'!$A$2:$B$12,2,FALSE)</f>
        <v>Eicher 14</v>
      </c>
      <c r="G26" s="90" t="s">
        <v>128</v>
      </c>
      <c r="H26" s="99" t="s">
        <v>129</v>
      </c>
      <c r="I26" s="91">
        <f>INDEX(AMD_OU_Data!$D$25:$M$38,MATCH(cost_base_improved!C26,AMD_OU_Data!$C$25:$C$38,0),MATCH(cost_base_improved!E26,AMD_OU_Data!$D$24:$M$24,0))</f>
        <v>12.597885435760045</v>
      </c>
      <c r="J26" s="91">
        <f>GETPIVOTDATA("Vehicle Capacity",'Pivot Table-1'!$G$3)</f>
        <v>2.5078186848300463</v>
      </c>
      <c r="K26" s="90" t="str">
        <f t="shared" si="0"/>
        <v>Market</v>
      </c>
      <c r="L26" s="90">
        <f>INDEX(AMD_OU_Data!$D$43:$D$56,MATCH(cost_base_improved!C26,AMD_OU_Data!$C$43:$C$56,0))</f>
        <v>3000</v>
      </c>
      <c r="M26" s="92">
        <f>IF(G26="Market",0,(L26/I26*(INDEX(AMD_OU_Data!$E$43:$E$56,MATCH(cost_base_improved!C26,AMD_OU_Data!$C$43:$C$56,0)))))</f>
        <v>0</v>
      </c>
      <c r="N26" s="92">
        <f>IF(AND(K26="EMI",H26&gt;=2016),VLOOKUP(F26,AMD_EMI_Data!$A$7:$E$26,5,FALSE),0)</f>
        <v>0</v>
      </c>
      <c r="O26" s="92">
        <f>INDEX(AMD_OU_Data!$D$61:$M$74,MATCH(cost_base_improved!C26,AMD_OU_Data!$C$61:$C$74,0),MATCH(cost_base_improved!E26,AMD_OU_Data!$D$60:$M$60,0))</f>
        <v>15100</v>
      </c>
      <c r="P26" s="92">
        <f t="shared" si="1"/>
        <v>40000</v>
      </c>
      <c r="Q26" s="92">
        <f t="shared" si="2"/>
        <v>8000</v>
      </c>
      <c r="R26" s="93">
        <f t="shared" si="3"/>
        <v>48000</v>
      </c>
    </row>
    <row r="27" spans="1:18" ht="12.75" customHeight="1" x14ac:dyDescent="0.25">
      <c r="A27" s="94">
        <v>26</v>
      </c>
      <c r="B27" s="95" t="s">
        <v>87</v>
      </c>
      <c r="C27" s="95" t="str">
        <f>partner_vehicles_form_AMD!B21</f>
        <v>BDQT1</v>
      </c>
      <c r="D27" s="95" t="str">
        <f>partner_vehicles_form_AMD!C21</f>
        <v>Inderkumar moolchand gupta</v>
      </c>
      <c r="E27" s="95" t="s">
        <v>132</v>
      </c>
      <c r="F27" s="95" t="str">
        <f>VLOOKUP(E27,'Vehicle mapping'!$A$2:$B$12,2,FALSE)</f>
        <v>AL Dost</v>
      </c>
      <c r="G27" s="95" t="s">
        <v>77</v>
      </c>
      <c r="H27" s="95">
        <v>2019</v>
      </c>
      <c r="I27" s="96">
        <f>INDEX(AMD_OU_Data!$D$25:$M$38,MATCH(cost_base_improved!C27,AMD_OU_Data!$C$25:$C$38,0),MATCH(cost_base_improved!E27,AMD_OU_Data!$D$24:$M$24,0))</f>
        <v>16.206961290646341</v>
      </c>
      <c r="J27" s="96">
        <f>GETPIVOTDATA("Vehicle Capacity",'Pivot Table-1'!$D$3)</f>
        <v>1.2617401368798644</v>
      </c>
      <c r="K27" s="95" t="str">
        <f t="shared" si="0"/>
        <v>EMI</v>
      </c>
      <c r="L27" s="95">
        <f>INDEX(AMD_OU_Data!$D$43:$D$56,MATCH(cost_base_improved!C27,AMD_OU_Data!$C$43:$C$56,0))</f>
        <v>3000</v>
      </c>
      <c r="M27" s="97">
        <f>IF(G27="Market",0,(L27/I27*(INDEX(AMD_OU_Data!$E$43:$E$56,MATCH(cost_base_improved!C27,AMD_OU_Data!$C$43:$C$56,0)))))</f>
        <v>14542.423275093808</v>
      </c>
      <c r="N27" s="97">
        <f>IF(AND(K27="EMI",H27&gt;=2016),VLOOKUP(F27,AMD_EMI_Data!$A$7:$E$26,5,FALSE),0)</f>
        <v>7613.6316002823205</v>
      </c>
      <c r="O27" s="97">
        <f>INDEX(AMD_OU_Data!$D$61:$M$74,MATCH(cost_base_improved!C27,AMD_OU_Data!$C$61:$C$74,0),MATCH(cost_base_improved!E27,AMD_OU_Data!$D$60:$M$60,0))</f>
        <v>10200</v>
      </c>
      <c r="P27" s="97">
        <f t="shared" si="1"/>
        <v>32356.054875376129</v>
      </c>
      <c r="Q27" s="97">
        <f t="shared" si="2"/>
        <v>28000</v>
      </c>
      <c r="R27" s="98">
        <f t="shared" si="3"/>
        <v>60356.054875376125</v>
      </c>
    </row>
    <row r="28" spans="1:18" ht="12.75" customHeight="1" x14ac:dyDescent="0.25">
      <c r="A28" s="89">
        <v>27</v>
      </c>
      <c r="B28" s="90" t="s">
        <v>87</v>
      </c>
      <c r="C28" s="90" t="str">
        <f>partner_vehicles_form_AMD!B21</f>
        <v>BDQT1</v>
      </c>
      <c r="D28" s="90" t="str">
        <f>partner_vehicles_form_AMD!C21</f>
        <v>Inderkumar moolchand gupta</v>
      </c>
      <c r="E28" s="90" t="s">
        <v>141</v>
      </c>
      <c r="F28" s="90" t="str">
        <f>VLOOKUP(E28,'Vehicle mapping'!$A$2:$B$12,2,FALSE)</f>
        <v>Super ace</v>
      </c>
      <c r="G28" s="90" t="s">
        <v>77</v>
      </c>
      <c r="H28" s="90">
        <v>2018</v>
      </c>
      <c r="I28" s="91">
        <f>INDEX(AMD_OU_Data!$D$25:$M$38,MATCH(cost_base_improved!C28,AMD_OU_Data!$C$25:$C$38,0),MATCH(cost_base_improved!E28,AMD_OU_Data!$D$24:$M$24,0))</f>
        <v>9.9226528824228826</v>
      </c>
      <c r="J28" s="91">
        <f>GETPIVOTDATA("Vehicle Capacity",'Pivot Table-1'!$A$18)</f>
        <v>1.5355205199174393</v>
      </c>
      <c r="K28" s="90" t="str">
        <f t="shared" si="0"/>
        <v>EMI</v>
      </c>
      <c r="L28" s="90">
        <f>INDEX(AMD_OU_Data!$D$43:$D$56,MATCH(cost_base_improved!C28,AMD_OU_Data!$C$43:$C$56,0))</f>
        <v>3000</v>
      </c>
      <c r="M28" s="92">
        <f>IF(G28="Market",0,(L28/I28*(INDEX(AMD_OU_Data!$E$43:$E$56,MATCH(cost_base_improved!C28,AMD_OU_Data!$C$43:$C$56,0)))))</f>
        <v>23752.568379081509</v>
      </c>
      <c r="N28" s="92">
        <f>IF(AND(K28="EMI",H28&gt;=2016),VLOOKUP(F28,AMD_EMI_Data!$A$7:$E$26,5,FALSE),0)</f>
        <v>8374.9947603105538</v>
      </c>
      <c r="O28" s="92">
        <f>INDEX(AMD_OU_Data!$D$61:$M$74,MATCH(cost_base_improved!C28,AMD_OU_Data!$C$61:$C$74,0),MATCH(cost_base_improved!E28,AMD_OU_Data!$D$60:$M$60,0))</f>
        <v>10500</v>
      </c>
      <c r="P28" s="92">
        <f t="shared" si="1"/>
        <v>42627.563139392063</v>
      </c>
      <c r="Q28" s="92">
        <f t="shared" si="2"/>
        <v>28000</v>
      </c>
      <c r="R28" s="93">
        <f t="shared" si="3"/>
        <v>70627.563139392063</v>
      </c>
    </row>
    <row r="29" spans="1:18" ht="12.75" customHeight="1" x14ac:dyDescent="0.25">
      <c r="A29" s="94">
        <v>28</v>
      </c>
      <c r="B29" s="95" t="s">
        <v>87</v>
      </c>
      <c r="C29" s="95" t="str">
        <f>partner_vehicles_form_AMD!B22</f>
        <v>BDQT1</v>
      </c>
      <c r="D29" s="95" t="str">
        <f>partner_vehicles_form_AMD!C22</f>
        <v>Karan Mistry_Delivery</v>
      </c>
      <c r="E29" s="95" t="s">
        <v>133</v>
      </c>
      <c r="F29" s="95" t="str">
        <f>VLOOKUP(E29,'Vehicle mapping'!$A$2:$B$12,2,FALSE)</f>
        <v>Tata Ace</v>
      </c>
      <c r="G29" s="95" t="s">
        <v>77</v>
      </c>
      <c r="H29" s="95">
        <v>2013</v>
      </c>
      <c r="I29" s="96">
        <f>INDEX(AMD_OU_Data!$D$25:$M$38,MATCH(cost_base_improved!C29,AMD_OU_Data!$C$25:$C$38,0),MATCH(cost_base_improved!E29,AMD_OU_Data!$D$24:$M$24,0))</f>
        <v>18.889971546597494</v>
      </c>
      <c r="J29" s="96">
        <f>GETPIVOTDATA("Vehicle Capacity",'Pivot Table-1'!$K$20)</f>
        <v>0.87167911083665661</v>
      </c>
      <c r="K29" s="95" t="str">
        <f t="shared" si="0"/>
        <v>EMI</v>
      </c>
      <c r="L29" s="95">
        <f>INDEX(AMD_OU_Data!$D$43:$D$56,MATCH(cost_base_improved!C29,AMD_OU_Data!$C$43:$C$56,0))</f>
        <v>3000</v>
      </c>
      <c r="M29" s="97">
        <f>IF(G29="Market",0,(L29/I29*(INDEX(AMD_OU_Data!$E$43:$E$56,MATCH(cost_base_improved!C29,AMD_OU_Data!$C$43:$C$56,0)))))</f>
        <v>12476.910857713416</v>
      </c>
      <c r="N29" s="97">
        <f>IF(AND(K29="EMI",H29&gt;=2016),VLOOKUP(F29,AMD_EMI_Data!$A$7:$E$26,5,FALSE),0)</f>
        <v>0</v>
      </c>
      <c r="O29" s="97">
        <f>INDEX(AMD_OU_Data!$D$61:$M$74,MATCH(cost_base_improved!C29,AMD_OU_Data!$C$61:$C$74,0),MATCH(cost_base_improved!E29,AMD_OU_Data!$D$60:$M$60,0))</f>
        <v>10700</v>
      </c>
      <c r="P29" s="97">
        <f t="shared" si="1"/>
        <v>23176.910857713417</v>
      </c>
      <c r="Q29" s="97">
        <f t="shared" si="2"/>
        <v>28000</v>
      </c>
      <c r="R29" s="98">
        <f t="shared" si="3"/>
        <v>51176.910857713417</v>
      </c>
    </row>
    <row r="30" spans="1:18" ht="12.75" customHeight="1" x14ac:dyDescent="0.25">
      <c r="A30" s="89">
        <v>29</v>
      </c>
      <c r="B30" s="90" t="s">
        <v>87</v>
      </c>
      <c r="C30" s="90" t="str">
        <f>partner_vehicles_form_AMD!B22</f>
        <v>BDQT1</v>
      </c>
      <c r="D30" s="90" t="str">
        <f>partner_vehicles_form_AMD!C22</f>
        <v>Karan Mistry_Delivery</v>
      </c>
      <c r="E30" s="90" t="s">
        <v>141</v>
      </c>
      <c r="F30" s="90" t="str">
        <f>VLOOKUP(E30,'Vehicle mapping'!$A$2:$B$12,2,FALSE)</f>
        <v>Super ace</v>
      </c>
      <c r="G30" s="90" t="s">
        <v>137</v>
      </c>
      <c r="H30" s="90">
        <v>2015</v>
      </c>
      <c r="I30" s="91">
        <f>INDEX(AMD_OU_Data!$D$25:$M$38,MATCH(cost_base_improved!C30,AMD_OU_Data!$C$25:$C$38,0),MATCH(cost_base_improved!E30,AMD_OU_Data!$D$24:$M$24,0))</f>
        <v>9.9226528824228826</v>
      </c>
      <c r="J30" s="91">
        <f>GETPIVOTDATA("Vehicle Capacity",'Pivot Table-1'!$A$18)</f>
        <v>1.5355205199174393</v>
      </c>
      <c r="K30" s="90" t="str">
        <f t="shared" si="0"/>
        <v>Owned</v>
      </c>
      <c r="L30" s="90">
        <f>INDEX(AMD_OU_Data!$D$43:$D$56,MATCH(cost_base_improved!C30,AMD_OU_Data!$C$43:$C$56,0))</f>
        <v>3000</v>
      </c>
      <c r="M30" s="92">
        <f>IF(G30="Market",0,(L30/I30*(INDEX(AMD_OU_Data!$E$43:$E$56,MATCH(cost_base_improved!C30,AMD_OU_Data!$C$43:$C$56,0)))))</f>
        <v>23752.568379081509</v>
      </c>
      <c r="N30" s="92">
        <f>IF(AND(K30="EMI",H30&gt;=2016),VLOOKUP(F30,AMD_EMI_Data!$A$7:$E$26,5,FALSE),0)</f>
        <v>0</v>
      </c>
      <c r="O30" s="92">
        <f>INDEX(AMD_OU_Data!$D$61:$M$74,MATCH(cost_base_improved!C30,AMD_OU_Data!$C$61:$C$74,0),MATCH(cost_base_improved!E30,AMD_OU_Data!$D$60:$M$60,0))</f>
        <v>10500</v>
      </c>
      <c r="P30" s="92">
        <f t="shared" si="1"/>
        <v>34252.568379081509</v>
      </c>
      <c r="Q30" s="92">
        <f t="shared" si="2"/>
        <v>28000</v>
      </c>
      <c r="R30" s="93">
        <f t="shared" si="3"/>
        <v>62252.568379081509</v>
      </c>
    </row>
    <row r="31" spans="1:18" ht="12.75" customHeight="1" x14ac:dyDescent="0.25">
      <c r="A31" s="94">
        <v>30</v>
      </c>
      <c r="B31" s="95" t="s">
        <v>82</v>
      </c>
      <c r="C31" s="95" t="str">
        <f>partner_vehicles_form_AMD!B23</f>
        <v>AMDT1</v>
      </c>
      <c r="D31" s="95" t="str">
        <f>partner_vehicles_form_AMD!C23</f>
        <v>LALAJI BHAI THAKOR</v>
      </c>
      <c r="E31" s="95" t="s">
        <v>132</v>
      </c>
      <c r="F31" s="95" t="str">
        <f>VLOOKUP(E31,'Vehicle mapping'!$A$2:$B$12,2,FALSE)</f>
        <v>AL Dost</v>
      </c>
      <c r="G31" s="95" t="s">
        <v>77</v>
      </c>
      <c r="H31" s="95">
        <v>2013</v>
      </c>
      <c r="I31" s="96">
        <f>INDEX(AMD_OU_Data!$D$25:$M$38,MATCH(cost_base_improved!C31,AMD_OU_Data!$C$25:$C$38,0),MATCH(cost_base_improved!E31,AMD_OU_Data!$D$24:$M$24,0))</f>
        <v>13.451738176402987</v>
      </c>
      <c r="J31" s="96">
        <f>GETPIVOTDATA("Vehicle Capacity",'Pivot Table-1'!$D$3)</f>
        <v>1.2617401368798644</v>
      </c>
      <c r="K31" s="95" t="str">
        <f t="shared" si="0"/>
        <v>EMI</v>
      </c>
      <c r="L31" s="95">
        <f>INDEX(AMD_OU_Data!$D$43:$D$56,MATCH(cost_base_improved!C31,AMD_OU_Data!$C$43:$C$56,0))</f>
        <v>2900</v>
      </c>
      <c r="M31" s="97">
        <f>IF(G31="Market",0,(L31/I31*(INDEX(AMD_OU_Data!$E$43:$E$56,MATCH(cost_base_improved!C31,AMD_OU_Data!$C$43:$C$56,0)))))</f>
        <v>21664.323133455633</v>
      </c>
      <c r="N31" s="97">
        <f>IF(AND(K31="EMI",H31&gt;=2016),VLOOKUP(F31,AMD_EMI_Data!$A$7:$E$26,5,FALSE),0)</f>
        <v>0</v>
      </c>
      <c r="O31" s="97">
        <f>INDEX(AMD_OU_Data!$D$61:$M$74,MATCH(cost_base_improved!C31,AMD_OU_Data!$C$61:$C$74,0),MATCH(cost_base_improved!E31,AMD_OU_Data!$D$60:$M$60,0))</f>
        <v>7600</v>
      </c>
      <c r="P31" s="97">
        <f t="shared" si="1"/>
        <v>29264.323133455633</v>
      </c>
      <c r="Q31" s="97">
        <f t="shared" si="2"/>
        <v>28000</v>
      </c>
      <c r="R31" s="98">
        <f t="shared" si="3"/>
        <v>57264.323133455633</v>
      </c>
    </row>
    <row r="32" spans="1:18" ht="12.75" customHeight="1" x14ac:dyDescent="0.25">
      <c r="A32" s="89">
        <v>31</v>
      </c>
      <c r="B32" s="90" t="s">
        <v>92</v>
      </c>
      <c r="C32" s="90" t="str">
        <f>partner_vehicles_form_AMD!B24</f>
        <v>AKVB1</v>
      </c>
      <c r="D32" s="90" t="str">
        <f>partner_vehicles_form_AMD!C24</f>
        <v>MAMATA PAL</v>
      </c>
      <c r="E32" s="90" t="s">
        <v>132</v>
      </c>
      <c r="F32" s="90" t="str">
        <f>VLOOKUP(E32,'Vehicle mapping'!$A$2:$B$12,2,FALSE)</f>
        <v>AL Dost</v>
      </c>
      <c r="G32" s="90" t="s">
        <v>137</v>
      </c>
      <c r="H32" s="90">
        <v>2011</v>
      </c>
      <c r="I32" s="91">
        <f>INDEX(AMD_OU_Data!$D$25:$M$38,MATCH(cost_base_improved!C32,AMD_OU_Data!$C$25:$C$38,0),MATCH(cost_base_improved!E32,AMD_OU_Data!$D$24:$M$24,0))</f>
        <v>12.342261159350826</v>
      </c>
      <c r="J32" s="91">
        <f>GETPIVOTDATA("Vehicle Capacity",'Pivot Table-1'!$D$3)</f>
        <v>1.2617401368798644</v>
      </c>
      <c r="K32" s="90" t="str">
        <f t="shared" si="0"/>
        <v>Owned</v>
      </c>
      <c r="L32" s="90">
        <f>INDEX(AMD_OU_Data!$D$43:$D$56,MATCH(cost_base_improved!C32,AMD_OU_Data!$C$43:$C$56,0))</f>
        <v>2400</v>
      </c>
      <c r="M32" s="92">
        <f>IF(G32="Market",0,(L32/I32*(INDEX(AMD_OU_Data!$E$43:$E$56,MATCH(cost_base_improved!C32,AMD_OU_Data!$C$43:$C$56,0)))))</f>
        <v>19100.862449123269</v>
      </c>
      <c r="N32" s="92">
        <f>IF(AND(K32="EMI",H32&gt;=2016),VLOOKUP(F32,AMD_EMI_Data!$A$7:$E$26,5,FALSE),0)</f>
        <v>0</v>
      </c>
      <c r="O32" s="92">
        <f>INDEX(AMD_OU_Data!$D$61:$M$74,MATCH(cost_base_improved!C32,AMD_OU_Data!$C$61:$C$74,0),MATCH(cost_base_improved!E32,AMD_OU_Data!$D$60:$M$60,0))</f>
        <v>6500</v>
      </c>
      <c r="P32" s="92">
        <f t="shared" si="1"/>
        <v>25600.862449123269</v>
      </c>
      <c r="Q32" s="92">
        <f t="shared" si="2"/>
        <v>28000</v>
      </c>
      <c r="R32" s="93">
        <f t="shared" si="3"/>
        <v>53600.862449123269</v>
      </c>
    </row>
    <row r="33" spans="1:18" ht="12.75" customHeight="1" x14ac:dyDescent="0.25">
      <c r="A33" s="94">
        <v>32</v>
      </c>
      <c r="B33" s="95" t="s">
        <v>86</v>
      </c>
      <c r="C33" s="95" t="str">
        <f>partner_vehicles_form_AMD!B25</f>
        <v>STVT1</v>
      </c>
      <c r="D33" s="95" t="str">
        <f>partner_vehicles_form_AMD!C25</f>
        <v>MANISHA PRAVIN PATIL</v>
      </c>
      <c r="E33" s="95" t="s">
        <v>127</v>
      </c>
      <c r="F33" s="95" t="str">
        <f>VLOOKUP(E33,'Vehicle mapping'!$A$2:$B$12,2,FALSE)</f>
        <v>Eicher 14</v>
      </c>
      <c r="G33" s="95" t="s">
        <v>128</v>
      </c>
      <c r="H33" s="100" t="s">
        <v>129</v>
      </c>
      <c r="I33" s="96">
        <f>INDEX(AMD_OU_Data!$D$25:$M$38,MATCH(cost_base_improved!C33,AMD_OU_Data!$C$25:$C$38,0),MATCH(cost_base_improved!E33,AMD_OU_Data!$D$24:$M$24,0))</f>
        <v>13.044642984582476</v>
      </c>
      <c r="J33" s="96">
        <f>GETPIVOTDATA("Vehicle Capacity",'Pivot Table-1'!$G$3)</f>
        <v>2.5078186848300463</v>
      </c>
      <c r="K33" s="95" t="str">
        <f t="shared" si="0"/>
        <v>Market</v>
      </c>
      <c r="L33" s="95">
        <f>INDEX(AMD_OU_Data!$D$43:$D$56,MATCH(cost_base_improved!C33,AMD_OU_Data!$C$43:$C$56,0))</f>
        <v>2900</v>
      </c>
      <c r="M33" s="97">
        <f>IF(G33="Market",0,(L33/I33*(INDEX(AMD_OU_Data!$E$43:$E$56,MATCH(cost_base_improved!C33,AMD_OU_Data!$C$43:$C$56,0)))))</f>
        <v>0</v>
      </c>
      <c r="N33" s="97">
        <f>IF(AND(K33="EMI",H33&gt;=2016),VLOOKUP(F33,AMD_EMI_Data!$A$7:$E$26,5,FALSE),0)</f>
        <v>0</v>
      </c>
      <c r="O33" s="97">
        <f>INDEX(AMD_OU_Data!$D$61:$M$74,MATCH(cost_base_improved!C33,AMD_OU_Data!$C$61:$C$74,0),MATCH(cost_base_improved!E33,AMD_OU_Data!$D$60:$M$60,0))</f>
        <v>18700</v>
      </c>
      <c r="P33" s="97">
        <f t="shared" si="1"/>
        <v>40000</v>
      </c>
      <c r="Q33" s="97">
        <f t="shared" si="2"/>
        <v>8000</v>
      </c>
      <c r="R33" s="98">
        <f t="shared" si="3"/>
        <v>48000</v>
      </c>
    </row>
    <row r="34" spans="1:18" ht="12.75" customHeight="1" x14ac:dyDescent="0.25">
      <c r="A34" s="89">
        <v>33</v>
      </c>
      <c r="B34" s="90" t="s">
        <v>86</v>
      </c>
      <c r="C34" s="90" t="str">
        <f>partner_vehicles_form_AMD!B25</f>
        <v>STVT1</v>
      </c>
      <c r="D34" s="90" t="str">
        <f>partner_vehicles_form_AMD!C25</f>
        <v>MANISHA PRAVIN PATIL</v>
      </c>
      <c r="E34" s="90" t="s">
        <v>133</v>
      </c>
      <c r="F34" s="90" t="str">
        <f>VLOOKUP(E34,'Vehicle mapping'!$A$2:$B$12,2,FALSE)</f>
        <v>Tata Ace</v>
      </c>
      <c r="G34" s="90" t="s">
        <v>137</v>
      </c>
      <c r="H34" s="90">
        <v>2013</v>
      </c>
      <c r="I34" s="91">
        <f>INDEX(AMD_OU_Data!$D$25:$M$38,MATCH(cost_base_improved!C34,AMD_OU_Data!$C$25:$C$38,0),MATCH(cost_base_improved!E34,AMD_OU_Data!$D$24:$M$24,0))</f>
        <v>17.294647938760768</v>
      </c>
      <c r="J34" s="91">
        <f>GETPIVOTDATA("Vehicle Capacity",'Pivot Table-1'!$K$20)</f>
        <v>0.87167911083665661</v>
      </c>
      <c r="K34" s="90" t="str">
        <f t="shared" si="0"/>
        <v>Owned</v>
      </c>
      <c r="L34" s="90">
        <f>INDEX(AMD_OU_Data!$D$43:$D$56,MATCH(cost_base_improved!C34,AMD_OU_Data!$C$43:$C$56,0))</f>
        <v>2900</v>
      </c>
      <c r="M34" s="92">
        <f>IF(G34="Market",0,(L34/I34*(INDEX(AMD_OU_Data!$E$43:$E$56,MATCH(cost_base_improved!C34,AMD_OU_Data!$C$43:$C$56,0)))))</f>
        <v>16669.829348340325</v>
      </c>
      <c r="N34" s="92">
        <f>IF(AND(K34="EMI",H34&gt;=2016),VLOOKUP(F34,AMD_EMI_Data!$A$7:$E$26,5,FALSE),0)</f>
        <v>0</v>
      </c>
      <c r="O34" s="92">
        <f>INDEX(AMD_OU_Data!$D$61:$M$74,MATCH(cost_base_improved!C34,AMD_OU_Data!$C$61:$C$74,0),MATCH(cost_base_improved!E34,AMD_OU_Data!$D$60:$M$60,0))</f>
        <v>11500</v>
      </c>
      <c r="P34" s="92">
        <f t="shared" si="1"/>
        <v>28169.829348340325</v>
      </c>
      <c r="Q34" s="92">
        <f t="shared" si="2"/>
        <v>28000</v>
      </c>
      <c r="R34" s="93">
        <f t="shared" si="3"/>
        <v>56169.829348340325</v>
      </c>
    </row>
    <row r="35" spans="1:18" ht="12.75" customHeight="1" x14ac:dyDescent="0.25">
      <c r="A35" s="94">
        <v>34</v>
      </c>
      <c r="B35" s="95" t="s">
        <v>87</v>
      </c>
      <c r="C35" s="95" t="str">
        <f>partner_vehicles_form_AMD!B26</f>
        <v>BDQT1</v>
      </c>
      <c r="D35" s="95" t="str">
        <f>partner_vehicles_form_AMD!C26</f>
        <v>Meenakshi Gupta</v>
      </c>
      <c r="E35" s="95" t="s">
        <v>132</v>
      </c>
      <c r="F35" s="95" t="str">
        <f>VLOOKUP(E35,'Vehicle mapping'!$A$2:$B$12,2,FALSE)</f>
        <v>AL Dost</v>
      </c>
      <c r="G35" s="95" t="s">
        <v>137</v>
      </c>
      <c r="H35" s="95">
        <v>2015</v>
      </c>
      <c r="I35" s="96">
        <f>INDEX(AMD_OU_Data!$D$25:$M$38,MATCH(cost_base_improved!C35,AMD_OU_Data!$C$25:$C$38,0),MATCH(cost_base_improved!E35,AMD_OU_Data!$D$24:$M$24,0))</f>
        <v>16.206961290646341</v>
      </c>
      <c r="J35" s="96">
        <f>GETPIVOTDATA("Vehicle Capacity",'Pivot Table-1'!$D$3)</f>
        <v>1.2617401368798644</v>
      </c>
      <c r="K35" s="95" t="str">
        <f t="shared" si="0"/>
        <v>Owned</v>
      </c>
      <c r="L35" s="95">
        <f>INDEX(AMD_OU_Data!$D$43:$D$56,MATCH(cost_base_improved!C35,AMD_OU_Data!$C$43:$C$56,0))</f>
        <v>3000</v>
      </c>
      <c r="M35" s="97">
        <f>IF(G35="Market",0,(L35/I35*(INDEX(AMD_OU_Data!$E$43:$E$56,MATCH(cost_base_improved!C35,AMD_OU_Data!$C$43:$C$56,0)))))</f>
        <v>14542.423275093808</v>
      </c>
      <c r="N35" s="97">
        <f>IF(AND(K35="EMI",H35&gt;=2016),VLOOKUP(F35,AMD_EMI_Data!$A$7:$E$26,5,FALSE),0)</f>
        <v>0</v>
      </c>
      <c r="O35" s="97">
        <f>INDEX(AMD_OU_Data!$D$61:$M$74,MATCH(cost_base_improved!C35,AMD_OU_Data!$C$61:$C$74,0),MATCH(cost_base_improved!E35,AMD_OU_Data!$D$60:$M$60,0))</f>
        <v>10200</v>
      </c>
      <c r="P35" s="97">
        <f t="shared" si="1"/>
        <v>24742.42327509381</v>
      </c>
      <c r="Q35" s="97">
        <f t="shared" si="2"/>
        <v>28000</v>
      </c>
      <c r="R35" s="98">
        <f t="shared" si="3"/>
        <v>52742.42327509381</v>
      </c>
    </row>
    <row r="36" spans="1:18" ht="12.75" customHeight="1" x14ac:dyDescent="0.25">
      <c r="A36" s="89">
        <v>35</v>
      </c>
      <c r="B36" s="90" t="s">
        <v>86</v>
      </c>
      <c r="C36" s="90" t="str">
        <f>partner_vehicles_form_AMD!B27</f>
        <v>STVT1</v>
      </c>
      <c r="D36" s="90" t="str">
        <f>partner_vehicles_form_AMD!C27</f>
        <v>mo. Farukh</v>
      </c>
      <c r="E36" s="90" t="s">
        <v>132</v>
      </c>
      <c r="F36" s="90" t="str">
        <f>VLOOKUP(E36,'Vehicle mapping'!$A$2:$B$12,2,FALSE)</f>
        <v>AL Dost</v>
      </c>
      <c r="G36" s="90" t="s">
        <v>137</v>
      </c>
      <c r="H36" s="90">
        <v>2014</v>
      </c>
      <c r="I36" s="91">
        <f>INDEX(AMD_OU_Data!$D$25:$M$38,MATCH(cost_base_improved!C36,AMD_OU_Data!$C$25:$C$38,0),MATCH(cost_base_improved!E36,AMD_OU_Data!$D$24:$M$24,0))</f>
        <v>6.5028597954101208</v>
      </c>
      <c r="J36" s="91">
        <f>GETPIVOTDATA("Vehicle Capacity",'Pivot Table-1'!$D$3)</f>
        <v>1.2617401368798644</v>
      </c>
      <c r="K36" s="90" t="str">
        <f t="shared" si="0"/>
        <v>Owned</v>
      </c>
      <c r="L36" s="90">
        <f>INDEX(AMD_OU_Data!$D$43:$D$56,MATCH(cost_base_improved!C36,AMD_OU_Data!$C$43:$C$56,0))</f>
        <v>2900</v>
      </c>
      <c r="M36" s="92">
        <f>IF(G36="Market",0,(L36/I36*(INDEX(AMD_OU_Data!$E$43:$E$56,MATCH(cost_base_improved!C36,AMD_OU_Data!$C$43:$C$56,0)))))</f>
        <v>44334.160484631124</v>
      </c>
      <c r="N36" s="92">
        <f>IF(AND(K36="EMI",H36&gt;=2016),VLOOKUP(F36,AMD_EMI_Data!$A$7:$E$26,5,FALSE),0)</f>
        <v>0</v>
      </c>
      <c r="O36" s="92">
        <f>INDEX(AMD_OU_Data!$D$61:$M$74,MATCH(cost_base_improved!C36,AMD_OU_Data!$C$61:$C$74,0),MATCH(cost_base_improved!E36,AMD_OU_Data!$D$60:$M$60,0))</f>
        <v>11200</v>
      </c>
      <c r="P36" s="92">
        <f t="shared" si="1"/>
        <v>55534.160484631124</v>
      </c>
      <c r="Q36" s="92">
        <f t="shared" si="2"/>
        <v>28000</v>
      </c>
      <c r="R36" s="93">
        <f t="shared" si="3"/>
        <v>83534.160484631124</v>
      </c>
    </row>
    <row r="37" spans="1:18" ht="12.75" customHeight="1" x14ac:dyDescent="0.25">
      <c r="A37" s="94">
        <v>36</v>
      </c>
      <c r="B37" s="95" t="s">
        <v>83</v>
      </c>
      <c r="C37" s="95" t="str">
        <f>partner_vehicles_form_AMD!B28</f>
        <v>GNCB1</v>
      </c>
      <c r="D37" s="95" t="str">
        <f>partner_vehicles_form_AMD!C28</f>
        <v>MOINUDDIN R SHAIKH</v>
      </c>
      <c r="E37" s="95" t="s">
        <v>133</v>
      </c>
      <c r="F37" s="95" t="str">
        <f>VLOOKUP(E37,'Vehicle mapping'!$A$2:$B$12,2,FALSE)</f>
        <v>Tata Ace</v>
      </c>
      <c r="G37" s="95" t="s">
        <v>77</v>
      </c>
      <c r="H37" s="95">
        <v>2012</v>
      </c>
      <c r="I37" s="96">
        <f>INDEX(AMD_OU_Data!$D$25:$M$38,MATCH(cost_base_improved!C37,AMD_OU_Data!$C$25:$C$38,0),MATCH(cost_base_improved!E37,AMD_OU_Data!$D$24:$M$24,0))</f>
        <v>9.3641429387747763</v>
      </c>
      <c r="J37" s="96">
        <f>GETPIVOTDATA("Vehicle Capacity",'Pivot Table-1'!$K$20)</f>
        <v>0.87167911083665661</v>
      </c>
      <c r="K37" s="95" t="str">
        <f t="shared" si="0"/>
        <v>EMI</v>
      </c>
      <c r="L37" s="95">
        <f>INDEX(AMD_OU_Data!$D$43:$D$56,MATCH(cost_base_improved!C37,AMD_OU_Data!$C$43:$C$56,0))</f>
        <v>2700</v>
      </c>
      <c r="M37" s="97">
        <f>IF(G37="Market",0,(L37/I37*(INDEX(AMD_OU_Data!$E$43:$E$56,MATCH(cost_base_improved!C37,AMD_OU_Data!$C$43:$C$56,0)))))</f>
        <v>32700.275181934616</v>
      </c>
      <c r="N37" s="97">
        <f>IF(AND(K37="EMI",H37&gt;=2016),VLOOKUP(F37,AMD_EMI_Data!$A$7:$E$26,5,FALSE),0)</f>
        <v>0</v>
      </c>
      <c r="O37" s="97">
        <f>INDEX(AMD_OU_Data!$D$61:$M$74,MATCH(cost_base_improved!C37,AMD_OU_Data!$C$61:$C$74,0),MATCH(cost_base_improved!E37,AMD_OU_Data!$D$60:$M$60,0))</f>
        <v>7800</v>
      </c>
      <c r="P37" s="97">
        <f t="shared" si="1"/>
        <v>40500.275181934616</v>
      </c>
      <c r="Q37" s="97">
        <f t="shared" si="2"/>
        <v>28000</v>
      </c>
      <c r="R37" s="98">
        <f t="shared" si="3"/>
        <v>68500.275181934616</v>
      </c>
    </row>
    <row r="38" spans="1:18" ht="12.75" customHeight="1" x14ac:dyDescent="0.25">
      <c r="A38" s="89">
        <v>37</v>
      </c>
      <c r="B38" s="90" t="s">
        <v>84</v>
      </c>
      <c r="C38" s="90" t="str">
        <f>partner_vehicles_form_AMD!B29</f>
        <v>AMDBP</v>
      </c>
      <c r="D38" s="90" t="str">
        <f>partner_vehicles_form_AMD!C29</f>
        <v>MUKESHBHAI RAJABHAI BHARWAD</v>
      </c>
      <c r="E38" s="90" t="s">
        <v>131</v>
      </c>
      <c r="F38" s="90" t="str">
        <f>VLOOKUP(E38,'Vehicle mapping'!$A$2:$B$12,2,FALSE)</f>
        <v>Mahindra</v>
      </c>
      <c r="G38" s="90" t="s">
        <v>77</v>
      </c>
      <c r="H38" s="90">
        <v>2015</v>
      </c>
      <c r="I38" s="91">
        <f>INDEX(AMD_OU_Data!$D$25:$M$38,MATCH(cost_base_improved!C38,AMD_OU_Data!$C$25:$C$38,0),MATCH(cost_base_improved!E38,AMD_OU_Data!$D$24:$M$24,0))</f>
        <v>11.216814907083885</v>
      </c>
      <c r="J38" s="91">
        <f>GETPIVOTDATA("Vehicle Capacity",'Pivot Table-1'!$G$16)</f>
        <v>1.5040526693998157</v>
      </c>
      <c r="K38" s="90" t="str">
        <f t="shared" si="0"/>
        <v>EMI</v>
      </c>
      <c r="L38" s="90">
        <f>INDEX(AMD_OU_Data!$D$43:$D$56,MATCH(cost_base_improved!C38,AMD_OU_Data!$C$43:$C$56,0))</f>
        <v>2600</v>
      </c>
      <c r="M38" s="92">
        <f>IF(G38="Market",0,(L38/I38*(INDEX(AMD_OU_Data!$E$43:$E$56,MATCH(cost_base_improved!C38,AMD_OU_Data!$C$43:$C$56,0)))))</f>
        <v>18738.720654163106</v>
      </c>
      <c r="N38" s="92">
        <f>IF(AND(K38="EMI",H38&gt;=2016),VLOOKUP(F38,AMD_EMI_Data!$A$7:$E$26,5,FALSE),0)</f>
        <v>0</v>
      </c>
      <c r="O38" s="92">
        <f>INDEX(AMD_OU_Data!$D$61:$M$74,MATCH(cost_base_improved!C38,AMD_OU_Data!$C$61:$C$74,0),MATCH(cost_base_improved!E38,AMD_OU_Data!$D$60:$M$60,0))</f>
        <v>11200</v>
      </c>
      <c r="P38" s="92">
        <f t="shared" si="1"/>
        <v>29938.720654163106</v>
      </c>
      <c r="Q38" s="92">
        <f t="shared" si="2"/>
        <v>28000</v>
      </c>
      <c r="R38" s="93">
        <f t="shared" si="3"/>
        <v>57938.720654163102</v>
      </c>
    </row>
    <row r="39" spans="1:18" ht="12.75" customHeight="1" x14ac:dyDescent="0.25">
      <c r="A39" s="94">
        <v>38</v>
      </c>
      <c r="B39" s="95" t="s">
        <v>82</v>
      </c>
      <c r="C39" s="95" t="str">
        <f>partner_vehicles_form_AMD!B30</f>
        <v>AMDT1</v>
      </c>
      <c r="D39" s="95" t="str">
        <f>partner_vehicles_form_AMD!C30</f>
        <v>MULIYA TOFIKHUSEN HABIBBHAI</v>
      </c>
      <c r="E39" s="95" t="s">
        <v>130</v>
      </c>
      <c r="F39" s="95" t="str">
        <f>VLOOKUP(E39,'Vehicle mapping'!$A$2:$B$12,2,FALSE)</f>
        <v>Eicher 17</v>
      </c>
      <c r="G39" s="95" t="s">
        <v>128</v>
      </c>
      <c r="H39" s="100" t="s">
        <v>129</v>
      </c>
      <c r="I39" s="96">
        <f>INDEX(AMD_OU_Data!$D$25:$M$38,MATCH(cost_base_improved!C39,AMD_OU_Data!$C$25:$C$38,0),MATCH(cost_base_improved!E39,AMD_OU_Data!$D$24:$M$24,0))</f>
        <v>6.5525461364709248</v>
      </c>
      <c r="J39" s="96">
        <f>GETPIVOTDATA("Vehicle Capacity",'Pivot Table-1'!$J$3)</f>
        <v>5.8259590265690795</v>
      </c>
      <c r="K39" s="95" t="str">
        <f t="shared" si="0"/>
        <v>Market</v>
      </c>
      <c r="L39" s="95">
        <f>INDEX(AMD_OU_Data!$D$43:$D$56,MATCH(cost_base_improved!C39,AMD_OU_Data!$C$43:$C$56,0))</f>
        <v>2900</v>
      </c>
      <c r="M39" s="97">
        <f>IF(G39="Market",0,(L39/I39*(INDEX(AMD_OU_Data!$E$43:$E$56,MATCH(cost_base_improved!C39,AMD_OU_Data!$C$43:$C$56,0)))))</f>
        <v>0</v>
      </c>
      <c r="N39" s="97">
        <f>IF(AND(K39="EMI",H39&gt;=2016),VLOOKUP(F39,AMD_EMI_Data!$A$7:$E$26,5,FALSE),0)</f>
        <v>0</v>
      </c>
      <c r="O39" s="97">
        <f>INDEX(AMD_OU_Data!$D$61:$M$74,MATCH(cost_base_improved!C39,AMD_OU_Data!$C$61:$C$74,0),MATCH(cost_base_improved!E39,AMD_OU_Data!$D$60:$M$60,0))</f>
        <v>12500</v>
      </c>
      <c r="P39" s="97">
        <f t="shared" si="1"/>
        <v>80000</v>
      </c>
      <c r="Q39" s="97">
        <f t="shared" si="2"/>
        <v>16000</v>
      </c>
      <c r="R39" s="98">
        <f t="shared" si="3"/>
        <v>96000</v>
      </c>
    </row>
    <row r="40" spans="1:18" ht="12.75" customHeight="1" x14ac:dyDescent="0.25">
      <c r="A40" s="89">
        <v>39</v>
      </c>
      <c r="B40" s="90" t="s">
        <v>87</v>
      </c>
      <c r="C40" s="90" t="str">
        <f>partner_vehicles_form_AMD!B31</f>
        <v>BDQT1</v>
      </c>
      <c r="D40" s="90" t="str">
        <f>partner_vehicles_form_AMD!C31</f>
        <v>OD Maheshbhai Bhikhabhai</v>
      </c>
      <c r="E40" s="90" t="s">
        <v>132</v>
      </c>
      <c r="F40" s="90" t="str">
        <f>VLOOKUP(E40,'Vehicle mapping'!$A$2:$B$12,2,FALSE)</f>
        <v>AL Dost</v>
      </c>
      <c r="G40" s="90" t="s">
        <v>137</v>
      </c>
      <c r="H40" s="90">
        <v>2014</v>
      </c>
      <c r="I40" s="91">
        <f>INDEX(AMD_OU_Data!$D$25:$M$38,MATCH(cost_base_improved!C40,AMD_OU_Data!$C$25:$C$38,0),MATCH(cost_base_improved!E40,AMD_OU_Data!$D$24:$M$24,0))</f>
        <v>16.206961290646341</v>
      </c>
      <c r="J40" s="91">
        <f>GETPIVOTDATA("Vehicle Capacity",'Pivot Table-1'!$D$3)</f>
        <v>1.2617401368798644</v>
      </c>
      <c r="K40" s="90" t="str">
        <f t="shared" si="0"/>
        <v>Owned</v>
      </c>
      <c r="L40" s="90">
        <f>INDEX(AMD_OU_Data!$D$43:$D$56,MATCH(cost_base_improved!C40,AMD_OU_Data!$C$43:$C$56,0))</f>
        <v>3000</v>
      </c>
      <c r="M40" s="92">
        <f>IF(G40="Market",0,(L40/I40*(INDEX(AMD_OU_Data!$E$43:$E$56,MATCH(cost_base_improved!C40,AMD_OU_Data!$C$43:$C$56,0)))))</f>
        <v>14542.423275093808</v>
      </c>
      <c r="N40" s="92">
        <f>IF(AND(K40="EMI",H40&gt;=2016),VLOOKUP(F40,AMD_EMI_Data!$A$7:$E$26,5,FALSE),0)</f>
        <v>0</v>
      </c>
      <c r="O40" s="92">
        <f>INDEX(AMD_OU_Data!$D$61:$M$74,MATCH(cost_base_improved!C40,AMD_OU_Data!$C$61:$C$74,0),MATCH(cost_base_improved!E40,AMD_OU_Data!$D$60:$M$60,0))</f>
        <v>10200</v>
      </c>
      <c r="P40" s="92">
        <f t="shared" si="1"/>
        <v>24742.42327509381</v>
      </c>
      <c r="Q40" s="92">
        <f t="shared" si="2"/>
        <v>28000</v>
      </c>
      <c r="R40" s="93">
        <f t="shared" si="3"/>
        <v>52742.42327509381</v>
      </c>
    </row>
    <row r="41" spans="1:18" ht="12.75" customHeight="1" x14ac:dyDescent="0.25">
      <c r="A41" s="94">
        <v>40</v>
      </c>
      <c r="B41" s="95" t="s">
        <v>90</v>
      </c>
      <c r="C41" s="95" t="str">
        <f>partner_vehicles_form_AMD!B32</f>
        <v>RAJB1</v>
      </c>
      <c r="D41" s="95" t="str">
        <f>partner_vehicles_form_AMD!C32</f>
        <v>Patani Salim Gafarbhai</v>
      </c>
      <c r="E41" s="95" t="s">
        <v>165</v>
      </c>
      <c r="F41" s="95" t="str">
        <f>VLOOKUP(E41,'Vehicle mapping'!$A$2:$B$12,2,FALSE)</f>
        <v>Pickup</v>
      </c>
      <c r="G41" s="95" t="s">
        <v>137</v>
      </c>
      <c r="H41" s="95">
        <v>2014</v>
      </c>
      <c r="I41" s="96">
        <f>INDEX(AMD_OU_Data!$D$25:$M$38,MATCH(cost_base_improved!C41,AMD_OU_Data!$C$25:$C$38,0),MATCH(cost_base_improved!E41,AMD_OU_Data!$D$24:$M$24,0))</f>
        <v>13.840671454814565</v>
      </c>
      <c r="J41" s="96">
        <f>GETPIVOTDATA("Vehicle Capacity",'Pivot Table-1'!$K$11)</f>
        <v>1.4272935319547932</v>
      </c>
      <c r="K41" s="95" t="str">
        <f t="shared" si="0"/>
        <v>Owned</v>
      </c>
      <c r="L41" s="95">
        <f>INDEX(AMD_OU_Data!$D$43:$D$56,MATCH(cost_base_improved!C41,AMD_OU_Data!$C$43:$C$56,0))</f>
        <v>1800</v>
      </c>
      <c r="M41" s="97">
        <f>IF(G41="Market",0,(L41/I41*(INDEX(AMD_OU_Data!$E$43:$E$56,MATCH(cost_base_improved!C41,AMD_OU_Data!$C$43:$C$56,0)))))</f>
        <v>11794.903254198736</v>
      </c>
      <c r="N41" s="97">
        <f>IF(AND(K41="EMI",H41&gt;=2016),VLOOKUP(F41,AMD_EMI_Data!$A$7:$E$26,5,FALSE),0)</f>
        <v>0</v>
      </c>
      <c r="O41" s="97">
        <f>INDEX(AMD_OU_Data!$D$61:$M$74,MATCH(cost_base_improved!C41,AMD_OU_Data!$C$61:$C$74,0),MATCH(cost_base_improved!E41,AMD_OU_Data!$D$60:$M$60,0))</f>
        <v>9300</v>
      </c>
      <c r="P41" s="97">
        <f t="shared" si="1"/>
        <v>21094.903254198736</v>
      </c>
      <c r="Q41" s="97">
        <f t="shared" si="2"/>
        <v>28000</v>
      </c>
      <c r="R41" s="98">
        <f t="shared" si="3"/>
        <v>49094.90325419874</v>
      </c>
    </row>
    <row r="42" spans="1:18" ht="12.75" customHeight="1" x14ac:dyDescent="0.25">
      <c r="A42" s="89">
        <v>41</v>
      </c>
      <c r="B42" s="90" t="s">
        <v>90</v>
      </c>
      <c r="C42" s="90" t="str">
        <f>partner_vehicles_form_AMD!B32</f>
        <v>RAJB1</v>
      </c>
      <c r="D42" s="90" t="str">
        <f>partner_vehicles_form_AMD!C32</f>
        <v>Patani Salim Gafarbhai</v>
      </c>
      <c r="E42" s="90" t="s">
        <v>133</v>
      </c>
      <c r="F42" s="90" t="str">
        <f>VLOOKUP(E42,'Vehicle mapping'!$A$2:$B$12,2,FALSE)</f>
        <v>Tata Ace</v>
      </c>
      <c r="G42" s="90" t="s">
        <v>137</v>
      </c>
      <c r="H42" s="90">
        <v>2020</v>
      </c>
      <c r="I42" s="91">
        <f>INDEX(AMD_OU_Data!$D$25:$M$38,MATCH(cost_base_improved!C42,AMD_OU_Data!$C$25:$C$38,0),MATCH(cost_base_improved!E42,AMD_OU_Data!$D$24:$M$24,0))</f>
        <v>15.252132362435546</v>
      </c>
      <c r="J42" s="91">
        <f>GETPIVOTDATA("Vehicle Capacity",'Pivot Table-1'!$K$20)</f>
        <v>0.87167911083665661</v>
      </c>
      <c r="K42" s="90" t="str">
        <f t="shared" si="0"/>
        <v>Owned</v>
      </c>
      <c r="L42" s="90">
        <f>INDEX(AMD_OU_Data!$D$43:$D$56,MATCH(cost_base_improved!C42,AMD_OU_Data!$C$43:$C$56,0))</f>
        <v>1800</v>
      </c>
      <c r="M42" s="92">
        <f>IF(G42="Market",0,(L42/I42*(INDEX(AMD_OU_Data!$E$43:$E$56,MATCH(cost_base_improved!C42,AMD_OU_Data!$C$43:$C$56,0)))))</f>
        <v>10703.38080626382</v>
      </c>
      <c r="N42" s="92">
        <f>IF(AND(K42="EMI",H42&gt;=2016),VLOOKUP(F42,AMD_EMI_Data!$A$7:$E$26,5,FALSE),0)</f>
        <v>0</v>
      </c>
      <c r="O42" s="92">
        <f>INDEX(AMD_OU_Data!$D$61:$M$74,MATCH(cost_base_improved!C42,AMD_OU_Data!$C$61:$C$74,0),MATCH(cost_base_improved!E42,AMD_OU_Data!$D$60:$M$60,0))</f>
        <v>6200</v>
      </c>
      <c r="P42" s="92">
        <f t="shared" si="1"/>
        <v>16903.38080626382</v>
      </c>
      <c r="Q42" s="92">
        <f t="shared" si="2"/>
        <v>28000</v>
      </c>
      <c r="R42" s="93">
        <f t="shared" si="3"/>
        <v>44903.38080626382</v>
      </c>
    </row>
    <row r="43" spans="1:18" ht="12.75" customHeight="1" x14ac:dyDescent="0.25">
      <c r="A43" s="94">
        <v>42</v>
      </c>
      <c r="B43" s="95" t="s">
        <v>84</v>
      </c>
      <c r="C43" s="95" t="str">
        <f>partner_vehicles_form_AMD!B33</f>
        <v>AMDBC</v>
      </c>
      <c r="D43" s="95" t="str">
        <f>partner_vehicles_form_AMD!C33</f>
        <v>PATHAN PARVEZBHAI</v>
      </c>
      <c r="E43" s="95" t="s">
        <v>133</v>
      </c>
      <c r="F43" s="95" t="str">
        <f>VLOOKUP(E43,'Vehicle mapping'!$A$2:$B$12,2,FALSE)</f>
        <v>Tata Ace</v>
      </c>
      <c r="G43" s="95" t="s">
        <v>77</v>
      </c>
      <c r="H43" s="95">
        <v>2012</v>
      </c>
      <c r="I43" s="96">
        <f>INDEX(AMD_OU_Data!$D$25:$M$38,MATCH(cost_base_improved!C43,AMD_OU_Data!$C$25:$C$38,0),MATCH(cost_base_improved!E43,AMD_OU_Data!$D$24:$M$24,0))</f>
        <v>17.157710528177709</v>
      </c>
      <c r="J43" s="96">
        <f>GETPIVOTDATA("Vehicle Capacity",'Pivot Table-1'!$K$20)</f>
        <v>0.87167911083665661</v>
      </c>
      <c r="K43" s="95" t="str">
        <f t="shared" si="0"/>
        <v>EMI</v>
      </c>
      <c r="L43" s="95">
        <f>INDEX(AMD_OU_Data!$D$43:$D$56,MATCH(cost_base_improved!C43,AMD_OU_Data!$C$43:$C$56,0))</f>
        <v>3100</v>
      </c>
      <c r="M43" s="97">
        <f>IF(G43="Market",0,(L43/I43*(INDEX(AMD_OU_Data!$E$43:$E$56,MATCH(cost_base_improved!C43,AMD_OU_Data!$C$43:$C$56,0)))))</f>
        <v>16815.46394439719</v>
      </c>
      <c r="N43" s="97">
        <f>IF(AND(K43="EMI",H43&gt;=2016),VLOOKUP(F43,AMD_EMI_Data!$A$7:$E$26,5,FALSE),0)</f>
        <v>0</v>
      </c>
      <c r="O43" s="97">
        <f>INDEX(AMD_OU_Data!$D$61:$M$74,MATCH(cost_base_improved!C43,AMD_OU_Data!$C$61:$C$74,0),MATCH(cost_base_improved!E43,AMD_OU_Data!$D$60:$M$60,0))</f>
        <v>11800</v>
      </c>
      <c r="P43" s="97">
        <f t="shared" si="1"/>
        <v>28615.46394439719</v>
      </c>
      <c r="Q43" s="97">
        <f t="shared" si="2"/>
        <v>28000</v>
      </c>
      <c r="R43" s="98">
        <f t="shared" si="3"/>
        <v>56615.46394439719</v>
      </c>
    </row>
    <row r="44" spans="1:18" ht="12.75" customHeight="1" x14ac:dyDescent="0.25">
      <c r="A44" s="89">
        <v>43</v>
      </c>
      <c r="B44" s="90" t="s">
        <v>86</v>
      </c>
      <c r="C44" s="90" t="str">
        <f>partner_vehicles_form_AMD!B34</f>
        <v>STVT1</v>
      </c>
      <c r="D44" s="90" t="str">
        <f>partner_vehicles_form_AMD!C34</f>
        <v>Pravin Patil</v>
      </c>
      <c r="E44" s="90" t="s">
        <v>133</v>
      </c>
      <c r="F44" s="90" t="str">
        <f>VLOOKUP(E44,'Vehicle mapping'!$A$2:$B$12,2,FALSE)</f>
        <v>Tata Ace</v>
      </c>
      <c r="G44" s="90" t="s">
        <v>137</v>
      </c>
      <c r="H44" s="90">
        <v>2019</v>
      </c>
      <c r="I44" s="91">
        <f>INDEX(AMD_OU_Data!$D$25:$M$38,MATCH(cost_base_improved!C44,AMD_OU_Data!$C$25:$C$38,0),MATCH(cost_base_improved!E44,AMD_OU_Data!$D$24:$M$24,0))</f>
        <v>17.294647938760768</v>
      </c>
      <c r="J44" s="91">
        <f>GETPIVOTDATA("Vehicle Capacity",'Pivot Table-1'!$K$20)</f>
        <v>0.87167911083665661</v>
      </c>
      <c r="K44" s="90" t="str">
        <f t="shared" si="0"/>
        <v>Owned</v>
      </c>
      <c r="L44" s="90">
        <f>INDEX(AMD_OU_Data!$D$43:$D$56,MATCH(cost_base_improved!C44,AMD_OU_Data!$C$43:$C$56,0))</f>
        <v>2900</v>
      </c>
      <c r="M44" s="92">
        <f>IF(G44="Market",0,(L44/I44*(INDEX(AMD_OU_Data!$E$43:$E$56,MATCH(cost_base_improved!C44,AMD_OU_Data!$C$43:$C$56,0)))))</f>
        <v>16669.829348340325</v>
      </c>
      <c r="N44" s="92">
        <f>IF(AND(K44="EMI",H44&gt;=2016),VLOOKUP(F44,AMD_EMI_Data!$A$7:$E$26,5,FALSE),0)</f>
        <v>0</v>
      </c>
      <c r="O44" s="92">
        <f>INDEX(AMD_OU_Data!$D$61:$M$74,MATCH(cost_base_improved!C44,AMD_OU_Data!$C$61:$C$74,0),MATCH(cost_base_improved!E44,AMD_OU_Data!$D$60:$M$60,0))</f>
        <v>11500</v>
      </c>
      <c r="P44" s="92">
        <f t="shared" si="1"/>
        <v>28169.829348340325</v>
      </c>
      <c r="Q44" s="92">
        <f t="shared" si="2"/>
        <v>28000</v>
      </c>
      <c r="R44" s="93">
        <f t="shared" si="3"/>
        <v>56169.829348340325</v>
      </c>
    </row>
    <row r="45" spans="1:18" ht="12.75" customHeight="1" x14ac:dyDescent="0.25">
      <c r="A45" s="94">
        <v>44</v>
      </c>
      <c r="B45" s="95" t="s">
        <v>82</v>
      </c>
      <c r="C45" s="95" t="str">
        <f>partner_vehicles_form_AMD!B35</f>
        <v>AMDT1</v>
      </c>
      <c r="D45" s="95" t="str">
        <f>partner_vehicles_form_AMD!C35</f>
        <v>Pravin Thakor</v>
      </c>
      <c r="E45" s="95" t="s">
        <v>130</v>
      </c>
      <c r="F45" s="95" t="str">
        <f>VLOOKUP(E45,'Vehicle mapping'!$A$2:$B$12,2,FALSE)</f>
        <v>Eicher 17</v>
      </c>
      <c r="G45" s="95" t="s">
        <v>128</v>
      </c>
      <c r="H45" s="100" t="s">
        <v>129</v>
      </c>
      <c r="I45" s="96">
        <f>INDEX(AMD_OU_Data!$D$25:$M$38,MATCH(cost_base_improved!C45,AMD_OU_Data!$C$25:$C$38,0),MATCH(cost_base_improved!E45,AMD_OU_Data!$D$24:$M$24,0))</f>
        <v>6.5525461364709248</v>
      </c>
      <c r="J45" s="96">
        <f>GETPIVOTDATA("Vehicle Capacity",'Pivot Table-1'!$J$3)</f>
        <v>5.8259590265690795</v>
      </c>
      <c r="K45" s="95" t="str">
        <f t="shared" si="0"/>
        <v>Market</v>
      </c>
      <c r="L45" s="95">
        <f>INDEX(AMD_OU_Data!$D$43:$D$56,MATCH(cost_base_improved!C45,AMD_OU_Data!$C$43:$C$56,0))</f>
        <v>2900</v>
      </c>
      <c r="M45" s="97">
        <f>IF(G45="Market",0,(L45/I45*(INDEX(AMD_OU_Data!$E$43:$E$56,MATCH(cost_base_improved!C45,AMD_OU_Data!$C$43:$C$56,0)))))</f>
        <v>0</v>
      </c>
      <c r="N45" s="97">
        <f>IF(AND(K45="EMI",H45&gt;=2016),VLOOKUP(F45,AMD_EMI_Data!$A$7:$E$26,5,FALSE),0)</f>
        <v>0</v>
      </c>
      <c r="O45" s="97">
        <f>INDEX(AMD_OU_Data!$D$61:$M$74,MATCH(cost_base_improved!C45,AMD_OU_Data!$C$61:$C$74,0),MATCH(cost_base_improved!E45,AMD_OU_Data!$D$60:$M$60,0))</f>
        <v>12500</v>
      </c>
      <c r="P45" s="97">
        <f t="shared" si="1"/>
        <v>80000</v>
      </c>
      <c r="Q45" s="97">
        <f t="shared" si="2"/>
        <v>16000</v>
      </c>
      <c r="R45" s="98">
        <f t="shared" si="3"/>
        <v>96000</v>
      </c>
    </row>
    <row r="46" spans="1:18" ht="12.75" customHeight="1" x14ac:dyDescent="0.25">
      <c r="A46" s="89">
        <v>45</v>
      </c>
      <c r="B46" s="90" t="s">
        <v>83</v>
      </c>
      <c r="C46" s="90" t="str">
        <f>partner_vehicles_form_AMD!B36</f>
        <v>GNCB1</v>
      </c>
      <c r="D46" s="90" t="str">
        <f>partner_vehicles_form_AMD!C36</f>
        <v>RAJENDRASINH L CHAVDA</v>
      </c>
      <c r="E46" s="90" t="s">
        <v>133</v>
      </c>
      <c r="F46" s="90" t="str">
        <f>VLOOKUP(E46,'Vehicle mapping'!$A$2:$B$12,2,FALSE)</f>
        <v>Tata Ace</v>
      </c>
      <c r="G46" s="90" t="s">
        <v>137</v>
      </c>
      <c r="H46" s="90">
        <v>2020</v>
      </c>
      <c r="I46" s="91">
        <f>INDEX(AMD_OU_Data!$D$25:$M$38,MATCH(cost_base_improved!C46,AMD_OU_Data!$C$25:$C$38,0),MATCH(cost_base_improved!E46,AMD_OU_Data!$D$24:$M$24,0))</f>
        <v>9.3641429387747763</v>
      </c>
      <c r="J46" s="91">
        <f>GETPIVOTDATA("Vehicle Capacity",'Pivot Table-1'!$K$20)</f>
        <v>0.87167911083665661</v>
      </c>
      <c r="K46" s="90" t="str">
        <f t="shared" si="0"/>
        <v>Owned</v>
      </c>
      <c r="L46" s="90">
        <f>INDEX(AMD_OU_Data!$D$43:$D$56,MATCH(cost_base_improved!C46,AMD_OU_Data!$C$43:$C$56,0))</f>
        <v>2700</v>
      </c>
      <c r="M46" s="92">
        <f>IF(G46="Market",0,(L46/I46*(INDEX(AMD_OU_Data!$E$43:$E$56,MATCH(cost_base_improved!C46,AMD_OU_Data!$C$43:$C$56,0)))))</f>
        <v>32700.275181934616</v>
      </c>
      <c r="N46" s="92">
        <f>IF(AND(K46="EMI",H46&gt;=2016),VLOOKUP(F46,AMD_EMI_Data!$A$7:$E$26,5,FALSE),0)</f>
        <v>0</v>
      </c>
      <c r="O46" s="92">
        <f>INDEX(AMD_OU_Data!$D$61:$M$74,MATCH(cost_base_improved!C46,AMD_OU_Data!$C$61:$C$74,0),MATCH(cost_base_improved!E46,AMD_OU_Data!$D$60:$M$60,0))</f>
        <v>7800</v>
      </c>
      <c r="P46" s="92">
        <f t="shared" si="1"/>
        <v>40500.275181934616</v>
      </c>
      <c r="Q46" s="92">
        <f t="shared" si="2"/>
        <v>28000</v>
      </c>
      <c r="R46" s="93">
        <f t="shared" si="3"/>
        <v>68500.275181934616</v>
      </c>
    </row>
    <row r="47" spans="1:18" ht="12.75" customHeight="1" x14ac:dyDescent="0.25">
      <c r="A47" s="94">
        <v>46</v>
      </c>
      <c r="B47" s="95" t="s">
        <v>87</v>
      </c>
      <c r="C47" s="95" t="str">
        <f>partner_vehicles_form_AMD!B37</f>
        <v>BDQT1</v>
      </c>
      <c r="D47" s="95" t="str">
        <f>partner_vehicles_form_AMD!C37</f>
        <v>Rajesh Kumar Misra_Delivery</v>
      </c>
      <c r="E47" s="95" t="s">
        <v>141</v>
      </c>
      <c r="F47" s="95" t="str">
        <f>VLOOKUP(E47,'Vehicle mapping'!$A$2:$B$12,2,FALSE)</f>
        <v>Super ace</v>
      </c>
      <c r="G47" s="95" t="s">
        <v>137</v>
      </c>
      <c r="H47" s="95">
        <v>2014</v>
      </c>
      <c r="I47" s="96">
        <f>INDEX(AMD_OU_Data!$D$25:$M$38,MATCH(cost_base_improved!C47,AMD_OU_Data!$C$25:$C$38,0),MATCH(cost_base_improved!E47,AMD_OU_Data!$D$24:$M$24,0))</f>
        <v>9.9226528824228826</v>
      </c>
      <c r="J47" s="96">
        <f>GETPIVOTDATA("Vehicle Capacity",'Pivot Table-1'!$A$18)</f>
        <v>1.5355205199174393</v>
      </c>
      <c r="K47" s="95" t="str">
        <f t="shared" si="0"/>
        <v>Owned</v>
      </c>
      <c r="L47" s="95">
        <f>INDEX(AMD_OU_Data!$D$43:$D$56,MATCH(cost_base_improved!C47,AMD_OU_Data!$C$43:$C$56,0))</f>
        <v>3000</v>
      </c>
      <c r="M47" s="97">
        <f>IF(G47="Market",0,(L47/I47*(INDEX(AMD_OU_Data!$E$43:$E$56,MATCH(cost_base_improved!C47,AMD_OU_Data!$C$43:$C$56,0)))))</f>
        <v>23752.568379081509</v>
      </c>
      <c r="N47" s="97">
        <f>IF(AND(K47="EMI",H47&gt;=2016),VLOOKUP(F47,AMD_EMI_Data!$A$7:$E$26,5,FALSE),0)</f>
        <v>0</v>
      </c>
      <c r="O47" s="97">
        <f>INDEX(AMD_OU_Data!$D$61:$M$74,MATCH(cost_base_improved!C47,AMD_OU_Data!$C$61:$C$74,0),MATCH(cost_base_improved!E47,AMD_OU_Data!$D$60:$M$60,0))</f>
        <v>10500</v>
      </c>
      <c r="P47" s="97">
        <f t="shared" si="1"/>
        <v>34252.568379081509</v>
      </c>
      <c r="Q47" s="97">
        <f t="shared" si="2"/>
        <v>28000</v>
      </c>
      <c r="R47" s="98">
        <f t="shared" si="3"/>
        <v>62252.568379081509</v>
      </c>
    </row>
    <row r="48" spans="1:18" ht="12.75" customHeight="1" x14ac:dyDescent="0.25">
      <c r="A48" s="89">
        <v>47</v>
      </c>
      <c r="B48" s="90" t="s">
        <v>87</v>
      </c>
      <c r="C48" s="90" t="str">
        <f>partner_vehicles_form_AMD!B37</f>
        <v>BDQT1</v>
      </c>
      <c r="D48" s="90" t="str">
        <f>partner_vehicles_form_AMD!C37</f>
        <v>Rajesh Kumar Misra_Delivery</v>
      </c>
      <c r="E48" s="90" t="s">
        <v>132</v>
      </c>
      <c r="F48" s="90" t="str">
        <f>VLOOKUP(E48,'Vehicle mapping'!$A$2:$B$12,2,FALSE)</f>
        <v>AL Dost</v>
      </c>
      <c r="G48" s="90" t="s">
        <v>137</v>
      </c>
      <c r="H48" s="90">
        <v>2018</v>
      </c>
      <c r="I48" s="91">
        <f>INDEX(AMD_OU_Data!$D$25:$M$38,MATCH(cost_base_improved!C48,AMD_OU_Data!$C$25:$C$38,0),MATCH(cost_base_improved!E48,AMD_OU_Data!$D$24:$M$24,0))</f>
        <v>16.206961290646341</v>
      </c>
      <c r="J48" s="91">
        <f>GETPIVOTDATA("Vehicle Capacity",'Pivot Table-1'!$D$3)</f>
        <v>1.2617401368798644</v>
      </c>
      <c r="K48" s="90" t="str">
        <f t="shared" si="0"/>
        <v>Owned</v>
      </c>
      <c r="L48" s="90">
        <f>INDEX(AMD_OU_Data!$D$43:$D$56,MATCH(cost_base_improved!C48,AMD_OU_Data!$C$43:$C$56,0))</f>
        <v>3000</v>
      </c>
      <c r="M48" s="92">
        <f>IF(G48="Market",0,(L48/I48*(INDEX(AMD_OU_Data!$E$43:$E$56,MATCH(cost_base_improved!C48,AMD_OU_Data!$C$43:$C$56,0)))))</f>
        <v>14542.423275093808</v>
      </c>
      <c r="N48" s="92">
        <f>IF(AND(K48="EMI",H48&gt;=2016),VLOOKUP(F48,AMD_EMI_Data!$A$7:$E$26,5,FALSE),0)</f>
        <v>0</v>
      </c>
      <c r="O48" s="92">
        <f>INDEX(AMD_OU_Data!$D$61:$M$74,MATCH(cost_base_improved!C48,AMD_OU_Data!$C$61:$C$74,0),MATCH(cost_base_improved!E48,AMD_OU_Data!$D$60:$M$60,0))</f>
        <v>10200</v>
      </c>
      <c r="P48" s="92">
        <f t="shared" si="1"/>
        <v>24742.42327509381</v>
      </c>
      <c r="Q48" s="92">
        <f t="shared" si="2"/>
        <v>28000</v>
      </c>
      <c r="R48" s="93">
        <f t="shared" si="3"/>
        <v>52742.42327509381</v>
      </c>
    </row>
    <row r="49" spans="1:18" ht="12.75" customHeight="1" x14ac:dyDescent="0.25">
      <c r="A49" s="94">
        <v>48</v>
      </c>
      <c r="B49" s="95" t="s">
        <v>93</v>
      </c>
      <c r="C49" s="95" t="str">
        <f>partner_vehicles_form_AMD!B38</f>
        <v>JNDB1</v>
      </c>
      <c r="D49" s="95" t="str">
        <f>partner_vehicles_form_AMD!C38</f>
        <v>RAKIB GULAMKADAR BLOCH</v>
      </c>
      <c r="E49" s="95" t="s">
        <v>133</v>
      </c>
      <c r="F49" s="95" t="str">
        <f>VLOOKUP(E49,'Vehicle mapping'!$A$2:$B$12,2,FALSE)</f>
        <v>Tata Ace</v>
      </c>
      <c r="G49" s="95" t="s">
        <v>137</v>
      </c>
      <c r="H49" s="95">
        <v>2015</v>
      </c>
      <c r="I49" s="96">
        <f>INDEX(AMD_OU_Data!$D$25:$M$38,MATCH(cost_base_improved!C49,AMD_OU_Data!$C$25:$C$38,0),MATCH(cost_base_improved!E49,AMD_OU_Data!$D$24:$M$24,0))</f>
        <v>10.173410042173559</v>
      </c>
      <c r="J49" s="96">
        <f>GETPIVOTDATA("Vehicle Capacity",'Pivot Table-1'!$K$20)</f>
        <v>0.87167911083665661</v>
      </c>
      <c r="K49" s="95" t="str">
        <f t="shared" si="0"/>
        <v>Owned</v>
      </c>
      <c r="L49" s="95">
        <f>INDEX(AMD_OU_Data!$D$43:$D$56,MATCH(cost_base_improved!C49,AMD_OU_Data!$C$43:$C$56,0))</f>
        <v>1800</v>
      </c>
      <c r="M49" s="97">
        <f>IF(G49="Market",0,(L49/I49*(INDEX(AMD_OU_Data!$E$43:$E$56,MATCH(cost_base_improved!C49,AMD_OU_Data!$C$43:$C$56,0)))))</f>
        <v>14495.51069292958</v>
      </c>
      <c r="N49" s="97">
        <f>IF(AND(K49="EMI",H49&gt;=2016),VLOOKUP(F49,AMD_EMI_Data!$A$7:$E$26,5,FALSE),0)</f>
        <v>0</v>
      </c>
      <c r="O49" s="97">
        <f>INDEX(AMD_OU_Data!$D$61:$M$74,MATCH(cost_base_improved!C49,AMD_OU_Data!$C$61:$C$74,0),MATCH(cost_base_improved!E49,AMD_OU_Data!$D$60:$M$60,0))</f>
        <v>9700</v>
      </c>
      <c r="P49" s="97">
        <f t="shared" si="1"/>
        <v>24195.51069292958</v>
      </c>
      <c r="Q49" s="97">
        <f t="shared" si="2"/>
        <v>28000</v>
      </c>
      <c r="R49" s="98">
        <f t="shared" si="3"/>
        <v>52195.51069292958</v>
      </c>
    </row>
    <row r="50" spans="1:18" ht="12.75" customHeight="1" x14ac:dyDescent="0.25">
      <c r="A50" s="89">
        <v>49</v>
      </c>
      <c r="B50" s="90" t="s">
        <v>94</v>
      </c>
      <c r="C50" s="90" t="str">
        <f>partner_vehicles_form_AMD!B39</f>
        <v>MSHB1</v>
      </c>
      <c r="D50" s="90" t="str">
        <f>partner_vehicles_form_AMD!C39</f>
        <v>SADHU RAM KARGWAL</v>
      </c>
      <c r="E50" s="90" t="s">
        <v>131</v>
      </c>
      <c r="F50" s="90" t="str">
        <f>VLOOKUP(E50,'Vehicle mapping'!$A$2:$B$12,2,FALSE)</f>
        <v>Mahindra</v>
      </c>
      <c r="G50" s="90" t="s">
        <v>77</v>
      </c>
      <c r="H50" s="90">
        <v>2019</v>
      </c>
      <c r="I50" s="91">
        <f>INDEX(AMD_OU_Data!$D$25:$M$38,MATCH(cost_base_improved!C50,AMD_OU_Data!$C$25:$C$38,0),MATCH(cost_base_improved!E50,AMD_OU_Data!$D$24:$M$24,0))</f>
        <v>8.6217992604575731</v>
      </c>
      <c r="J50" s="91">
        <f>GETPIVOTDATA("Vehicle Capacity",'Pivot Table-1'!$G$16)</f>
        <v>1.5040526693998157</v>
      </c>
      <c r="K50" s="90" t="str">
        <f t="shared" si="0"/>
        <v>EMI</v>
      </c>
      <c r="L50" s="90">
        <f>INDEX(AMD_OU_Data!$D$43:$D$56,MATCH(cost_base_improved!C50,AMD_OU_Data!$C$43:$C$56,0))</f>
        <v>2000</v>
      </c>
      <c r="M50" s="92">
        <f>IF(G50="Market",0,(L50/I50*(INDEX(AMD_OU_Data!$E$43:$E$56,MATCH(cost_base_improved!C50,AMD_OU_Data!$C$43:$C$56,0)))))</f>
        <v>23052.631423483541</v>
      </c>
      <c r="N50" s="92">
        <f>IF(AND(K50="EMI",H50&gt;=2016),VLOOKUP(F50,AMD_EMI_Data!$A$7:$E$26,5,FALSE),0)</f>
        <v>11420.447400423482</v>
      </c>
      <c r="O50" s="92">
        <f>INDEX(AMD_OU_Data!$D$61:$M$74,MATCH(cost_base_improved!C50,AMD_OU_Data!$C$61:$C$74,0),MATCH(cost_base_improved!E50,AMD_OU_Data!$D$60:$M$60,0))</f>
        <v>10200</v>
      </c>
      <c r="P50" s="92">
        <f t="shared" si="1"/>
        <v>44673.078823907024</v>
      </c>
      <c r="Q50" s="92">
        <f t="shared" si="2"/>
        <v>28000</v>
      </c>
      <c r="R50" s="93">
        <f t="shared" si="3"/>
        <v>72673.078823907024</v>
      </c>
    </row>
    <row r="51" spans="1:18" ht="12.75" customHeight="1" x14ac:dyDescent="0.25">
      <c r="A51" s="94">
        <v>50</v>
      </c>
      <c r="B51" s="95" t="s">
        <v>94</v>
      </c>
      <c r="C51" s="95" t="str">
        <f>partner_vehicles_form_AMD!B39</f>
        <v>MSHB1</v>
      </c>
      <c r="D51" s="95" t="str">
        <f>partner_vehicles_form_AMD!C39</f>
        <v>SADHU RAM KARGWAL</v>
      </c>
      <c r="E51" s="95" t="s">
        <v>131</v>
      </c>
      <c r="F51" s="95" t="str">
        <f>VLOOKUP(E51,'Vehicle mapping'!$A$2:$B$12,2,FALSE)</f>
        <v>Mahindra</v>
      </c>
      <c r="G51" s="95" t="s">
        <v>137</v>
      </c>
      <c r="H51" s="95">
        <v>2018</v>
      </c>
      <c r="I51" s="96">
        <f>INDEX(AMD_OU_Data!$D$25:$M$38,MATCH(cost_base_improved!C51,AMD_OU_Data!$C$25:$C$38,0),MATCH(cost_base_improved!E51,AMD_OU_Data!$D$24:$M$24,0))</f>
        <v>8.6217992604575731</v>
      </c>
      <c r="J51" s="96">
        <f>GETPIVOTDATA("Vehicle Capacity",'Pivot Table-1'!$G$16)</f>
        <v>1.5040526693998157</v>
      </c>
      <c r="K51" s="95" t="str">
        <f t="shared" si="0"/>
        <v>Owned</v>
      </c>
      <c r="L51" s="95">
        <f>INDEX(AMD_OU_Data!$D$43:$D$56,MATCH(cost_base_improved!C51,AMD_OU_Data!$C$43:$C$56,0))</f>
        <v>2000</v>
      </c>
      <c r="M51" s="97">
        <f>IF(G51="Market",0,(L51/I51*(INDEX(AMD_OU_Data!$E$43:$E$56,MATCH(cost_base_improved!C51,AMD_OU_Data!$C$43:$C$56,0)))))</f>
        <v>23052.631423483541</v>
      </c>
      <c r="N51" s="97">
        <f>IF(AND(K51="EMI",H51&gt;=2016),VLOOKUP(F51,AMD_EMI_Data!$A$7:$E$26,5,FALSE),0)</f>
        <v>0</v>
      </c>
      <c r="O51" s="97">
        <f>INDEX(AMD_OU_Data!$D$61:$M$74,MATCH(cost_base_improved!C51,AMD_OU_Data!$C$61:$C$74,0),MATCH(cost_base_improved!E51,AMD_OU_Data!$D$60:$M$60,0))</f>
        <v>10200</v>
      </c>
      <c r="P51" s="97">
        <f t="shared" si="1"/>
        <v>33252.631423483544</v>
      </c>
      <c r="Q51" s="97">
        <f t="shared" si="2"/>
        <v>28000</v>
      </c>
      <c r="R51" s="98">
        <f t="shared" si="3"/>
        <v>61252.631423483544</v>
      </c>
    </row>
    <row r="52" spans="1:18" ht="12.75" customHeight="1" x14ac:dyDescent="0.25">
      <c r="A52" s="89">
        <v>51</v>
      </c>
      <c r="B52" s="90" t="s">
        <v>82</v>
      </c>
      <c r="C52" s="90" t="str">
        <f>partner_vehicles_form_AMD!B40</f>
        <v>AMDT1</v>
      </c>
      <c r="D52" s="90" t="str">
        <f>partner_vehicles_form_AMD!C40</f>
        <v>SANDEEP KUMAR</v>
      </c>
      <c r="E52" s="90" t="s">
        <v>130</v>
      </c>
      <c r="F52" s="90" t="str">
        <f>VLOOKUP(E52,'Vehicle mapping'!$A$2:$B$12,2,FALSE)</f>
        <v>Eicher 17</v>
      </c>
      <c r="G52" s="90" t="s">
        <v>128</v>
      </c>
      <c r="H52" s="99" t="s">
        <v>129</v>
      </c>
      <c r="I52" s="91">
        <f>INDEX(AMD_OU_Data!$D$25:$M$38,MATCH(cost_base_improved!C52,AMD_OU_Data!$C$25:$C$38,0),MATCH(cost_base_improved!E52,AMD_OU_Data!$D$24:$M$24,0))</f>
        <v>6.5525461364709248</v>
      </c>
      <c r="J52" s="91">
        <f>GETPIVOTDATA("Vehicle Capacity",'Pivot Table-1'!$J$3)</f>
        <v>5.8259590265690795</v>
      </c>
      <c r="K52" s="90" t="str">
        <f t="shared" si="0"/>
        <v>Market</v>
      </c>
      <c r="L52" s="90">
        <f>INDEX(AMD_OU_Data!$D$43:$D$56,MATCH(cost_base_improved!C52,AMD_OU_Data!$C$43:$C$56,0))</f>
        <v>2900</v>
      </c>
      <c r="M52" s="92">
        <f>IF(G52="Market",0,(L52/I52*(INDEX(AMD_OU_Data!$E$43:$E$56,MATCH(cost_base_improved!C52,AMD_OU_Data!$C$43:$C$56,0)))))</f>
        <v>0</v>
      </c>
      <c r="N52" s="92">
        <f>IF(AND(K52="EMI",H52&gt;=2016),VLOOKUP(F52,AMD_EMI_Data!$A$7:$E$26,5,FALSE),0)</f>
        <v>0</v>
      </c>
      <c r="O52" s="92">
        <f>INDEX(AMD_OU_Data!$D$61:$M$74,MATCH(cost_base_improved!C52,AMD_OU_Data!$C$61:$C$74,0),MATCH(cost_base_improved!E52,AMD_OU_Data!$D$60:$M$60,0))</f>
        <v>12500</v>
      </c>
      <c r="P52" s="92">
        <f t="shared" si="1"/>
        <v>80000</v>
      </c>
      <c r="Q52" s="92">
        <f t="shared" si="2"/>
        <v>16000</v>
      </c>
      <c r="R52" s="93">
        <f t="shared" si="3"/>
        <v>96000</v>
      </c>
    </row>
    <row r="53" spans="1:18" ht="12.75" customHeight="1" x14ac:dyDescent="0.25">
      <c r="A53" s="94">
        <v>52</v>
      </c>
      <c r="B53" s="95" t="s">
        <v>84</v>
      </c>
      <c r="C53" s="95" t="str">
        <f>partner_vehicles_form_AMD!B41</f>
        <v>AMDBP</v>
      </c>
      <c r="D53" s="95" t="str">
        <f>partner_vehicles_form_AMD!C41</f>
        <v>SHEKH JENULABEDEEN BADRUDIN</v>
      </c>
      <c r="E53" s="95" t="s">
        <v>131</v>
      </c>
      <c r="F53" s="95" t="str">
        <f>VLOOKUP(E53,'Vehicle mapping'!$A$2:$B$12,2,FALSE)</f>
        <v>Mahindra</v>
      </c>
      <c r="G53" s="95" t="s">
        <v>77</v>
      </c>
      <c r="H53" s="95">
        <v>2011</v>
      </c>
      <c r="I53" s="96">
        <f>INDEX(AMD_OU_Data!$D$25:$M$38,MATCH(cost_base_improved!C53,AMD_OU_Data!$C$25:$C$38,0),MATCH(cost_base_improved!E53,AMD_OU_Data!$D$24:$M$24,0))</f>
        <v>11.216814907083885</v>
      </c>
      <c r="J53" s="96">
        <f>GETPIVOTDATA("Vehicle Capacity",'Pivot Table-1'!$G$16)</f>
        <v>1.5040526693998157</v>
      </c>
      <c r="K53" s="95" t="str">
        <f t="shared" si="0"/>
        <v>EMI</v>
      </c>
      <c r="L53" s="95">
        <f>INDEX(AMD_OU_Data!$D$43:$D$56,MATCH(cost_base_improved!C53,AMD_OU_Data!$C$43:$C$56,0))</f>
        <v>2600</v>
      </c>
      <c r="M53" s="97">
        <f>IF(G53="Market",0,(L53/I53*(INDEX(AMD_OU_Data!$E$43:$E$56,MATCH(cost_base_improved!C53,AMD_OU_Data!$C$43:$C$56,0)))))</f>
        <v>18738.720654163106</v>
      </c>
      <c r="N53" s="97">
        <f>IF(AND(K53="EMI",H53&gt;=2016),VLOOKUP(F53,AMD_EMI_Data!$A$7:$E$26,5,FALSE),0)</f>
        <v>0</v>
      </c>
      <c r="O53" s="97">
        <f>INDEX(AMD_OU_Data!$D$61:$M$74,MATCH(cost_base_improved!C53,AMD_OU_Data!$C$61:$C$74,0),MATCH(cost_base_improved!E53,AMD_OU_Data!$D$60:$M$60,0))</f>
        <v>11200</v>
      </c>
      <c r="P53" s="97">
        <f t="shared" si="1"/>
        <v>29938.720654163106</v>
      </c>
      <c r="Q53" s="97">
        <f t="shared" si="2"/>
        <v>28000</v>
      </c>
      <c r="R53" s="98">
        <f t="shared" si="3"/>
        <v>57938.720654163102</v>
      </c>
    </row>
    <row r="54" spans="1:18" ht="12.75" customHeight="1" x14ac:dyDescent="0.25">
      <c r="A54" s="89">
        <v>53</v>
      </c>
      <c r="B54" s="90" t="s">
        <v>87</v>
      </c>
      <c r="C54" s="90" t="str">
        <f>partner_vehicles_form_AMD!B42</f>
        <v>BDQT1</v>
      </c>
      <c r="D54" s="90" t="str">
        <f>partner_vehicles_form_AMD!C42</f>
        <v>Shekh Seemabanu Mohammad</v>
      </c>
      <c r="E54" s="90" t="s">
        <v>132</v>
      </c>
      <c r="F54" s="90" t="str">
        <f>VLOOKUP(E54,'Vehicle mapping'!$A$2:$B$12,2,FALSE)</f>
        <v>AL Dost</v>
      </c>
      <c r="G54" s="90" t="s">
        <v>137</v>
      </c>
      <c r="H54" s="90">
        <v>2015</v>
      </c>
      <c r="I54" s="91">
        <f>INDEX(AMD_OU_Data!$D$25:$M$38,MATCH(cost_base_improved!C54,AMD_OU_Data!$C$25:$C$38,0),MATCH(cost_base_improved!E54,AMD_OU_Data!$D$24:$M$24,0))</f>
        <v>16.206961290646341</v>
      </c>
      <c r="J54" s="91">
        <f>GETPIVOTDATA("Vehicle Capacity",'Pivot Table-1'!$D$3)</f>
        <v>1.2617401368798644</v>
      </c>
      <c r="K54" s="90" t="str">
        <f t="shared" si="0"/>
        <v>Owned</v>
      </c>
      <c r="L54" s="90">
        <f>INDEX(AMD_OU_Data!$D$43:$D$56,MATCH(cost_base_improved!C54,AMD_OU_Data!$C$43:$C$56,0))</f>
        <v>3000</v>
      </c>
      <c r="M54" s="92">
        <f>IF(G54="Market",0,(L54/I54*(INDEX(AMD_OU_Data!$E$43:$E$56,MATCH(cost_base_improved!C54,AMD_OU_Data!$C$43:$C$56,0)))))</f>
        <v>14542.423275093808</v>
      </c>
      <c r="N54" s="92">
        <f>IF(AND(K54="EMI",H54&gt;=2016),VLOOKUP(F54,AMD_EMI_Data!$A$7:$E$26,5,FALSE),0)</f>
        <v>0</v>
      </c>
      <c r="O54" s="92">
        <f>INDEX(AMD_OU_Data!$D$61:$M$74,MATCH(cost_base_improved!C54,AMD_OU_Data!$C$61:$C$74,0),MATCH(cost_base_improved!E54,AMD_OU_Data!$D$60:$M$60,0))</f>
        <v>10200</v>
      </c>
      <c r="P54" s="92">
        <f t="shared" si="1"/>
        <v>24742.42327509381</v>
      </c>
      <c r="Q54" s="92">
        <f t="shared" si="2"/>
        <v>28000</v>
      </c>
      <c r="R54" s="93">
        <f t="shared" si="3"/>
        <v>52742.42327509381</v>
      </c>
    </row>
    <row r="55" spans="1:18" ht="12.75" customHeight="1" x14ac:dyDescent="0.25">
      <c r="A55" s="94">
        <v>54</v>
      </c>
      <c r="B55" s="95" t="s">
        <v>86</v>
      </c>
      <c r="C55" s="95" t="str">
        <f>partner_vehicles_form_AMD!B43</f>
        <v>STVT1</v>
      </c>
      <c r="D55" s="95" t="str">
        <f>partner_vehicles_form_AMD!C43</f>
        <v>Siddhant Subhash Borse</v>
      </c>
      <c r="E55" s="95" t="s">
        <v>133</v>
      </c>
      <c r="F55" s="95" t="str">
        <f>VLOOKUP(E55,'Vehicle mapping'!$A$2:$B$12,2,FALSE)</f>
        <v>Tata Ace</v>
      </c>
      <c r="G55" s="95" t="s">
        <v>137</v>
      </c>
      <c r="H55" s="95">
        <v>2019</v>
      </c>
      <c r="I55" s="96">
        <f>INDEX(AMD_OU_Data!$D$25:$M$38,MATCH(cost_base_improved!C55,AMD_OU_Data!$C$25:$C$38,0),MATCH(cost_base_improved!E55,AMD_OU_Data!$D$24:$M$24,0))</f>
        <v>17.294647938760768</v>
      </c>
      <c r="J55" s="96">
        <f>GETPIVOTDATA("Vehicle Capacity",'Pivot Table-1'!$K$20)</f>
        <v>0.87167911083665661</v>
      </c>
      <c r="K55" s="95" t="str">
        <f t="shared" si="0"/>
        <v>Owned</v>
      </c>
      <c r="L55" s="95">
        <f>INDEX(AMD_OU_Data!$D$43:$D$56,MATCH(cost_base_improved!C55,AMD_OU_Data!$C$43:$C$56,0))</f>
        <v>2900</v>
      </c>
      <c r="M55" s="97">
        <f>IF(G55="Market",0,(L55/I55*(INDEX(AMD_OU_Data!$E$43:$E$56,MATCH(cost_base_improved!C55,AMD_OU_Data!$C$43:$C$56,0)))))</f>
        <v>16669.829348340325</v>
      </c>
      <c r="N55" s="97">
        <f>IF(AND(K55="EMI",H55&gt;=2016),VLOOKUP(F55,AMD_EMI_Data!$A$7:$E$26,5,FALSE),0)</f>
        <v>0</v>
      </c>
      <c r="O55" s="97">
        <f>INDEX(AMD_OU_Data!$D$61:$M$74,MATCH(cost_base_improved!C55,AMD_OU_Data!$C$61:$C$74,0),MATCH(cost_base_improved!E55,AMD_OU_Data!$D$60:$M$60,0))</f>
        <v>11500</v>
      </c>
      <c r="P55" s="97">
        <f t="shared" si="1"/>
        <v>28169.829348340325</v>
      </c>
      <c r="Q55" s="97">
        <f t="shared" si="2"/>
        <v>28000</v>
      </c>
      <c r="R55" s="98">
        <f t="shared" si="3"/>
        <v>56169.829348340325</v>
      </c>
    </row>
    <row r="56" spans="1:18" ht="12.75" customHeight="1" x14ac:dyDescent="0.25">
      <c r="A56" s="89">
        <v>55</v>
      </c>
      <c r="B56" s="90" t="s">
        <v>84</v>
      </c>
      <c r="C56" s="90" t="str">
        <f>partner_vehicles_form_AMD!B44</f>
        <v>AMDBP</v>
      </c>
      <c r="D56" s="90" t="str">
        <f>partner_vehicles_form_AMD!C44</f>
        <v>SURESHBHAI RAJABHAI BHARWAD</v>
      </c>
      <c r="E56" s="90" t="s">
        <v>130</v>
      </c>
      <c r="F56" s="90" t="str">
        <f>VLOOKUP(E56,'Vehicle mapping'!$A$2:$B$12,2,FALSE)</f>
        <v>Eicher 17</v>
      </c>
      <c r="G56" s="90" t="s">
        <v>128</v>
      </c>
      <c r="H56" s="99" t="s">
        <v>129</v>
      </c>
      <c r="I56" s="91">
        <f>INDEX(AMD_OU_Data!$D$25:$M$38,MATCH(cost_base_improved!C56,AMD_OU_Data!$C$25:$C$38,0),MATCH(cost_base_improved!E56,AMD_OU_Data!$D$24:$M$24,0))</f>
        <v>4.6995094079618678</v>
      </c>
      <c r="J56" s="91">
        <f>GETPIVOTDATA("Vehicle Capacity",'Pivot Table-1'!$J$3)</f>
        <v>5.8259590265690795</v>
      </c>
      <c r="K56" s="90" t="str">
        <f t="shared" si="0"/>
        <v>Market</v>
      </c>
      <c r="L56" s="90">
        <f>INDEX(AMD_OU_Data!$D$43:$D$56,MATCH(cost_base_improved!C56,AMD_OU_Data!$C$43:$C$56,0))</f>
        <v>2600</v>
      </c>
      <c r="M56" s="92">
        <f>IF(G56="Market",0,(L56/I56*(INDEX(AMD_OU_Data!$E$43:$E$56,MATCH(cost_base_improved!C56,AMD_OU_Data!$C$43:$C$56,0)))))</f>
        <v>0</v>
      </c>
      <c r="N56" s="92">
        <f>IF(AND(K56="EMI",H56&gt;=2016),VLOOKUP(F56,AMD_EMI_Data!$A$7:$E$26,5,FALSE),0)</f>
        <v>0</v>
      </c>
      <c r="O56" s="92">
        <f>INDEX(AMD_OU_Data!$D$61:$M$74,MATCH(cost_base_improved!C56,AMD_OU_Data!$C$61:$C$74,0),MATCH(cost_base_improved!E56,AMD_OU_Data!$D$60:$M$60,0))</f>
        <v>11200</v>
      </c>
      <c r="P56" s="92">
        <f t="shared" si="1"/>
        <v>80000</v>
      </c>
      <c r="Q56" s="92">
        <f t="shared" si="2"/>
        <v>16000</v>
      </c>
      <c r="R56" s="93">
        <f t="shared" si="3"/>
        <v>96000</v>
      </c>
    </row>
    <row r="57" spans="1:18" ht="12.75" customHeight="1" x14ac:dyDescent="0.25">
      <c r="A57" s="94">
        <v>56</v>
      </c>
      <c r="B57" s="95" t="s">
        <v>84</v>
      </c>
      <c r="C57" s="95" t="str">
        <f>partner_vehicles_form_AMD!B44</f>
        <v>AMDBP</v>
      </c>
      <c r="D57" s="95" t="str">
        <f>partner_vehicles_form_AMD!C44</f>
        <v>SURESHBHAI RAJABHAI BHARWAD</v>
      </c>
      <c r="E57" s="95" t="s">
        <v>131</v>
      </c>
      <c r="F57" s="95" t="str">
        <f>VLOOKUP(E57,'Vehicle mapping'!$A$2:$B$12,2,FALSE)</f>
        <v>Mahindra</v>
      </c>
      <c r="G57" s="95" t="s">
        <v>77</v>
      </c>
      <c r="H57" s="95">
        <v>2018</v>
      </c>
      <c r="I57" s="96">
        <f>INDEX(AMD_OU_Data!$D$25:$M$38,MATCH(cost_base_improved!C57,AMD_OU_Data!$C$25:$C$38,0),MATCH(cost_base_improved!E57,AMD_OU_Data!$D$24:$M$24,0))</f>
        <v>11.216814907083885</v>
      </c>
      <c r="J57" s="96">
        <f>GETPIVOTDATA("Vehicle Capacity",'Pivot Table-1'!$G$16)</f>
        <v>1.5040526693998157</v>
      </c>
      <c r="K57" s="95" t="str">
        <f t="shared" si="0"/>
        <v>EMI</v>
      </c>
      <c r="L57" s="95">
        <f>INDEX(AMD_OU_Data!$D$43:$D$56,MATCH(cost_base_improved!C57,AMD_OU_Data!$C$43:$C$56,0))</f>
        <v>2600</v>
      </c>
      <c r="M57" s="97">
        <f>IF(G57="Market",0,(L57/I57*(INDEX(AMD_OU_Data!$E$43:$E$56,MATCH(cost_base_improved!C57,AMD_OU_Data!$C$43:$C$56,0)))))</f>
        <v>18738.720654163106</v>
      </c>
      <c r="N57" s="97">
        <f>IF(AND(K57="EMI",H57&gt;=2016),VLOOKUP(F57,AMD_EMI_Data!$A$7:$E$26,5,FALSE),0)</f>
        <v>11420.447400423482</v>
      </c>
      <c r="O57" s="97">
        <f>INDEX(AMD_OU_Data!$D$61:$M$74,MATCH(cost_base_improved!C57,AMD_OU_Data!$C$61:$C$74,0),MATCH(cost_base_improved!E57,AMD_OU_Data!$D$60:$M$60,0))</f>
        <v>11200</v>
      </c>
      <c r="P57" s="97">
        <f t="shared" si="1"/>
        <v>41359.168054586589</v>
      </c>
      <c r="Q57" s="97">
        <f t="shared" si="2"/>
        <v>28000</v>
      </c>
      <c r="R57" s="98">
        <f t="shared" si="3"/>
        <v>69359.168054586597</v>
      </c>
    </row>
    <row r="58" spans="1:18" ht="12.75" customHeight="1" x14ac:dyDescent="0.25">
      <c r="A58" s="89">
        <v>57</v>
      </c>
      <c r="B58" s="90" t="s">
        <v>84</v>
      </c>
      <c r="C58" s="90" t="str">
        <f>partner_vehicles_form_AMD!B44</f>
        <v>AMDBP</v>
      </c>
      <c r="D58" s="90" t="str">
        <f>partner_vehicles_form_AMD!C44</f>
        <v>SURESHBHAI RAJABHAI BHARWAD</v>
      </c>
      <c r="E58" s="90" t="s">
        <v>165</v>
      </c>
      <c r="F58" s="90" t="str">
        <f>VLOOKUP(E58,'Vehicle mapping'!$A$2:$B$12,2,FALSE)</f>
        <v>Pickup</v>
      </c>
      <c r="G58" s="90" t="s">
        <v>77</v>
      </c>
      <c r="H58" s="90">
        <v>2018</v>
      </c>
      <c r="I58" s="91">
        <f>INDEX(AMD_OU_Data!$D$25:$M$38,MATCH(cost_base_improved!C58,AMD_OU_Data!$C$25:$C$38,0),MATCH(cost_base_improved!E58,AMD_OU_Data!$D$24:$M$24,0))</f>
        <v>8.0856008470429561</v>
      </c>
      <c r="J58" s="91">
        <f>GETPIVOTDATA("Vehicle Capacity",'Pivot Table-1'!$K$11)</f>
        <v>1.4272935319547932</v>
      </c>
      <c r="K58" s="90" t="str">
        <f t="shared" si="0"/>
        <v>EMI</v>
      </c>
      <c r="L58" s="90">
        <f>INDEX(AMD_OU_Data!$D$43:$D$56,MATCH(cost_base_improved!C58,AMD_OU_Data!$C$43:$C$56,0))</f>
        <v>2600</v>
      </c>
      <c r="M58" s="92">
        <f>IF(G58="Market",0,(L58/I58*(INDEX(AMD_OU_Data!$E$43:$E$56,MATCH(cost_base_improved!C58,AMD_OU_Data!$C$43:$C$56,0)))))</f>
        <v>25995.441173696705</v>
      </c>
      <c r="N58" s="92">
        <f>IF(AND(K58="EMI",H58&gt;=2016),VLOOKUP(F58,AMD_EMI_Data!$A$7:$E$26,5,FALSE),0)</f>
        <v>9897.7210803670168</v>
      </c>
      <c r="O58" s="92">
        <f>INDEX(AMD_OU_Data!$D$61:$M$74,MATCH(cost_base_improved!C58,AMD_OU_Data!$C$61:$C$74,0),MATCH(cost_base_improved!E58,AMD_OU_Data!$D$60:$M$60,0))</f>
        <v>9800</v>
      </c>
      <c r="P58" s="92">
        <f t="shared" si="1"/>
        <v>45693.162254063718</v>
      </c>
      <c r="Q58" s="92">
        <f t="shared" si="2"/>
        <v>28000</v>
      </c>
      <c r="R58" s="93">
        <f t="shared" si="3"/>
        <v>73693.162254063718</v>
      </c>
    </row>
    <row r="59" spans="1:18" ht="12.75" customHeight="1" x14ac:dyDescent="0.25">
      <c r="A59" s="94">
        <v>58</v>
      </c>
      <c r="B59" s="95" t="s">
        <v>84</v>
      </c>
      <c r="C59" s="95" t="str">
        <f>partner_vehicles_form_AMD!B44</f>
        <v>AMDBP</v>
      </c>
      <c r="D59" s="95" t="str">
        <f>partner_vehicles_form_AMD!C44</f>
        <v>SURESHBHAI RAJABHAI BHARWAD</v>
      </c>
      <c r="E59" s="95" t="s">
        <v>133</v>
      </c>
      <c r="F59" s="95" t="str">
        <f>VLOOKUP(E59,'Vehicle mapping'!$A$2:$B$12,2,FALSE)</f>
        <v>Tata Ace</v>
      </c>
      <c r="G59" s="95" t="s">
        <v>77</v>
      </c>
      <c r="H59" s="95">
        <v>2014</v>
      </c>
      <c r="I59" s="96">
        <f>INDEX(AMD_OU_Data!$D$25:$M$38,MATCH(cost_base_improved!C59,AMD_OU_Data!$C$25:$C$38,0),MATCH(cost_base_improved!E59,AMD_OU_Data!$D$24:$M$24,0))</f>
        <v>7.7853868200690899</v>
      </c>
      <c r="J59" s="96">
        <f>GETPIVOTDATA("Vehicle Capacity",'Pivot Table-1'!$K$20)</f>
        <v>0.87167911083665661</v>
      </c>
      <c r="K59" s="95" t="str">
        <f t="shared" si="0"/>
        <v>EMI</v>
      </c>
      <c r="L59" s="95">
        <f>INDEX(AMD_OU_Data!$D$43:$D$56,MATCH(cost_base_improved!C59,AMD_OU_Data!$C$43:$C$56,0))</f>
        <v>2600</v>
      </c>
      <c r="M59" s="97">
        <f>IF(G59="Market",0,(L59/I59*(INDEX(AMD_OU_Data!$E$43:$E$56,MATCH(cost_base_improved!C59,AMD_OU_Data!$C$43:$C$56,0)))))</f>
        <v>26997.857143266792</v>
      </c>
      <c r="N59" s="97">
        <f>IF(AND(K59="EMI",H59&gt;=2016),VLOOKUP(F59,AMD_EMI_Data!$A$7:$E$26,5,FALSE),0)</f>
        <v>0</v>
      </c>
      <c r="O59" s="97">
        <f>INDEX(AMD_OU_Data!$D$61:$M$74,MATCH(cost_base_improved!C59,AMD_OU_Data!$C$61:$C$74,0),MATCH(cost_base_improved!E59,AMD_OU_Data!$D$60:$M$60,0))</f>
        <v>6900</v>
      </c>
      <c r="P59" s="97">
        <f t="shared" si="1"/>
        <v>33897.857143266796</v>
      </c>
      <c r="Q59" s="97">
        <f t="shared" si="2"/>
        <v>28000</v>
      </c>
      <c r="R59" s="98">
        <f t="shared" si="3"/>
        <v>61897.857143266796</v>
      </c>
    </row>
    <row r="60" spans="1:18" ht="12.75" customHeight="1" x14ac:dyDescent="0.25">
      <c r="A60" s="89">
        <v>59</v>
      </c>
      <c r="B60" s="90" t="s">
        <v>88</v>
      </c>
      <c r="C60" s="90" t="str">
        <f>partner_vehicles_form_AMD!B45</f>
        <v>AMDBL</v>
      </c>
      <c r="D60" s="90" t="str">
        <f>partner_vehicles_form_AMD!C45</f>
        <v>SWAPNIL PANDEY_BP</v>
      </c>
      <c r="E60" s="90" t="s">
        <v>131</v>
      </c>
      <c r="F60" s="90" t="str">
        <f>VLOOKUP(E60,'Vehicle mapping'!$A$2:$B$12,2,FALSE)</f>
        <v>Mahindra</v>
      </c>
      <c r="G60" s="90" t="s">
        <v>77</v>
      </c>
      <c r="H60" s="90">
        <v>2019</v>
      </c>
      <c r="I60" s="91">
        <f>INDEX(AMD_OU_Data!$D$25:$M$38,MATCH(cost_base_improved!C60,AMD_OU_Data!$C$25:$C$38,0),MATCH(cost_base_improved!E60,AMD_OU_Data!$D$24:$M$24,0))</f>
        <v>12.660297306770655</v>
      </c>
      <c r="J60" s="91">
        <f>GETPIVOTDATA("Vehicle Capacity",'Pivot Table-1'!$G$16)</f>
        <v>1.5040526693998157</v>
      </c>
      <c r="K60" s="90" t="str">
        <f t="shared" si="0"/>
        <v>EMI</v>
      </c>
      <c r="L60" s="90">
        <f>INDEX(AMD_OU_Data!$D$43:$D$56,MATCH(cost_base_improved!C60,AMD_OU_Data!$C$43:$C$56,0))</f>
        <v>1800</v>
      </c>
      <c r="M60" s="92">
        <f>IF(G60="Market",0,(L60/I60*(INDEX(AMD_OU_Data!$E$43:$E$56,MATCH(cost_base_improved!C60,AMD_OU_Data!$C$43:$C$56,0)))))</f>
        <v>13447.273572351289</v>
      </c>
      <c r="N60" s="92">
        <f>IF(AND(K60="EMI",H60&gt;=2016),VLOOKUP(F60,AMD_EMI_Data!$A$7:$E$26,5,FALSE),0)</f>
        <v>11420.447400423482</v>
      </c>
      <c r="O60" s="92">
        <f>INDEX(AMD_OU_Data!$D$61:$M$74,MATCH(cost_base_improved!C60,AMD_OU_Data!$C$61:$C$74,0),MATCH(cost_base_improved!E60,AMD_OU_Data!$D$60:$M$60,0))</f>
        <v>11800</v>
      </c>
      <c r="P60" s="92">
        <f t="shared" si="1"/>
        <v>36667.720972774769</v>
      </c>
      <c r="Q60" s="92">
        <f t="shared" si="2"/>
        <v>28000</v>
      </c>
      <c r="R60" s="93">
        <f t="shared" si="3"/>
        <v>64667.720972774769</v>
      </c>
    </row>
    <row r="61" spans="1:18" ht="12.75" customHeight="1" x14ac:dyDescent="0.25">
      <c r="A61" s="94">
        <v>60</v>
      </c>
      <c r="B61" s="95" t="s">
        <v>81</v>
      </c>
      <c r="C61" s="95" t="str">
        <f>partner_vehicles_form_AMD!B46</f>
        <v>VAPT1</v>
      </c>
      <c r="D61" s="95" t="str">
        <f>partner_vehicles_form_AMD!C46</f>
        <v>VIKAS AGARWAL</v>
      </c>
      <c r="E61" s="95" t="s">
        <v>163</v>
      </c>
      <c r="F61" s="95" t="str">
        <f>VLOOKUP(E61,'Vehicle mapping'!$A$2:$B$12,2,FALSE)</f>
        <v>Eicher 20</v>
      </c>
      <c r="G61" s="95" t="s">
        <v>128</v>
      </c>
      <c r="H61" s="100" t="s">
        <v>129</v>
      </c>
      <c r="I61" s="96">
        <f>INDEX(AMD_OU_Data!$D$25:$M$38,MATCH(cost_base_improved!C61,AMD_OU_Data!$C$25:$C$38,0),MATCH(cost_base_improved!E61,AMD_OU_Data!$D$24:$M$24,0))</f>
        <v>7</v>
      </c>
      <c r="J61" s="96">
        <f>GETPIVOTDATA("Vehicle Capacity",'Pivot Table-1'!$A$12)</f>
        <v>6.5</v>
      </c>
      <c r="K61" s="95" t="str">
        <f t="shared" si="0"/>
        <v>Market</v>
      </c>
      <c r="L61" s="95">
        <f>INDEX(AMD_OU_Data!$D$43:$D$56,MATCH(cost_base_improved!C61,AMD_OU_Data!$C$43:$C$56,0))</f>
        <v>1600</v>
      </c>
      <c r="M61" s="97">
        <f>IF(G61="Market",0,(L61/I61*(INDEX(AMD_OU_Data!$E$43:$E$56,MATCH(cost_base_improved!C61,AMD_OU_Data!$C$43:$C$56,0)))))</f>
        <v>0</v>
      </c>
      <c r="N61" s="97">
        <f>IF(AND(K61="EMI",H61&gt;=2016),VLOOKUP(F61,AMD_EMI_Data!$A$7:$E$26,5,FALSE),0)</f>
        <v>0</v>
      </c>
      <c r="O61" s="97">
        <f>INDEX(AMD_OU_Data!$D$61:$M$74,MATCH(cost_base_improved!C61,AMD_OU_Data!$C$61:$C$74,0),MATCH(cost_base_improved!E61,AMD_OU_Data!$D$60:$M$60,0))</f>
        <v>11080</v>
      </c>
      <c r="P61" s="97">
        <f t="shared" si="1"/>
        <v>80000</v>
      </c>
      <c r="Q61" s="97">
        <f t="shared" si="2"/>
        <v>16000</v>
      </c>
      <c r="R61" s="98">
        <f t="shared" si="3"/>
        <v>96000</v>
      </c>
    </row>
    <row r="62" spans="1:18" ht="12.75" customHeight="1" x14ac:dyDescent="0.25">
      <c r="A62" s="89">
        <v>61</v>
      </c>
      <c r="B62" s="90" t="s">
        <v>89</v>
      </c>
      <c r="C62" s="90" t="str">
        <f>partner_vehicles_form_AMD!B47</f>
        <v>AMDT1</v>
      </c>
      <c r="D62" s="90" t="str">
        <f>partner_vehicles_form_AMD!C47</f>
        <v>VIRENDRA SOLANKI</v>
      </c>
      <c r="E62" s="90" t="s">
        <v>132</v>
      </c>
      <c r="F62" s="90" t="str">
        <f>VLOOKUP(E62,'Vehicle mapping'!$A$2:$B$12,2,FALSE)</f>
        <v>AL Dost</v>
      </c>
      <c r="G62" s="90" t="s">
        <v>77</v>
      </c>
      <c r="H62" s="90">
        <v>2010</v>
      </c>
      <c r="I62" s="91">
        <f>INDEX(AMD_OU_Data!$D$25:$M$38,MATCH(cost_base_improved!C62,AMD_OU_Data!$C$25:$C$38,0),MATCH(cost_base_improved!E62,AMD_OU_Data!$D$24:$M$24,0))</f>
        <v>13.451738176402987</v>
      </c>
      <c r="J62" s="91">
        <f>GETPIVOTDATA("Vehicle Capacity",'Pivot Table-1'!$D$3)</f>
        <v>1.2617401368798644</v>
      </c>
      <c r="K62" s="90" t="str">
        <f t="shared" si="0"/>
        <v>EMI</v>
      </c>
      <c r="L62" s="90">
        <f>INDEX(AMD_OU_Data!$D$43:$D$56,MATCH(cost_base_improved!C62,AMD_OU_Data!$C$43:$C$56,0))</f>
        <v>2900</v>
      </c>
      <c r="M62" s="92">
        <f>IF(G62="Market",0,(L62/I62*(INDEX(AMD_OU_Data!$E$43:$E$56,MATCH(cost_base_improved!C62,AMD_OU_Data!$C$43:$C$56,0)))))</f>
        <v>21664.323133455633</v>
      </c>
      <c r="N62" s="92">
        <f>IF(AND(K62="EMI",H62&gt;=2016),VLOOKUP(F62,AMD_EMI_Data!$A$7:$E$26,5,FALSE),0)</f>
        <v>0</v>
      </c>
      <c r="O62" s="92">
        <f>INDEX(AMD_OU_Data!$D$61:$M$74,MATCH(cost_base_improved!C62,AMD_OU_Data!$C$61:$C$74,0),MATCH(cost_base_improved!E62,AMD_OU_Data!$D$60:$M$60,0))</f>
        <v>7600</v>
      </c>
      <c r="P62" s="92">
        <f t="shared" si="1"/>
        <v>29264.323133455633</v>
      </c>
      <c r="Q62" s="92">
        <f t="shared" si="2"/>
        <v>28000</v>
      </c>
      <c r="R62" s="93">
        <f t="shared" si="3"/>
        <v>57264.323133455633</v>
      </c>
    </row>
    <row r="63" spans="1:18" ht="12.75" customHeight="1" x14ac:dyDescent="0.25">
      <c r="A63" s="94">
        <v>62</v>
      </c>
      <c r="B63" s="95" t="s">
        <v>89</v>
      </c>
      <c r="C63" s="95" t="str">
        <f>partner_vehicles_form_AMD!B48</f>
        <v>AMDBC</v>
      </c>
      <c r="D63" s="95" t="str">
        <f>partner_vehicles_form_AMD!C48</f>
        <v>Visharad Chauhan</v>
      </c>
      <c r="E63" s="95" t="s">
        <v>132</v>
      </c>
      <c r="F63" s="95" t="str">
        <f>VLOOKUP(E63,'Vehicle mapping'!$A$2:$B$12,2,FALSE)</f>
        <v>AL Dost</v>
      </c>
      <c r="G63" s="95" t="s">
        <v>77</v>
      </c>
      <c r="H63" s="95">
        <v>2015</v>
      </c>
      <c r="I63" s="96">
        <f>INDEX(AMD_OU_Data!$D$25:$M$38,MATCH(cost_base_improved!C63,AMD_OU_Data!$C$25:$C$38,0),MATCH(cost_base_improved!E63,AMD_OU_Data!$D$24:$M$24,0))</f>
        <v>17.133678707427691</v>
      </c>
      <c r="J63" s="96">
        <f>GETPIVOTDATA("Vehicle Capacity",'Pivot Table-1'!$D$3)</f>
        <v>1.2617401368798644</v>
      </c>
      <c r="K63" s="95" t="str">
        <f t="shared" si="0"/>
        <v>EMI</v>
      </c>
      <c r="L63" s="95">
        <f>INDEX(AMD_OU_Data!$D$43:$D$56,MATCH(cost_base_improved!C63,AMD_OU_Data!$C$43:$C$56,0))</f>
        <v>3100</v>
      </c>
      <c r="M63" s="97">
        <f>IF(G63="Market",0,(L63/I63*(INDEX(AMD_OU_Data!$E$43:$E$56,MATCH(cost_base_improved!C63,AMD_OU_Data!$C$43:$C$56,0)))))</f>
        <v>16839.049434836263</v>
      </c>
      <c r="N63" s="97">
        <f>IF(AND(K63="EMI",H63&gt;=2016),VLOOKUP(F63,AMD_EMI_Data!$A$7:$E$26,5,FALSE),0)</f>
        <v>0</v>
      </c>
      <c r="O63" s="97">
        <f>INDEX(AMD_OU_Data!$D$61:$M$74,MATCH(cost_base_improved!C63,AMD_OU_Data!$C$61:$C$74,0),MATCH(cost_base_improved!E63,AMD_OU_Data!$D$60:$M$60,0))</f>
        <v>11700</v>
      </c>
      <c r="P63" s="97">
        <f t="shared" si="1"/>
        <v>28539.049434836263</v>
      </c>
      <c r="Q63" s="97">
        <f t="shared" si="2"/>
        <v>28000</v>
      </c>
      <c r="R63" s="98">
        <f t="shared" si="3"/>
        <v>56539.049434836263</v>
      </c>
    </row>
    <row r="64" spans="1:18" ht="12.75" customHeight="1" x14ac:dyDescent="0.25">
      <c r="A64" s="101">
        <v>63</v>
      </c>
      <c r="B64" s="102" t="s">
        <v>87</v>
      </c>
      <c r="C64" s="102" t="str">
        <f>partner_vehicles_form_AMD!B49</f>
        <v>BDQT1</v>
      </c>
      <c r="D64" s="102" t="str">
        <f>partner_vehicles_form_AMD!C49</f>
        <v>ZAINULSHA.M.DIWAN</v>
      </c>
      <c r="E64" s="102" t="s">
        <v>127</v>
      </c>
      <c r="F64" s="102" t="str">
        <f>VLOOKUP(E64,'Vehicle mapping'!$A$2:$B$12,2,FALSE)</f>
        <v>Eicher 14</v>
      </c>
      <c r="G64" s="102" t="s">
        <v>77</v>
      </c>
      <c r="H64" s="102">
        <v>2015</v>
      </c>
      <c r="I64" s="103">
        <f>INDEX(AMD_OU_Data!$D$25:$M$38,MATCH(cost_base_improved!C64,AMD_OU_Data!$C$25:$C$38,0),MATCH(cost_base_improved!E64,AMD_OU_Data!$D$24:$M$24,0))</f>
        <v>12.597885435760045</v>
      </c>
      <c r="J64" s="103">
        <f>GETPIVOTDATA("Vehicle Capacity",'Pivot Table-1'!$G$3)</f>
        <v>2.5078186848300463</v>
      </c>
      <c r="K64" s="102" t="str">
        <f t="shared" si="0"/>
        <v>EMI</v>
      </c>
      <c r="L64" s="102">
        <f>INDEX(AMD_OU_Data!$D$43:$D$56,MATCH(cost_base_improved!C64,AMD_OU_Data!$C$43:$C$56,0))</f>
        <v>3000</v>
      </c>
      <c r="M64" s="104">
        <f>IF(G64="Market",0,(L64/I64*(INDEX(AMD_OU_Data!$E$43:$E$56,MATCH(cost_base_improved!C64,AMD_OU_Data!$C$43:$C$56,0)))))</f>
        <v>18708.575521938008</v>
      </c>
      <c r="N64" s="104">
        <f>IF(AND(K64="EMI",H64&gt;=2016),VLOOKUP(F64,AMD_EMI_Data!$A$7:$E$26,5,FALSE),0)</f>
        <v>0</v>
      </c>
      <c r="O64" s="104">
        <f>INDEX(AMD_OU_Data!$D$61:$M$74,MATCH(cost_base_improved!C64,AMD_OU_Data!$C$61:$C$74,0),MATCH(cost_base_improved!E64,AMD_OU_Data!$D$60:$M$60,0))</f>
        <v>15100</v>
      </c>
      <c r="P64" s="104">
        <f t="shared" si="1"/>
        <v>33808.575521938008</v>
      </c>
      <c r="Q64" s="104">
        <f t="shared" si="2"/>
        <v>28000</v>
      </c>
      <c r="R64" s="88">
        <f t="shared" si="3"/>
        <v>61808.575521938008</v>
      </c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dataValidations count="3">
    <dataValidation type="list" allowBlank="1" showInputMessage="1" showErrorMessage="1" sqref="E2:E64">
      <formula1>"14 ft,Tata Ace,17 ft,Mahindra,AL Dost,22 ft,19 ft,Super ace,Pickup,20 ft"</formula1>
    </dataValidation>
    <dataValidation type="list" allowBlank="1" showInputMessage="1" showErrorMessage="1" sqref="G2:G64">
      <formula1>"Market, EMI, Owned"</formula1>
    </dataValidation>
    <dataValidation type="list" allowBlank="1" showInputMessage="1" showErrorMessage="1" sqref="H2:H64">
      <formula1>"2010,2011,2012,2013,2014,2015,2016,2017,2018,2019,2020,NA"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31"/>
  <sheetViews>
    <sheetView topLeftCell="A10" workbookViewId="0">
      <selection activeCell="H24" sqref="H24"/>
    </sheetView>
  </sheetViews>
  <sheetFormatPr defaultRowHeight="15" x14ac:dyDescent="0.25"/>
  <cols>
    <col min="1" max="1" width="13.28515625" customWidth="1"/>
    <col min="2" max="2" width="26.140625" customWidth="1"/>
    <col min="3" max="3" width="4.5703125" customWidth="1"/>
    <col min="4" max="4" width="13.140625" customWidth="1"/>
    <col min="5" max="5" width="22.5703125" customWidth="1"/>
    <col min="6" max="6" width="4.5703125" customWidth="1"/>
    <col min="7" max="7" width="13.28515625" bestFit="1" customWidth="1"/>
    <col min="8" max="8" width="26.140625" customWidth="1"/>
    <col min="9" max="9" width="4.5703125" customWidth="1"/>
    <col min="10" max="10" width="13.28515625" bestFit="1" customWidth="1"/>
    <col min="11" max="11" width="13.28515625" customWidth="1"/>
    <col min="12" max="12" width="26.140625" customWidth="1"/>
    <col min="13" max="13" width="13.28515625" customWidth="1"/>
    <col min="14" max="14" width="26.140625" customWidth="1"/>
    <col min="15" max="38" width="4.5703125" customWidth="1"/>
    <col min="39" max="39" width="11.28515625" bestFit="1" customWidth="1"/>
  </cols>
  <sheetData>
    <row r="1" spans="1:14" x14ac:dyDescent="0.25">
      <c r="A1" s="78" t="s">
        <v>69</v>
      </c>
      <c r="B1" s="79" t="s">
        <v>164</v>
      </c>
      <c r="D1" s="78" t="s">
        <v>69</v>
      </c>
      <c r="E1" s="79" t="s">
        <v>132</v>
      </c>
      <c r="G1" s="78" t="s">
        <v>69</v>
      </c>
      <c r="H1" s="79" t="s">
        <v>193</v>
      </c>
      <c r="J1" s="78" t="s">
        <v>69</v>
      </c>
      <c r="K1" s="79" t="s">
        <v>194</v>
      </c>
      <c r="M1" s="78" t="s">
        <v>69</v>
      </c>
      <c r="N1" s="79" t="s">
        <v>195</v>
      </c>
    </row>
    <row r="2" spans="1:14" x14ac:dyDescent="0.25">
      <c r="A2" s="75"/>
      <c r="B2" s="75"/>
      <c r="D2" s="75"/>
      <c r="E2" s="75"/>
      <c r="G2" s="75"/>
      <c r="H2" s="75"/>
      <c r="J2" s="75"/>
      <c r="K2" s="75"/>
      <c r="M2" s="75"/>
      <c r="N2" s="75"/>
    </row>
    <row r="3" spans="1:14" x14ac:dyDescent="0.25">
      <c r="A3" s="74" t="s">
        <v>210</v>
      </c>
      <c r="B3" s="75" t="s">
        <v>212</v>
      </c>
      <c r="D3" s="74" t="s">
        <v>210</v>
      </c>
      <c r="E3" s="75" t="s">
        <v>212</v>
      </c>
      <c r="G3" s="74" t="s">
        <v>210</v>
      </c>
      <c r="H3" s="75" t="s">
        <v>212</v>
      </c>
      <c r="J3" s="74" t="s">
        <v>210</v>
      </c>
      <c r="K3" s="75" t="s">
        <v>212</v>
      </c>
      <c r="M3" s="74" t="s">
        <v>210</v>
      </c>
      <c r="N3" s="75" t="s">
        <v>212</v>
      </c>
    </row>
    <row r="4" spans="1:14" x14ac:dyDescent="0.25">
      <c r="A4" s="76" t="s">
        <v>173</v>
      </c>
      <c r="B4" s="77">
        <v>8.2407106661901022</v>
      </c>
      <c r="D4" s="76" t="s">
        <v>178</v>
      </c>
      <c r="E4" s="77">
        <v>1.4205369964896497</v>
      </c>
      <c r="G4" s="76" t="s">
        <v>174</v>
      </c>
      <c r="H4" s="77">
        <v>2.4855141620694923</v>
      </c>
      <c r="J4" s="76" t="s">
        <v>170</v>
      </c>
      <c r="K4" s="77">
        <v>2.6680743558814162</v>
      </c>
      <c r="M4" s="76" t="s">
        <v>174</v>
      </c>
      <c r="N4" s="77">
        <v>8.6536756158497194</v>
      </c>
    </row>
    <row r="5" spans="1:14" x14ac:dyDescent="0.25">
      <c r="A5" s="76" t="s">
        <v>211</v>
      </c>
      <c r="B5" s="77">
        <v>8.2407106661901022</v>
      </c>
      <c r="D5" s="76" t="s">
        <v>175</v>
      </c>
      <c r="E5" s="77">
        <v>1.8308787786446832</v>
      </c>
      <c r="G5" s="76" t="s">
        <v>171</v>
      </c>
      <c r="H5" s="77">
        <v>2.7317924077831095</v>
      </c>
      <c r="J5" s="76" t="s">
        <v>168</v>
      </c>
      <c r="K5" s="77">
        <v>6.5900268382448797</v>
      </c>
      <c r="M5" s="76" t="s">
        <v>168</v>
      </c>
      <c r="N5" s="77">
        <v>6.3444422201305457</v>
      </c>
    </row>
    <row r="6" spans="1:14" x14ac:dyDescent="0.25">
      <c r="A6" s="82" t="s">
        <v>213</v>
      </c>
      <c r="B6" s="83">
        <f>GETPIVOTDATA("Vehicle Capacity",$A$3,"OU Code","STVT1")</f>
        <v>8.2407106661901022</v>
      </c>
      <c r="D6" s="76" t="s">
        <v>170</v>
      </c>
      <c r="E6" s="77">
        <v>1.5806763812306639</v>
      </c>
      <c r="G6" s="76" t="s">
        <v>172</v>
      </c>
      <c r="H6" s="77">
        <v>3.0291773948414247</v>
      </c>
      <c r="J6" s="76" t="s">
        <v>173</v>
      </c>
      <c r="K6" s="77">
        <v>5.1635046388777424</v>
      </c>
      <c r="M6" s="76" t="s">
        <v>211</v>
      </c>
      <c r="N6" s="77">
        <v>7.4990589179901326</v>
      </c>
    </row>
    <row r="7" spans="1:14" x14ac:dyDescent="0.25">
      <c r="D7" s="76" t="s">
        <v>168</v>
      </c>
      <c r="E7" s="77">
        <v>1.4794834103460122</v>
      </c>
      <c r="G7" s="76" t="s">
        <v>173</v>
      </c>
      <c r="H7" s="77">
        <v>2.042136553081618</v>
      </c>
      <c r="J7" s="76" t="s">
        <v>211</v>
      </c>
      <c r="K7" s="77">
        <v>5.8259590265690795</v>
      </c>
      <c r="M7" s="86" t="s">
        <v>213</v>
      </c>
      <c r="N7" s="87">
        <f>AVERAGE(N4:N5)</f>
        <v>7.4990589179901326</v>
      </c>
    </row>
    <row r="8" spans="1:14" x14ac:dyDescent="0.25">
      <c r="D8" s="76" t="s">
        <v>171</v>
      </c>
      <c r="E8" s="77">
        <v>0.97146367060579686</v>
      </c>
      <c r="G8" s="76" t="s">
        <v>167</v>
      </c>
      <c r="H8" s="77">
        <v>2.5</v>
      </c>
      <c r="J8" s="86" t="s">
        <v>213</v>
      </c>
      <c r="K8" s="87">
        <f>AVERAGE(K4:K6)</f>
        <v>4.807201944334679</v>
      </c>
    </row>
    <row r="9" spans="1:14" x14ac:dyDescent="0.25">
      <c r="D9" s="76" t="s">
        <v>173</v>
      </c>
      <c r="E9" s="77">
        <v>1.2307641755925045</v>
      </c>
      <c r="G9" s="76" t="s">
        <v>211</v>
      </c>
      <c r="H9" s="77">
        <v>2.5078186848300463</v>
      </c>
      <c r="K9" s="78" t="s">
        <v>69</v>
      </c>
      <c r="L9" s="79" t="s">
        <v>165</v>
      </c>
    </row>
    <row r="10" spans="1:14" x14ac:dyDescent="0.25">
      <c r="A10" s="78" t="s">
        <v>69</v>
      </c>
      <c r="B10" s="79" t="s">
        <v>196</v>
      </c>
      <c r="D10" s="76" t="s">
        <v>211</v>
      </c>
      <c r="E10" s="77">
        <v>1.2617401368798644</v>
      </c>
      <c r="G10" s="86" t="s">
        <v>213</v>
      </c>
      <c r="H10" s="87">
        <f>AVERAGE(H4:H8)</f>
        <v>2.5577241035551288</v>
      </c>
      <c r="K10" s="75"/>
      <c r="L10" s="75"/>
    </row>
    <row r="11" spans="1:14" x14ac:dyDescent="0.25">
      <c r="A11" s="75"/>
      <c r="B11" s="75"/>
      <c r="D11" s="86" t="s">
        <v>213</v>
      </c>
      <c r="E11" s="87">
        <f>AVERAGE(E4:E9)</f>
        <v>1.418967235484885</v>
      </c>
      <c r="K11" s="74" t="s">
        <v>210</v>
      </c>
      <c r="L11" s="75" t="s">
        <v>212</v>
      </c>
    </row>
    <row r="12" spans="1:14" x14ac:dyDescent="0.25">
      <c r="A12" s="74" t="s">
        <v>210</v>
      </c>
      <c r="B12" s="75" t="s">
        <v>212</v>
      </c>
      <c r="K12" s="76" t="s">
        <v>170</v>
      </c>
      <c r="L12" s="77">
        <v>1.2007936330416782</v>
      </c>
    </row>
    <row r="13" spans="1:14" x14ac:dyDescent="0.25">
      <c r="A13" s="76" t="s">
        <v>167</v>
      </c>
      <c r="B13" s="77">
        <v>6.5</v>
      </c>
      <c r="D13" s="72"/>
      <c r="E13" s="73"/>
      <c r="K13" s="76" t="s">
        <v>176</v>
      </c>
      <c r="L13" s="77">
        <v>1.6537934308679081</v>
      </c>
    </row>
    <row r="14" spans="1:14" x14ac:dyDescent="0.25">
      <c r="A14" s="76" t="s">
        <v>211</v>
      </c>
      <c r="B14" s="77">
        <v>6.5</v>
      </c>
      <c r="D14" s="72"/>
      <c r="E14" s="73"/>
      <c r="G14" s="78" t="s">
        <v>69</v>
      </c>
      <c r="H14" s="79" t="s">
        <v>131</v>
      </c>
      <c r="K14" s="76" t="s">
        <v>211</v>
      </c>
      <c r="L14" s="77">
        <v>1.4272935319547932</v>
      </c>
    </row>
    <row r="15" spans="1:14" x14ac:dyDescent="0.25">
      <c r="A15" s="82" t="s">
        <v>213</v>
      </c>
      <c r="B15" s="84">
        <v>6.5</v>
      </c>
      <c r="D15" s="72"/>
      <c r="E15" s="73"/>
      <c r="G15" s="75"/>
      <c r="H15" s="75"/>
      <c r="K15" s="86" t="s">
        <v>213</v>
      </c>
      <c r="L15" s="87">
        <f>AVERAGE(L12:L13)</f>
        <v>1.4272935319547932</v>
      </c>
    </row>
    <row r="16" spans="1:14" x14ac:dyDescent="0.25">
      <c r="A16" s="78" t="s">
        <v>69</v>
      </c>
      <c r="B16" s="79" t="s">
        <v>141</v>
      </c>
      <c r="D16" s="72"/>
      <c r="E16" s="73"/>
      <c r="G16" s="74" t="s">
        <v>210</v>
      </c>
      <c r="H16" s="75" t="s">
        <v>212</v>
      </c>
    </row>
    <row r="17" spans="1:12" x14ac:dyDescent="0.25">
      <c r="A17" s="75"/>
      <c r="B17" s="75"/>
      <c r="D17" s="72"/>
      <c r="E17" s="73"/>
      <c r="G17" s="76" t="s">
        <v>174</v>
      </c>
      <c r="H17" s="77">
        <v>0.76558845019723076</v>
      </c>
    </row>
    <row r="18" spans="1:12" x14ac:dyDescent="0.25">
      <c r="A18" s="74" t="s">
        <v>210</v>
      </c>
      <c r="B18" s="75" t="s">
        <v>212</v>
      </c>
      <c r="D18" s="72"/>
      <c r="E18" s="73"/>
      <c r="G18" s="76" t="s">
        <v>170</v>
      </c>
      <c r="H18" s="77">
        <v>1.4849540362195353</v>
      </c>
      <c r="K18" s="78" t="s">
        <v>69</v>
      </c>
      <c r="L18" s="79" t="s">
        <v>133</v>
      </c>
    </row>
    <row r="19" spans="1:12" x14ac:dyDescent="0.25">
      <c r="A19" s="76" t="s">
        <v>171</v>
      </c>
      <c r="B19" s="77">
        <v>1.6651510049498304</v>
      </c>
      <c r="D19" s="72"/>
      <c r="E19" s="73"/>
      <c r="G19" s="76" t="s">
        <v>177</v>
      </c>
      <c r="H19" s="77">
        <v>2.1170956821339351</v>
      </c>
      <c r="K19" s="75"/>
      <c r="L19" s="75"/>
    </row>
    <row r="20" spans="1:12" x14ac:dyDescent="0.25">
      <c r="A20" s="76" t="s">
        <v>176</v>
      </c>
      <c r="B20" s="77">
        <v>1.1466290648202664</v>
      </c>
      <c r="D20" s="72"/>
      <c r="E20" s="73"/>
      <c r="G20" s="76" t="s">
        <v>169</v>
      </c>
      <c r="H20" s="77">
        <v>1.3894248629666022</v>
      </c>
      <c r="K20" s="74" t="s">
        <v>210</v>
      </c>
      <c r="L20" s="75" t="s">
        <v>212</v>
      </c>
    </row>
    <row r="21" spans="1:12" x14ac:dyDescent="0.25">
      <c r="A21" s="76" t="s">
        <v>211</v>
      </c>
      <c r="B21" s="77">
        <v>1.5355205199174393</v>
      </c>
      <c r="D21" s="72"/>
      <c r="E21" s="73"/>
      <c r="G21" s="76" t="s">
        <v>180</v>
      </c>
      <c r="H21" s="77">
        <v>1.7903212444492185</v>
      </c>
      <c r="K21" s="76" t="s">
        <v>175</v>
      </c>
      <c r="L21" s="77">
        <v>1.0426350561035722</v>
      </c>
    </row>
    <row r="22" spans="1:12" x14ac:dyDescent="0.25">
      <c r="A22" s="82" t="s">
        <v>213</v>
      </c>
      <c r="B22" s="83">
        <f>AVERAGE(GETPIVOTDATA("Vehicle Capacity",$A$18,"OU Code","BDQT1"),GETPIVOTDATA("Vehicle Capacity",$A$18,"OU Code","RAJB1"))</f>
        <v>1.4058900348850485</v>
      </c>
      <c r="D22" s="72"/>
      <c r="E22" s="73"/>
      <c r="G22" s="76" t="s">
        <v>176</v>
      </c>
      <c r="H22" s="77">
        <v>1.3434882381767432</v>
      </c>
      <c r="K22" s="76" t="s">
        <v>170</v>
      </c>
      <c r="L22" s="77">
        <v>0.75264980525332092</v>
      </c>
    </row>
    <row r="23" spans="1:12" x14ac:dyDescent="0.25">
      <c r="A23" s="85"/>
      <c r="D23" s="72"/>
      <c r="E23" s="73"/>
      <c r="G23" s="76" t="s">
        <v>211</v>
      </c>
      <c r="H23" s="77">
        <v>1.5040526693998157</v>
      </c>
      <c r="K23" s="76" t="s">
        <v>171</v>
      </c>
      <c r="L23" s="77">
        <v>0.79022382032227789</v>
      </c>
    </row>
    <row r="24" spans="1:12" x14ac:dyDescent="0.25">
      <c r="D24" s="72"/>
      <c r="E24" s="73"/>
      <c r="G24" s="86" t="s">
        <v>213</v>
      </c>
      <c r="H24" s="87">
        <f>AVERAGE(H17:H22)</f>
        <v>1.4818120856905441</v>
      </c>
      <c r="K24" s="76" t="s">
        <v>169</v>
      </c>
      <c r="L24" s="77">
        <v>0.9429848152367003</v>
      </c>
    </row>
    <row r="25" spans="1:12" x14ac:dyDescent="0.25">
      <c r="D25" s="72"/>
      <c r="E25" s="73"/>
      <c r="K25" s="76" t="s">
        <v>172</v>
      </c>
      <c r="L25" s="77">
        <v>0.78423707313208679</v>
      </c>
    </row>
    <row r="26" spans="1:12" x14ac:dyDescent="0.25">
      <c r="D26" s="72"/>
      <c r="E26" s="73"/>
      <c r="K26" s="76" t="s">
        <v>179</v>
      </c>
      <c r="L26" s="77">
        <v>1.020976097530419</v>
      </c>
    </row>
    <row r="27" spans="1:12" x14ac:dyDescent="0.25">
      <c r="D27" s="72"/>
      <c r="E27" s="73"/>
      <c r="K27" s="76" t="s">
        <v>176</v>
      </c>
      <c r="L27" s="77">
        <v>0.44282249549748876</v>
      </c>
    </row>
    <row r="28" spans="1:12" x14ac:dyDescent="0.25">
      <c r="K28" s="76" t="s">
        <v>173</v>
      </c>
      <c r="L28" s="77">
        <v>1.0764283836997799</v>
      </c>
    </row>
    <row r="29" spans="1:12" x14ac:dyDescent="0.25">
      <c r="K29" s="76" t="s">
        <v>167</v>
      </c>
      <c r="L29" s="77">
        <v>0.75</v>
      </c>
    </row>
    <row r="30" spans="1:12" x14ac:dyDescent="0.25">
      <c r="K30" s="76" t="s">
        <v>211</v>
      </c>
      <c r="L30" s="77">
        <v>0.87167911083665661</v>
      </c>
    </row>
    <row r="31" spans="1:12" x14ac:dyDescent="0.25">
      <c r="K31" s="86" t="s">
        <v>213</v>
      </c>
      <c r="L31" s="87">
        <f>AVERAGE(L21:L29)</f>
        <v>0.84477306075284964</v>
      </c>
    </row>
  </sheetData>
  <pageMargins left="0.7" right="0.7" top="0.75" bottom="0.75" header="0.3" footer="0.3"/>
  <pageSetup orientation="portrait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50"/>
  <sheetViews>
    <sheetView workbookViewId="0">
      <selection activeCell="B3" sqref="B3"/>
    </sheetView>
  </sheetViews>
  <sheetFormatPr defaultRowHeight="15" x14ac:dyDescent="0.25"/>
  <cols>
    <col min="1" max="1" width="32.5703125" bestFit="1" customWidth="1"/>
    <col min="2" max="2" width="18.140625" customWidth="1"/>
  </cols>
  <sheetData>
    <row r="1" spans="1:2" x14ac:dyDescent="0.25">
      <c r="A1" s="105" t="s">
        <v>215</v>
      </c>
      <c r="B1" s="106" t="s">
        <v>214</v>
      </c>
    </row>
    <row r="2" spans="1:2" x14ac:dyDescent="0.25">
      <c r="A2" s="107" t="s">
        <v>13</v>
      </c>
      <c r="B2" s="109">
        <v>115928.81299810966</v>
      </c>
    </row>
    <row r="3" spans="1:2" x14ac:dyDescent="0.25">
      <c r="A3" s="107" t="s">
        <v>14</v>
      </c>
      <c r="B3" s="109">
        <v>48000</v>
      </c>
    </row>
    <row r="4" spans="1:2" x14ac:dyDescent="0.25">
      <c r="A4" s="107" t="s">
        <v>16</v>
      </c>
      <c r="B4" s="109">
        <v>92974.742564298867</v>
      </c>
    </row>
    <row r="5" spans="1:2" x14ac:dyDescent="0.25">
      <c r="A5" s="107" t="s">
        <v>17</v>
      </c>
      <c r="B5" s="109">
        <v>65814.976221147692</v>
      </c>
    </row>
    <row r="6" spans="1:2" x14ac:dyDescent="0.25">
      <c r="A6" s="107" t="s">
        <v>18</v>
      </c>
      <c r="B6" s="109">
        <v>60714.971483488618</v>
      </c>
    </row>
    <row r="7" spans="1:2" x14ac:dyDescent="0.25">
      <c r="A7" s="107" t="s">
        <v>19</v>
      </c>
      <c r="B7" s="109">
        <v>61897.857143266796</v>
      </c>
    </row>
    <row r="8" spans="1:2" x14ac:dyDescent="0.25">
      <c r="A8" s="107" t="s">
        <v>21</v>
      </c>
      <c r="B8" s="109">
        <v>55656.645092919869</v>
      </c>
    </row>
    <row r="9" spans="1:2" x14ac:dyDescent="0.25">
      <c r="A9" s="107" t="s">
        <v>23</v>
      </c>
      <c r="B9" s="109">
        <v>282405.18454591872</v>
      </c>
    </row>
    <row r="10" spans="1:2" x14ac:dyDescent="0.25">
      <c r="A10" s="107" t="s">
        <v>25</v>
      </c>
      <c r="B10" s="109">
        <v>51176.910857713417</v>
      </c>
    </row>
    <row r="11" spans="1:2" x14ac:dyDescent="0.25">
      <c r="A11" s="107" t="s">
        <v>26</v>
      </c>
      <c r="B11" s="109">
        <v>154718.66332843876</v>
      </c>
    </row>
    <row r="12" spans="1:2" x14ac:dyDescent="0.25">
      <c r="A12" s="107" t="s">
        <v>27</v>
      </c>
      <c r="B12" s="109">
        <v>62706.369224623049</v>
      </c>
    </row>
    <row r="13" spans="1:2" x14ac:dyDescent="0.25">
      <c r="A13" s="107" t="s">
        <v>28</v>
      </c>
      <c r="B13" s="109">
        <v>44428.571428571428</v>
      </c>
    </row>
    <row r="14" spans="1:2" x14ac:dyDescent="0.25">
      <c r="A14" s="107" t="s">
        <v>29</v>
      </c>
      <c r="B14" s="109">
        <v>47185.001919257047</v>
      </c>
    </row>
    <row r="15" spans="1:2" x14ac:dyDescent="0.25">
      <c r="A15" s="107" t="s">
        <v>30</v>
      </c>
      <c r="B15" s="109">
        <v>65814.976221147692</v>
      </c>
    </row>
    <row r="16" spans="1:2" x14ac:dyDescent="0.25">
      <c r="A16" s="107" t="s">
        <v>31</v>
      </c>
      <c r="B16" s="109">
        <v>62633.001229891568</v>
      </c>
    </row>
    <row r="17" spans="1:2" x14ac:dyDescent="0.25">
      <c r="A17" s="107" t="s">
        <v>32</v>
      </c>
      <c r="B17" s="109">
        <v>92974.742564298867</v>
      </c>
    </row>
    <row r="18" spans="1:2" x14ac:dyDescent="0.25">
      <c r="A18" s="107" t="s">
        <v>33</v>
      </c>
      <c r="B18" s="109">
        <v>96000</v>
      </c>
    </row>
    <row r="19" spans="1:2" x14ac:dyDescent="0.25">
      <c r="A19" s="107" t="s">
        <v>34</v>
      </c>
      <c r="B19" s="109">
        <v>123141.96749020558</v>
      </c>
    </row>
    <row r="20" spans="1:2" x14ac:dyDescent="0.25">
      <c r="A20" s="107" t="s">
        <v>35</v>
      </c>
      <c r="B20" s="109">
        <v>53114.804651662824</v>
      </c>
    </row>
    <row r="21" spans="1:2" x14ac:dyDescent="0.25">
      <c r="A21" s="107" t="s">
        <v>36</v>
      </c>
      <c r="B21" s="109">
        <v>178983.61801476817</v>
      </c>
    </row>
    <row r="22" spans="1:2" x14ac:dyDescent="0.25">
      <c r="A22" s="107" t="s">
        <v>37</v>
      </c>
      <c r="B22" s="109">
        <v>113429.47923679493</v>
      </c>
    </row>
    <row r="23" spans="1:2" x14ac:dyDescent="0.25">
      <c r="A23" s="107" t="s">
        <v>38</v>
      </c>
      <c r="B23" s="109">
        <v>57264.323133455633</v>
      </c>
    </row>
    <row r="24" spans="1:2" x14ac:dyDescent="0.25">
      <c r="A24" s="107" t="s">
        <v>39</v>
      </c>
      <c r="B24" s="109">
        <v>53600.862449123269</v>
      </c>
    </row>
    <row r="25" spans="1:2" x14ac:dyDescent="0.25">
      <c r="A25" s="107" t="s">
        <v>40</v>
      </c>
      <c r="B25" s="109">
        <v>104169.82934834032</v>
      </c>
    </row>
    <row r="26" spans="1:2" x14ac:dyDescent="0.25">
      <c r="A26" s="107" t="s">
        <v>41</v>
      </c>
      <c r="B26" s="109">
        <v>52742.42327509381</v>
      </c>
    </row>
    <row r="27" spans="1:2" x14ac:dyDescent="0.25">
      <c r="A27" s="107" t="s">
        <v>42</v>
      </c>
      <c r="B27" s="109">
        <v>83534.160484631124</v>
      </c>
    </row>
    <row r="28" spans="1:2" x14ac:dyDescent="0.25">
      <c r="A28" s="107" t="s">
        <v>43</v>
      </c>
      <c r="B28" s="109">
        <v>68500.275181934616</v>
      </c>
    </row>
    <row r="29" spans="1:2" x14ac:dyDescent="0.25">
      <c r="A29" s="107" t="s">
        <v>44</v>
      </c>
      <c r="B29" s="109">
        <v>57938.720654163102</v>
      </c>
    </row>
    <row r="30" spans="1:2" x14ac:dyDescent="0.25">
      <c r="A30" s="107" t="s">
        <v>45</v>
      </c>
      <c r="B30" s="109">
        <v>96000</v>
      </c>
    </row>
    <row r="31" spans="1:2" x14ac:dyDescent="0.25">
      <c r="A31" s="107" t="s">
        <v>46</v>
      </c>
      <c r="B31" s="109">
        <v>52742.42327509381</v>
      </c>
    </row>
    <row r="32" spans="1:2" x14ac:dyDescent="0.25">
      <c r="A32" s="107" t="s">
        <v>47</v>
      </c>
      <c r="B32" s="109">
        <v>93998.284060462553</v>
      </c>
    </row>
    <row r="33" spans="1:2" x14ac:dyDescent="0.25">
      <c r="A33" s="107" t="s">
        <v>48</v>
      </c>
      <c r="B33" s="109">
        <v>56615.46394439719</v>
      </c>
    </row>
    <row r="34" spans="1:2" x14ac:dyDescent="0.25">
      <c r="A34" s="107" t="s">
        <v>49</v>
      </c>
      <c r="B34" s="109">
        <v>56169.829348340325</v>
      </c>
    </row>
    <row r="35" spans="1:2" x14ac:dyDescent="0.25">
      <c r="A35" s="107" t="s">
        <v>50</v>
      </c>
      <c r="B35" s="109">
        <v>96000</v>
      </c>
    </row>
    <row r="36" spans="1:2" x14ac:dyDescent="0.25">
      <c r="A36" s="107" t="s">
        <v>51</v>
      </c>
      <c r="B36" s="109">
        <v>68500.275181934616</v>
      </c>
    </row>
    <row r="37" spans="1:2" x14ac:dyDescent="0.25">
      <c r="A37" s="107" t="s">
        <v>52</v>
      </c>
      <c r="B37" s="109">
        <v>114994.99165417532</v>
      </c>
    </row>
    <row r="38" spans="1:2" x14ac:dyDescent="0.25">
      <c r="A38" s="107" t="s">
        <v>53</v>
      </c>
      <c r="B38" s="109">
        <v>52195.51069292958</v>
      </c>
    </row>
    <row r="39" spans="1:2" x14ac:dyDescent="0.25">
      <c r="A39" s="107" t="s">
        <v>54</v>
      </c>
      <c r="B39" s="109">
        <v>133925.71024739055</v>
      </c>
    </row>
    <row r="40" spans="1:2" x14ac:dyDescent="0.25">
      <c r="A40" s="107" t="s">
        <v>55</v>
      </c>
      <c r="B40" s="109">
        <v>96000</v>
      </c>
    </row>
    <row r="41" spans="1:2" x14ac:dyDescent="0.25">
      <c r="A41" s="107" t="s">
        <v>56</v>
      </c>
      <c r="B41" s="109">
        <v>57938.720654163102</v>
      </c>
    </row>
    <row r="42" spans="1:2" x14ac:dyDescent="0.25">
      <c r="A42" s="107" t="s">
        <v>57</v>
      </c>
      <c r="B42" s="109">
        <v>52742.42327509381</v>
      </c>
    </row>
    <row r="43" spans="1:2" x14ac:dyDescent="0.25">
      <c r="A43" s="107" t="s">
        <v>58</v>
      </c>
      <c r="B43" s="109">
        <v>56169.829348340325</v>
      </c>
    </row>
    <row r="44" spans="1:2" x14ac:dyDescent="0.25">
      <c r="A44" s="107" t="s">
        <v>59</v>
      </c>
      <c r="B44" s="109">
        <v>300950.1874519171</v>
      </c>
    </row>
    <row r="45" spans="1:2" x14ac:dyDescent="0.25">
      <c r="A45" s="107" t="s">
        <v>60</v>
      </c>
      <c r="B45" s="109">
        <v>64667.720972774769</v>
      </c>
    </row>
    <row r="46" spans="1:2" x14ac:dyDescent="0.25">
      <c r="A46" s="107" t="s">
        <v>61</v>
      </c>
      <c r="B46" s="109">
        <v>96000</v>
      </c>
    </row>
    <row r="47" spans="1:2" x14ac:dyDescent="0.25">
      <c r="A47" s="107" t="s">
        <v>62</v>
      </c>
      <c r="B47" s="109">
        <v>57264.323133455633</v>
      </c>
    </row>
    <row r="48" spans="1:2" x14ac:dyDescent="0.25">
      <c r="A48" s="107" t="s">
        <v>63</v>
      </c>
      <c r="B48" s="109">
        <v>56539.049434836263</v>
      </c>
    </row>
    <row r="49" spans="1:2" x14ac:dyDescent="0.25">
      <c r="A49" s="107" t="s">
        <v>64</v>
      </c>
      <c r="B49" s="109">
        <v>61808.575521938008</v>
      </c>
    </row>
    <row r="50" spans="1:2" x14ac:dyDescent="0.25">
      <c r="A50" s="108" t="s">
        <v>211</v>
      </c>
      <c r="B50" s="110">
        <v>4128675.2089405083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B50"/>
  <sheetViews>
    <sheetView topLeftCell="A26" workbookViewId="0">
      <selection activeCell="C9" sqref="C9"/>
    </sheetView>
  </sheetViews>
  <sheetFormatPr defaultRowHeight="15" x14ac:dyDescent="0.25"/>
  <cols>
    <col min="1" max="2" width="22.5703125" bestFit="1" customWidth="1"/>
    <col min="3" max="3" width="32.5703125" bestFit="1" customWidth="1"/>
    <col min="4" max="4" width="24.28515625" customWidth="1"/>
  </cols>
  <sheetData>
    <row r="1" spans="1:2" x14ac:dyDescent="0.25">
      <c r="A1" s="125" t="s">
        <v>215</v>
      </c>
      <c r="B1" s="126" t="s">
        <v>306</v>
      </c>
    </row>
    <row r="2" spans="1:2" x14ac:dyDescent="0.25">
      <c r="A2" s="127" t="s">
        <v>13</v>
      </c>
      <c r="B2" s="128">
        <v>3.25</v>
      </c>
    </row>
    <row r="3" spans="1:2" x14ac:dyDescent="0.25">
      <c r="A3" s="129" t="s">
        <v>14</v>
      </c>
      <c r="B3" s="130">
        <v>2.5</v>
      </c>
    </row>
    <row r="4" spans="1:2" x14ac:dyDescent="0.25">
      <c r="A4" s="127" t="s">
        <v>16</v>
      </c>
      <c r="B4" s="128">
        <v>6.5900268382448797</v>
      </c>
    </row>
    <row r="5" spans="1:2" x14ac:dyDescent="0.25">
      <c r="A5" s="129" t="s">
        <v>17</v>
      </c>
      <c r="B5" s="130">
        <v>1.3894248629666022</v>
      </c>
    </row>
    <row r="6" spans="1:2" x14ac:dyDescent="0.25">
      <c r="A6" s="127" t="s">
        <v>18</v>
      </c>
      <c r="B6" s="128">
        <v>1.5806763812306639</v>
      </c>
    </row>
    <row r="7" spans="1:2" x14ac:dyDescent="0.25">
      <c r="A7" s="129" t="s">
        <v>19</v>
      </c>
      <c r="B7" s="130">
        <v>0.75264980525332092</v>
      </c>
    </row>
    <row r="8" spans="1:2" x14ac:dyDescent="0.25">
      <c r="A8" s="127" t="s">
        <v>21</v>
      </c>
      <c r="B8" s="128">
        <v>0.78423707313208679</v>
      </c>
    </row>
    <row r="9" spans="1:2" x14ac:dyDescent="0.25">
      <c r="A9" s="129" t="s">
        <v>23</v>
      </c>
      <c r="B9" s="130">
        <v>15.446351858149463</v>
      </c>
    </row>
    <row r="10" spans="1:2" x14ac:dyDescent="0.25">
      <c r="A10" s="127" t="s">
        <v>25</v>
      </c>
      <c r="B10" s="128">
        <v>0.79022382032227789</v>
      </c>
    </row>
    <row r="11" spans="1:2" x14ac:dyDescent="0.25">
      <c r="A11" s="129" t="s">
        <v>26</v>
      </c>
      <c r="B11" s="130">
        <v>11.139189777919212</v>
      </c>
    </row>
    <row r="12" spans="1:2" x14ac:dyDescent="0.25">
      <c r="A12" s="127" t="s">
        <v>27</v>
      </c>
      <c r="B12" s="128">
        <v>1.0426350561035722</v>
      </c>
    </row>
    <row r="13" spans="1:2" x14ac:dyDescent="0.25">
      <c r="A13" s="129" t="s">
        <v>28</v>
      </c>
      <c r="B13" s="130">
        <v>0.75</v>
      </c>
    </row>
    <row r="14" spans="1:2" x14ac:dyDescent="0.25">
      <c r="A14" s="127" t="s">
        <v>29</v>
      </c>
      <c r="B14" s="128">
        <v>1.1466290648202664</v>
      </c>
    </row>
    <row r="15" spans="1:2" x14ac:dyDescent="0.25">
      <c r="A15" s="129" t="s">
        <v>30</v>
      </c>
      <c r="B15" s="130">
        <v>1.3894248629666022</v>
      </c>
    </row>
    <row r="16" spans="1:2" x14ac:dyDescent="0.25">
      <c r="A16" s="127" t="s">
        <v>31</v>
      </c>
      <c r="B16" s="128">
        <v>2.1170956821339351</v>
      </c>
    </row>
    <row r="17" spans="1:2" x14ac:dyDescent="0.25">
      <c r="A17" s="129" t="s">
        <v>32</v>
      </c>
      <c r="B17" s="130">
        <v>6.5900268382448797</v>
      </c>
    </row>
    <row r="18" spans="1:2" x14ac:dyDescent="0.25">
      <c r="A18" s="127" t="s">
        <v>33</v>
      </c>
      <c r="B18" s="128">
        <v>6.3444422201305457</v>
      </c>
    </row>
    <row r="19" spans="1:2" x14ac:dyDescent="0.25">
      <c r="A19" s="129" t="s">
        <v>34</v>
      </c>
      <c r="B19" s="130">
        <v>3.8134144679735114</v>
      </c>
    </row>
    <row r="20" spans="1:2" x14ac:dyDescent="0.25">
      <c r="A20" s="127" t="s">
        <v>35</v>
      </c>
      <c r="B20" s="128">
        <v>1.3434882381767432</v>
      </c>
    </row>
    <row r="21" spans="1:2" x14ac:dyDescent="0.25">
      <c r="A21" s="129" t="s">
        <v>36</v>
      </c>
      <c r="B21" s="130">
        <v>5.3684070833387372</v>
      </c>
    </row>
    <row r="22" spans="1:2" x14ac:dyDescent="0.25">
      <c r="A22" s="127" t="s">
        <v>37</v>
      </c>
      <c r="B22" s="128">
        <v>2.4553748252721084</v>
      </c>
    </row>
    <row r="23" spans="1:2" x14ac:dyDescent="0.25">
      <c r="A23" s="129" t="s">
        <v>38</v>
      </c>
      <c r="B23" s="130">
        <v>1.4794834103460122</v>
      </c>
    </row>
    <row r="24" spans="1:2" x14ac:dyDescent="0.25">
      <c r="A24" s="127" t="s">
        <v>39</v>
      </c>
      <c r="B24" s="128">
        <v>1.4205369964896497</v>
      </c>
    </row>
    <row r="25" spans="1:2" x14ac:dyDescent="0.25">
      <c r="A25" s="129" t="s">
        <v>40</v>
      </c>
      <c r="B25" s="130">
        <v>3.1185649367813979</v>
      </c>
    </row>
    <row r="26" spans="1:2" x14ac:dyDescent="0.25">
      <c r="A26" s="127" t="s">
        <v>41</v>
      </c>
      <c r="B26" s="128">
        <v>0.97146367060579686</v>
      </c>
    </row>
    <row r="27" spans="1:2" x14ac:dyDescent="0.25">
      <c r="A27" s="129" t="s">
        <v>42</v>
      </c>
      <c r="B27" s="130">
        <v>1.2307641755925045</v>
      </c>
    </row>
    <row r="28" spans="1:2" x14ac:dyDescent="0.25">
      <c r="A28" s="127" t="s">
        <v>43</v>
      </c>
      <c r="B28" s="128">
        <v>0.9429848152367003</v>
      </c>
    </row>
    <row r="29" spans="1:2" x14ac:dyDescent="0.25">
      <c r="A29" s="129" t="s">
        <v>44</v>
      </c>
      <c r="B29" s="130">
        <v>1.4849540362195355</v>
      </c>
    </row>
    <row r="30" spans="1:2" x14ac:dyDescent="0.25">
      <c r="A30" s="127" t="s">
        <v>45</v>
      </c>
      <c r="B30" s="128">
        <v>6.5900268382448797</v>
      </c>
    </row>
    <row r="31" spans="1:2" x14ac:dyDescent="0.25">
      <c r="A31" s="129" t="s">
        <v>46</v>
      </c>
      <c r="B31" s="130">
        <v>0.97146367060579686</v>
      </c>
    </row>
    <row r="32" spans="1:2" x14ac:dyDescent="0.25">
      <c r="A32" s="127" t="s">
        <v>47</v>
      </c>
      <c r="B32" s="128">
        <v>2.0966159263653967</v>
      </c>
    </row>
    <row r="33" spans="1:2" x14ac:dyDescent="0.25">
      <c r="A33" s="129" t="s">
        <v>48</v>
      </c>
      <c r="B33" s="130">
        <v>1.0426350561035722</v>
      </c>
    </row>
    <row r="34" spans="1:2" x14ac:dyDescent="0.25">
      <c r="A34" s="127" t="s">
        <v>49</v>
      </c>
      <c r="B34" s="128">
        <v>1.0764283836997799</v>
      </c>
    </row>
    <row r="35" spans="1:2" x14ac:dyDescent="0.25">
      <c r="A35" s="129" t="s">
        <v>50</v>
      </c>
      <c r="B35" s="130">
        <v>6.5900268382448797</v>
      </c>
    </row>
    <row r="36" spans="1:2" x14ac:dyDescent="0.25">
      <c r="A36" s="127" t="s">
        <v>51</v>
      </c>
      <c r="B36" s="128">
        <v>0.9429848152367003</v>
      </c>
    </row>
    <row r="37" spans="1:2" x14ac:dyDescent="0.25">
      <c r="A37" s="129" t="s">
        <v>52</v>
      </c>
      <c r="B37" s="130">
        <v>2.6366146755556272</v>
      </c>
    </row>
    <row r="38" spans="1:2" x14ac:dyDescent="0.25">
      <c r="A38" s="127" t="s">
        <v>53</v>
      </c>
      <c r="B38" s="128">
        <v>1.020976097530419</v>
      </c>
    </row>
    <row r="39" spans="1:2" x14ac:dyDescent="0.25">
      <c r="A39" s="129" t="s">
        <v>54</v>
      </c>
      <c r="B39" s="130">
        <v>3.5806424888984369</v>
      </c>
    </row>
    <row r="40" spans="1:2" x14ac:dyDescent="0.25">
      <c r="A40" s="127" t="s">
        <v>55</v>
      </c>
      <c r="B40" s="128">
        <v>6.5900268382448797</v>
      </c>
    </row>
    <row r="41" spans="1:2" x14ac:dyDescent="0.25">
      <c r="A41" s="129" t="s">
        <v>56</v>
      </c>
      <c r="B41" s="130">
        <v>1.4849540362195355</v>
      </c>
    </row>
    <row r="42" spans="1:2" x14ac:dyDescent="0.25">
      <c r="A42" s="127" t="s">
        <v>57</v>
      </c>
      <c r="B42" s="128">
        <v>0.97146367060579686</v>
      </c>
    </row>
    <row r="43" spans="1:2" x14ac:dyDescent="0.25">
      <c r="A43" s="129" t="s">
        <v>58</v>
      </c>
      <c r="B43" s="130">
        <v>1.0764283836997799</v>
      </c>
    </row>
    <row r="44" spans="1:2" x14ac:dyDescent="0.25">
      <c r="A44" s="127" t="s">
        <v>59</v>
      </c>
      <c r="B44" s="128">
        <v>6.1064718303959511</v>
      </c>
    </row>
    <row r="45" spans="1:2" x14ac:dyDescent="0.25">
      <c r="A45" s="129" t="s">
        <v>60</v>
      </c>
      <c r="B45" s="130">
        <v>0.76558845019723076</v>
      </c>
    </row>
    <row r="46" spans="1:2" x14ac:dyDescent="0.25">
      <c r="A46" s="127" t="s">
        <v>61</v>
      </c>
      <c r="B46" s="128">
        <v>6.5</v>
      </c>
    </row>
    <row r="47" spans="1:2" x14ac:dyDescent="0.25">
      <c r="A47" s="129" t="s">
        <v>62</v>
      </c>
      <c r="B47" s="130">
        <v>1.4794834103460122</v>
      </c>
    </row>
    <row r="48" spans="1:2" x14ac:dyDescent="0.25">
      <c r="A48" s="127" t="s">
        <v>63</v>
      </c>
      <c r="B48" s="128">
        <v>1.8308787786446832</v>
      </c>
    </row>
    <row r="49" spans="1:2" x14ac:dyDescent="0.25">
      <c r="A49" s="129" t="s">
        <v>64</v>
      </c>
      <c r="B49" s="130">
        <v>2.7317924077831095</v>
      </c>
    </row>
    <row r="50" spans="1:2" x14ac:dyDescent="0.25">
      <c r="A50" s="131" t="s">
        <v>211</v>
      </c>
      <c r="B50" s="132">
        <v>143.31797339427345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64"/>
  <sheetViews>
    <sheetView workbookViewId="0">
      <selection activeCell="I18" sqref="I18"/>
    </sheetView>
  </sheetViews>
  <sheetFormatPr defaultRowHeight="15" x14ac:dyDescent="0.25"/>
  <cols>
    <col min="1" max="1" width="8.28515625" bestFit="1" customWidth="1"/>
    <col min="2" max="2" width="32.5703125" bestFit="1" customWidth="1"/>
    <col min="3" max="3" width="7.5703125" bestFit="1" customWidth="1"/>
    <col min="4" max="4" width="11.7109375" bestFit="1" customWidth="1"/>
    <col min="5" max="5" width="12" bestFit="1" customWidth="1"/>
    <col min="6" max="6" width="16.28515625" bestFit="1" customWidth="1"/>
  </cols>
  <sheetData>
    <row r="1" spans="1:6" x14ac:dyDescent="0.25">
      <c r="A1" s="111" t="s">
        <v>216</v>
      </c>
      <c r="B1" s="111" t="s">
        <v>217</v>
      </c>
      <c r="C1" s="111" t="s">
        <v>218</v>
      </c>
      <c r="D1" s="111" t="s">
        <v>219</v>
      </c>
      <c r="E1" s="111" t="s">
        <v>220</v>
      </c>
      <c r="F1" s="112" t="s">
        <v>221</v>
      </c>
    </row>
    <row r="2" spans="1:6" x14ac:dyDescent="0.25">
      <c r="A2" s="113" t="s">
        <v>222</v>
      </c>
      <c r="B2" s="113" t="s">
        <v>223</v>
      </c>
      <c r="C2" s="113" t="s">
        <v>168</v>
      </c>
      <c r="D2" s="113" t="s">
        <v>224</v>
      </c>
      <c r="E2" s="114">
        <v>110594.489</v>
      </c>
      <c r="F2" s="115">
        <v>78240.964178053095</v>
      </c>
    </row>
    <row r="3" spans="1:6" x14ac:dyDescent="0.25">
      <c r="A3" s="116" t="s">
        <v>225</v>
      </c>
      <c r="B3" s="116" t="s">
        <v>34</v>
      </c>
      <c r="C3" s="116" t="s">
        <v>172</v>
      </c>
      <c r="D3" s="116" t="s">
        <v>224</v>
      </c>
      <c r="E3" s="117">
        <v>265372.02880000015</v>
      </c>
      <c r="F3" s="118">
        <v>171703.4978070069</v>
      </c>
    </row>
    <row r="4" spans="1:6" x14ac:dyDescent="0.25">
      <c r="A4" s="113" t="s">
        <v>226</v>
      </c>
      <c r="B4" s="113" t="s">
        <v>50</v>
      </c>
      <c r="C4" s="113" t="s">
        <v>168</v>
      </c>
      <c r="D4" s="113" t="s">
        <v>224</v>
      </c>
      <c r="E4" s="114">
        <v>26171</v>
      </c>
      <c r="F4" s="115">
        <v>13791.290165725788</v>
      </c>
    </row>
    <row r="5" spans="1:6" x14ac:dyDescent="0.25">
      <c r="A5" s="116" t="s">
        <v>227</v>
      </c>
      <c r="B5" s="116" t="s">
        <v>47</v>
      </c>
      <c r="C5" s="116" t="s">
        <v>176</v>
      </c>
      <c r="D5" s="116" t="s">
        <v>224</v>
      </c>
      <c r="E5" s="117">
        <v>24587</v>
      </c>
      <c r="F5" s="118">
        <v>6656.7476169818319</v>
      </c>
    </row>
    <row r="6" spans="1:6" x14ac:dyDescent="0.25">
      <c r="A6" s="113" t="s">
        <v>228</v>
      </c>
      <c r="B6" s="113" t="s">
        <v>26</v>
      </c>
      <c r="C6" s="113" t="s">
        <v>174</v>
      </c>
      <c r="D6" s="113" t="s">
        <v>224</v>
      </c>
      <c r="E6" s="114">
        <v>104066.15040000004</v>
      </c>
      <c r="F6" s="115">
        <v>91629.307316704435</v>
      </c>
    </row>
    <row r="7" spans="1:6" x14ac:dyDescent="0.25">
      <c r="A7" s="116" t="s">
        <v>229</v>
      </c>
      <c r="B7" s="116" t="s">
        <v>100</v>
      </c>
      <c r="C7" s="116" t="s">
        <v>168</v>
      </c>
      <c r="D7" s="116" t="s">
        <v>224</v>
      </c>
      <c r="E7" s="117">
        <v>146345.40696000005</v>
      </c>
      <c r="F7" s="118">
        <v>27180.821150192936</v>
      </c>
    </row>
    <row r="8" spans="1:6" x14ac:dyDescent="0.25">
      <c r="A8" s="113" t="s">
        <v>230</v>
      </c>
      <c r="B8" s="113" t="s">
        <v>14</v>
      </c>
      <c r="C8" s="113" t="s">
        <v>167</v>
      </c>
      <c r="D8" s="113" t="s">
        <v>224</v>
      </c>
      <c r="E8" s="114">
        <v>182068.2471119999</v>
      </c>
      <c r="F8" s="115">
        <v>151594.20238356592</v>
      </c>
    </row>
    <row r="9" spans="1:6" x14ac:dyDescent="0.25">
      <c r="A9" s="116" t="s">
        <v>231</v>
      </c>
      <c r="B9" s="116" t="s">
        <v>113</v>
      </c>
      <c r="C9" s="116" t="s">
        <v>171</v>
      </c>
      <c r="D9" s="116" t="s">
        <v>224</v>
      </c>
      <c r="E9" s="117">
        <v>124096</v>
      </c>
      <c r="F9" s="118">
        <v>66505.479668462925</v>
      </c>
    </row>
    <row r="10" spans="1:6" x14ac:dyDescent="0.25">
      <c r="A10" s="113" t="s">
        <v>232</v>
      </c>
      <c r="B10" s="113" t="s">
        <v>37</v>
      </c>
      <c r="C10" s="113" t="s">
        <v>171</v>
      </c>
      <c r="D10" s="113" t="s">
        <v>224</v>
      </c>
      <c r="E10" s="114">
        <v>178534</v>
      </c>
      <c r="F10" s="115">
        <v>79369.259316286232</v>
      </c>
    </row>
    <row r="11" spans="1:6" x14ac:dyDescent="0.25">
      <c r="A11" s="116" t="s">
        <v>233</v>
      </c>
      <c r="B11" s="116" t="s">
        <v>62</v>
      </c>
      <c r="C11" s="116" t="s">
        <v>168</v>
      </c>
      <c r="D11" s="116" t="s">
        <v>224</v>
      </c>
      <c r="E11" s="117">
        <v>27397.922015999997</v>
      </c>
      <c r="F11" s="118">
        <v>9412.3100994900014</v>
      </c>
    </row>
    <row r="12" spans="1:6" x14ac:dyDescent="0.25">
      <c r="A12" s="113" t="s">
        <v>234</v>
      </c>
      <c r="B12" s="113" t="s">
        <v>61</v>
      </c>
      <c r="C12" s="113" t="s">
        <v>167</v>
      </c>
      <c r="D12" s="113" t="s">
        <v>224</v>
      </c>
      <c r="E12" s="114">
        <v>60882.838983999995</v>
      </c>
      <c r="F12" s="115">
        <v>60573.277525875877</v>
      </c>
    </row>
    <row r="13" spans="1:6" x14ac:dyDescent="0.25">
      <c r="A13" s="116" t="s">
        <v>235</v>
      </c>
      <c r="B13" s="116" t="s">
        <v>23</v>
      </c>
      <c r="C13" s="116" t="s">
        <v>173</v>
      </c>
      <c r="D13" s="116" t="s">
        <v>224</v>
      </c>
      <c r="E13" s="117">
        <v>74255.524200000014</v>
      </c>
      <c r="F13" s="118">
        <v>44310.062860390266</v>
      </c>
    </row>
    <row r="14" spans="1:6" x14ac:dyDescent="0.25">
      <c r="A14" s="113" t="s">
        <v>236</v>
      </c>
      <c r="B14" s="113" t="s">
        <v>32</v>
      </c>
      <c r="C14" s="113" t="s">
        <v>168</v>
      </c>
      <c r="D14" s="113" t="s">
        <v>224</v>
      </c>
      <c r="E14" s="114">
        <v>151837.35529599997</v>
      </c>
      <c r="F14" s="115">
        <v>32793.876250880952</v>
      </c>
    </row>
    <row r="15" spans="1:6" x14ac:dyDescent="0.25">
      <c r="A15" s="116" t="s">
        <v>237</v>
      </c>
      <c r="B15" s="116" t="s">
        <v>40</v>
      </c>
      <c r="C15" s="116" t="s">
        <v>173</v>
      </c>
      <c r="D15" s="116" t="s">
        <v>224</v>
      </c>
      <c r="E15" s="117">
        <v>75287.279999999955</v>
      </c>
      <c r="F15" s="118">
        <v>32247.584676247403</v>
      </c>
    </row>
    <row r="16" spans="1:6" x14ac:dyDescent="0.25">
      <c r="A16" s="113" t="s">
        <v>238</v>
      </c>
      <c r="B16" s="113" t="s">
        <v>64</v>
      </c>
      <c r="C16" s="113" t="s">
        <v>171</v>
      </c>
      <c r="D16" s="113" t="s">
        <v>224</v>
      </c>
      <c r="E16" s="114">
        <v>35094</v>
      </c>
      <c r="F16" s="115">
        <v>5041.5172774335551</v>
      </c>
    </row>
    <row r="17" spans="1:6" x14ac:dyDescent="0.25">
      <c r="A17" s="116" t="s">
        <v>239</v>
      </c>
      <c r="B17" s="116" t="s">
        <v>240</v>
      </c>
      <c r="C17" s="116" t="s">
        <v>173</v>
      </c>
      <c r="D17" s="116" t="s">
        <v>224</v>
      </c>
      <c r="E17" s="117">
        <v>36371.480000000003</v>
      </c>
      <c r="F17" s="118">
        <v>12662.191234540689</v>
      </c>
    </row>
    <row r="18" spans="1:6" x14ac:dyDescent="0.25">
      <c r="A18" s="113" t="s">
        <v>241</v>
      </c>
      <c r="B18" s="113" t="s">
        <v>63</v>
      </c>
      <c r="C18" s="113" t="s">
        <v>175</v>
      </c>
      <c r="D18" s="113" t="s">
        <v>224</v>
      </c>
      <c r="E18" s="114">
        <v>26452</v>
      </c>
      <c r="F18" s="115">
        <v>10107.177123675472</v>
      </c>
    </row>
    <row r="19" spans="1:6" x14ac:dyDescent="0.25">
      <c r="A19" s="116" t="s">
        <v>242</v>
      </c>
      <c r="B19" s="116" t="s">
        <v>243</v>
      </c>
      <c r="C19" s="116" t="s">
        <v>171</v>
      </c>
      <c r="D19" s="116" t="s">
        <v>224</v>
      </c>
      <c r="E19" s="117">
        <v>38389.785944000003</v>
      </c>
      <c r="F19" s="118">
        <v>19840.254595257782</v>
      </c>
    </row>
    <row r="20" spans="1:6" x14ac:dyDescent="0.25">
      <c r="A20" s="113" t="s">
        <v>244</v>
      </c>
      <c r="B20" s="113" t="s">
        <v>31</v>
      </c>
      <c r="C20" s="113" t="s">
        <v>177</v>
      </c>
      <c r="D20" s="113" t="s">
        <v>224</v>
      </c>
      <c r="E20" s="114">
        <v>19176.379000000001</v>
      </c>
      <c r="F20" s="115">
        <v>5958.8762529929299</v>
      </c>
    </row>
    <row r="21" spans="1:6" x14ac:dyDescent="0.25">
      <c r="A21" s="116" t="s">
        <v>245</v>
      </c>
      <c r="B21" s="116" t="s">
        <v>35</v>
      </c>
      <c r="C21" s="116" t="s">
        <v>176</v>
      </c>
      <c r="D21" s="116" t="s">
        <v>224</v>
      </c>
      <c r="E21" s="117">
        <v>78553.013183999996</v>
      </c>
      <c r="F21" s="118">
        <v>11737.89370301184</v>
      </c>
    </row>
    <row r="22" spans="1:6" x14ac:dyDescent="0.25">
      <c r="A22" s="113" t="s">
        <v>246</v>
      </c>
      <c r="B22" s="113" t="s">
        <v>36</v>
      </c>
      <c r="C22" s="113" t="s">
        <v>171</v>
      </c>
      <c r="D22" s="113" t="s">
        <v>224</v>
      </c>
      <c r="E22" s="114">
        <v>187014.09524600004</v>
      </c>
      <c r="F22" s="115">
        <v>92225.256194979564</v>
      </c>
    </row>
    <row r="23" spans="1:6" x14ac:dyDescent="0.25">
      <c r="A23" s="116" t="s">
        <v>247</v>
      </c>
      <c r="B23" s="116" t="s">
        <v>49</v>
      </c>
      <c r="C23" s="116" t="s">
        <v>173</v>
      </c>
      <c r="D23" s="116" t="s">
        <v>224</v>
      </c>
      <c r="E23" s="117">
        <v>251545.7062500001</v>
      </c>
      <c r="F23" s="118">
        <v>19214.75062867544</v>
      </c>
    </row>
    <row r="24" spans="1:6" x14ac:dyDescent="0.25">
      <c r="A24" s="113" t="s">
        <v>248</v>
      </c>
      <c r="B24" s="113" t="s">
        <v>55</v>
      </c>
      <c r="C24" s="113" t="s">
        <v>168</v>
      </c>
      <c r="D24" s="113" t="s">
        <v>224</v>
      </c>
      <c r="E24" s="114">
        <v>61786.355999999992</v>
      </c>
      <c r="F24" s="115">
        <v>39833.290219168477</v>
      </c>
    </row>
    <row r="25" spans="1:6" x14ac:dyDescent="0.25">
      <c r="A25" s="116" t="s">
        <v>249</v>
      </c>
      <c r="B25" s="116" t="s">
        <v>54</v>
      </c>
      <c r="C25" s="116" t="s">
        <v>180</v>
      </c>
      <c r="D25" s="116" t="s">
        <v>224</v>
      </c>
      <c r="E25" s="117">
        <v>11082.454</v>
      </c>
      <c r="F25" s="118">
        <v>1041.6164535348087</v>
      </c>
    </row>
    <row r="26" spans="1:6" x14ac:dyDescent="0.25">
      <c r="A26" s="113" t="s">
        <v>250</v>
      </c>
      <c r="B26" s="113" t="s">
        <v>33</v>
      </c>
      <c r="C26" s="113" t="s">
        <v>168</v>
      </c>
      <c r="D26" s="113" t="s">
        <v>224</v>
      </c>
      <c r="E26" s="114">
        <v>44740.833599999998</v>
      </c>
      <c r="F26" s="115">
        <v>7103.2057058461787</v>
      </c>
    </row>
    <row r="27" spans="1:6" x14ac:dyDescent="0.25">
      <c r="A27" s="116" t="s">
        <v>251</v>
      </c>
      <c r="B27" s="116" t="s">
        <v>27</v>
      </c>
      <c r="C27" s="116" t="s">
        <v>175</v>
      </c>
      <c r="D27" s="116" t="s">
        <v>224</v>
      </c>
      <c r="E27" s="117">
        <v>812.4</v>
      </c>
      <c r="F27" s="118">
        <v>744.30830420710652</v>
      </c>
    </row>
    <row r="28" spans="1:6" x14ac:dyDescent="0.25">
      <c r="A28" s="113" t="s">
        <v>252</v>
      </c>
      <c r="B28" s="113" t="s">
        <v>45</v>
      </c>
      <c r="C28" s="113" t="s">
        <v>168</v>
      </c>
      <c r="D28" s="113" t="s">
        <v>224</v>
      </c>
      <c r="E28" s="114">
        <v>129959.92400000003</v>
      </c>
      <c r="F28" s="115">
        <v>75155.343453675232</v>
      </c>
    </row>
    <row r="29" spans="1:6" x14ac:dyDescent="0.25">
      <c r="A29" s="116" t="s">
        <v>253</v>
      </c>
      <c r="B29" s="116" t="s">
        <v>18</v>
      </c>
      <c r="C29" s="116" t="s">
        <v>170</v>
      </c>
      <c r="D29" s="116" t="s">
        <v>224</v>
      </c>
      <c r="E29" s="117">
        <v>22979.535200000002</v>
      </c>
      <c r="F29" s="118">
        <v>14574.070793404973</v>
      </c>
    </row>
    <row r="30" spans="1:6" x14ac:dyDescent="0.25">
      <c r="A30" s="113" t="s">
        <v>254</v>
      </c>
      <c r="B30" s="113" t="s">
        <v>39</v>
      </c>
      <c r="C30" s="113" t="s">
        <v>178</v>
      </c>
      <c r="D30" s="113" t="s">
        <v>224</v>
      </c>
      <c r="E30" s="114">
        <v>63350.243199999997</v>
      </c>
      <c r="F30" s="115">
        <v>23340.920231854023</v>
      </c>
    </row>
    <row r="31" spans="1:6" x14ac:dyDescent="0.25">
      <c r="A31" s="116" t="s">
        <v>255</v>
      </c>
      <c r="B31" s="116" t="s">
        <v>58</v>
      </c>
      <c r="C31" s="116" t="s">
        <v>173</v>
      </c>
      <c r="D31" s="116" t="s">
        <v>224</v>
      </c>
      <c r="E31" s="117">
        <v>47018.001600000003</v>
      </c>
      <c r="F31" s="118">
        <v>36462.95362853499</v>
      </c>
    </row>
    <row r="32" spans="1:6" x14ac:dyDescent="0.25">
      <c r="A32" s="113" t="s">
        <v>256</v>
      </c>
      <c r="B32" s="113" t="s">
        <v>48</v>
      </c>
      <c r="C32" s="113" t="s">
        <v>175</v>
      </c>
      <c r="D32" s="113" t="s">
        <v>224</v>
      </c>
      <c r="E32" s="114">
        <v>69132.501231999981</v>
      </c>
      <c r="F32" s="115">
        <v>52203.104997488474</v>
      </c>
    </row>
    <row r="33" spans="1:6" x14ac:dyDescent="0.25">
      <c r="A33" s="116" t="s">
        <v>257</v>
      </c>
      <c r="B33" s="116" t="s">
        <v>42</v>
      </c>
      <c r="C33" s="116" t="s">
        <v>173</v>
      </c>
      <c r="D33" s="116" t="s">
        <v>224</v>
      </c>
      <c r="E33" s="117">
        <v>22724</v>
      </c>
      <c r="F33" s="118">
        <v>4466.0790200396841</v>
      </c>
    </row>
    <row r="34" spans="1:6" x14ac:dyDescent="0.25">
      <c r="A34" s="113" t="s">
        <v>258</v>
      </c>
      <c r="B34" s="113" t="s">
        <v>25</v>
      </c>
      <c r="C34" s="113" t="s">
        <v>171</v>
      </c>
      <c r="D34" s="113" t="s">
        <v>224</v>
      </c>
      <c r="E34" s="114">
        <v>136284</v>
      </c>
      <c r="F34" s="115">
        <v>61680.103608114805</v>
      </c>
    </row>
    <row r="35" spans="1:6" x14ac:dyDescent="0.25">
      <c r="A35" s="116" t="s">
        <v>259</v>
      </c>
      <c r="B35" s="116" t="s">
        <v>38</v>
      </c>
      <c r="C35" s="116" t="s">
        <v>168</v>
      </c>
      <c r="D35" s="116" t="s">
        <v>224</v>
      </c>
      <c r="E35" s="117">
        <v>152761</v>
      </c>
      <c r="F35" s="118">
        <v>86832.960867592148</v>
      </c>
    </row>
    <row r="36" spans="1:6" x14ac:dyDescent="0.25">
      <c r="A36" s="113" t="s">
        <v>260</v>
      </c>
      <c r="B36" s="113" t="s">
        <v>19</v>
      </c>
      <c r="C36" s="113" t="s">
        <v>170</v>
      </c>
      <c r="D36" s="113" t="s">
        <v>224</v>
      </c>
      <c r="E36" s="114">
        <v>36620.83728</v>
      </c>
      <c r="F36" s="115">
        <v>11610.612907422201</v>
      </c>
    </row>
    <row r="37" spans="1:6" x14ac:dyDescent="0.25">
      <c r="A37" s="116" t="s">
        <v>261</v>
      </c>
      <c r="B37" s="116" t="s">
        <v>46</v>
      </c>
      <c r="C37" s="116" t="s">
        <v>171</v>
      </c>
      <c r="D37" s="116" t="s">
        <v>224</v>
      </c>
      <c r="E37" s="117">
        <v>21399</v>
      </c>
      <c r="F37" s="118">
        <v>17570.84919894964</v>
      </c>
    </row>
    <row r="38" spans="1:6" x14ac:dyDescent="0.25">
      <c r="A38" s="113" t="s">
        <v>262</v>
      </c>
      <c r="B38" s="113" t="s">
        <v>52</v>
      </c>
      <c r="C38" s="113" t="s">
        <v>171</v>
      </c>
      <c r="D38" s="113" t="s">
        <v>224</v>
      </c>
      <c r="E38" s="114">
        <v>156737</v>
      </c>
      <c r="F38" s="115">
        <v>123213.64071313376</v>
      </c>
    </row>
    <row r="39" spans="1:6" x14ac:dyDescent="0.25">
      <c r="A39" s="116" t="s">
        <v>263</v>
      </c>
      <c r="B39" s="116" t="s">
        <v>115</v>
      </c>
      <c r="C39" s="116" t="s">
        <v>171</v>
      </c>
      <c r="D39" s="116" t="s">
        <v>224</v>
      </c>
      <c r="E39" s="117">
        <v>97661</v>
      </c>
      <c r="F39" s="118">
        <v>43395.029752507151</v>
      </c>
    </row>
    <row r="40" spans="1:6" x14ac:dyDescent="0.25">
      <c r="A40" s="113" t="s">
        <v>264</v>
      </c>
      <c r="B40" s="113" t="s">
        <v>59</v>
      </c>
      <c r="C40" s="113" t="s">
        <v>170</v>
      </c>
      <c r="D40" s="113" t="s">
        <v>224</v>
      </c>
      <c r="E40" s="114">
        <v>101924.88160000001</v>
      </c>
      <c r="F40" s="115">
        <v>68251.613256207391</v>
      </c>
    </row>
    <row r="41" spans="1:6" x14ac:dyDescent="0.25">
      <c r="A41" s="116" t="s">
        <v>265</v>
      </c>
      <c r="B41" s="116" t="s">
        <v>60</v>
      </c>
      <c r="C41" s="116" t="s">
        <v>174</v>
      </c>
      <c r="D41" s="116" t="s">
        <v>224</v>
      </c>
      <c r="E41" s="117">
        <v>60525.494399999996</v>
      </c>
      <c r="F41" s="118">
        <v>5138.849705816694</v>
      </c>
    </row>
    <row r="42" spans="1:6" x14ac:dyDescent="0.25">
      <c r="A42" s="113" t="s">
        <v>266</v>
      </c>
      <c r="B42" s="113" t="s">
        <v>13</v>
      </c>
      <c r="C42" s="113" t="s">
        <v>167</v>
      </c>
      <c r="D42" s="113" t="s">
        <v>224</v>
      </c>
      <c r="E42" s="114">
        <v>81737.72</v>
      </c>
      <c r="F42" s="115">
        <v>67307.695444082405</v>
      </c>
    </row>
    <row r="43" spans="1:6" x14ac:dyDescent="0.25">
      <c r="A43" s="116" t="s">
        <v>267</v>
      </c>
      <c r="B43" s="116" t="s">
        <v>29</v>
      </c>
      <c r="C43" s="116" t="s">
        <v>176</v>
      </c>
      <c r="D43" s="116" t="s">
        <v>224</v>
      </c>
      <c r="E43" s="117">
        <v>28283.360000000001</v>
      </c>
      <c r="F43" s="118">
        <v>6489.8369612275828</v>
      </c>
    </row>
    <row r="44" spans="1:6" x14ac:dyDescent="0.25">
      <c r="A44" s="113" t="s">
        <v>268</v>
      </c>
      <c r="B44" s="113" t="s">
        <v>44</v>
      </c>
      <c r="C44" s="113" t="s">
        <v>170</v>
      </c>
      <c r="D44" s="113" t="s">
        <v>224</v>
      </c>
      <c r="E44" s="114">
        <v>85524.036800000002</v>
      </c>
      <c r="F44" s="115">
        <v>57868.480364122479</v>
      </c>
    </row>
    <row r="45" spans="1:6" x14ac:dyDescent="0.25">
      <c r="A45" s="116" t="s">
        <v>269</v>
      </c>
      <c r="B45" s="116" t="s">
        <v>21</v>
      </c>
      <c r="C45" s="116" t="s">
        <v>172</v>
      </c>
      <c r="D45" s="116" t="s">
        <v>224</v>
      </c>
      <c r="E45" s="117">
        <v>121180</v>
      </c>
      <c r="F45" s="118">
        <v>73367.308383054638</v>
      </c>
    </row>
    <row r="46" spans="1:6" x14ac:dyDescent="0.25">
      <c r="A46" s="113" t="s">
        <v>270</v>
      </c>
      <c r="B46" s="113" t="s">
        <v>56</v>
      </c>
      <c r="C46" s="113" t="s">
        <v>170</v>
      </c>
      <c r="D46" s="113" t="s">
        <v>224</v>
      </c>
      <c r="E46" s="114">
        <v>43101.428800000009</v>
      </c>
      <c r="F46" s="115">
        <v>14793.643655087924</v>
      </c>
    </row>
    <row r="47" spans="1:6" x14ac:dyDescent="0.25">
      <c r="A47" s="116" t="s">
        <v>271</v>
      </c>
      <c r="B47" s="116" t="s">
        <v>28</v>
      </c>
      <c r="C47" s="116" t="s">
        <v>167</v>
      </c>
      <c r="D47" s="116" t="s">
        <v>224</v>
      </c>
      <c r="E47" s="117">
        <v>30083.262999999999</v>
      </c>
      <c r="F47" s="118">
        <v>6448.8527245637169</v>
      </c>
    </row>
    <row r="48" spans="1:6" x14ac:dyDescent="0.25">
      <c r="A48" s="113" t="s">
        <v>272</v>
      </c>
      <c r="B48" s="113" t="s">
        <v>41</v>
      </c>
      <c r="C48" s="113" t="s">
        <v>171</v>
      </c>
      <c r="D48" s="113" t="s">
        <v>224</v>
      </c>
      <c r="E48" s="114">
        <v>28498</v>
      </c>
      <c r="F48" s="115">
        <v>26302.187589666148</v>
      </c>
    </row>
    <row r="49" spans="1:6" x14ac:dyDescent="0.25">
      <c r="A49" s="116" t="s">
        <v>273</v>
      </c>
      <c r="B49" s="116" t="s">
        <v>53</v>
      </c>
      <c r="C49" s="116" t="s">
        <v>179</v>
      </c>
      <c r="D49" s="116" t="s">
        <v>224</v>
      </c>
      <c r="E49" s="117">
        <v>18188.14</v>
      </c>
      <c r="F49" s="118">
        <v>5989.241978045161</v>
      </c>
    </row>
    <row r="50" spans="1:6" x14ac:dyDescent="0.25">
      <c r="A50" s="113" t="s">
        <v>274</v>
      </c>
      <c r="B50" s="113" t="s">
        <v>51</v>
      </c>
      <c r="C50" s="113" t="s">
        <v>169</v>
      </c>
      <c r="D50" s="113" t="s">
        <v>224</v>
      </c>
      <c r="E50" s="114">
        <v>24867.994599999998</v>
      </c>
      <c r="F50" s="115">
        <v>12643.490413589292</v>
      </c>
    </row>
    <row r="51" spans="1:6" x14ac:dyDescent="0.25">
      <c r="A51" s="116" t="s">
        <v>275</v>
      </c>
      <c r="B51" s="116" t="s">
        <v>17</v>
      </c>
      <c r="C51" s="116" t="s">
        <v>169</v>
      </c>
      <c r="D51" s="116" t="s">
        <v>224</v>
      </c>
      <c r="E51" s="117">
        <v>128071</v>
      </c>
      <c r="F51" s="118">
        <v>23560.66190357352</v>
      </c>
    </row>
    <row r="52" spans="1:6" x14ac:dyDescent="0.25">
      <c r="A52" s="113" t="s">
        <v>276</v>
      </c>
      <c r="B52" s="113" t="s">
        <v>43</v>
      </c>
      <c r="C52" s="113" t="s">
        <v>169</v>
      </c>
      <c r="D52" s="113" t="s">
        <v>224</v>
      </c>
      <c r="E52" s="114">
        <v>25674</v>
      </c>
      <c r="F52" s="115">
        <v>4075.4628127403316</v>
      </c>
    </row>
    <row r="53" spans="1:6" x14ac:dyDescent="0.25">
      <c r="A53" s="116" t="s">
        <v>277</v>
      </c>
      <c r="B53" s="116" t="s">
        <v>57</v>
      </c>
      <c r="C53" s="116" t="s">
        <v>171</v>
      </c>
      <c r="D53" s="116" t="s">
        <v>224</v>
      </c>
      <c r="E53" s="117">
        <v>44237</v>
      </c>
      <c r="F53" s="118">
        <v>31992.051864244233</v>
      </c>
    </row>
    <row r="54" spans="1:6" x14ac:dyDescent="0.25">
      <c r="A54" s="113" t="s">
        <v>278</v>
      </c>
      <c r="B54" s="113" t="s">
        <v>30</v>
      </c>
      <c r="C54" s="113" t="s">
        <v>169</v>
      </c>
      <c r="D54" s="113" t="s">
        <v>224</v>
      </c>
      <c r="E54" s="114">
        <v>58899.704799999992</v>
      </c>
      <c r="F54" s="115">
        <v>17011.759078401352</v>
      </c>
    </row>
    <row r="55" spans="1:6" x14ac:dyDescent="0.25">
      <c r="A55" s="116" t="s">
        <v>279</v>
      </c>
      <c r="B55" s="116" t="s">
        <v>280</v>
      </c>
      <c r="C55" s="116" t="s">
        <v>170</v>
      </c>
      <c r="D55" s="116" t="s">
        <v>224</v>
      </c>
      <c r="E55" s="117">
        <v>18423.816000000003</v>
      </c>
      <c r="F55" s="118">
        <v>14115.360143831762</v>
      </c>
    </row>
    <row r="56" spans="1:6" x14ac:dyDescent="0.25">
      <c r="A56" s="113" t="s">
        <v>281</v>
      </c>
      <c r="B56" s="113" t="s">
        <v>282</v>
      </c>
      <c r="C56" s="113" t="s">
        <v>170</v>
      </c>
      <c r="D56" s="113" t="s">
        <v>224</v>
      </c>
      <c r="E56" s="114">
        <v>4817.9873200000002</v>
      </c>
      <c r="F56" s="115">
        <v>692.78872385898842</v>
      </c>
    </row>
    <row r="57" spans="1:6" x14ac:dyDescent="0.25">
      <c r="A57" s="116" t="s">
        <v>283</v>
      </c>
      <c r="B57" s="116" t="s">
        <v>284</v>
      </c>
      <c r="C57" s="116" t="s">
        <v>171</v>
      </c>
      <c r="D57" s="116" t="s">
        <v>224</v>
      </c>
      <c r="E57" s="117">
        <v>48446.298000000003</v>
      </c>
      <c r="F57" s="118">
        <v>24236.884972116812</v>
      </c>
    </row>
    <row r="58" spans="1:6" x14ac:dyDescent="0.25">
      <c r="A58" s="113" t="s">
        <v>285</v>
      </c>
      <c r="B58" s="113" t="s">
        <v>286</v>
      </c>
      <c r="C58" s="113" t="s">
        <v>171</v>
      </c>
      <c r="D58" s="113" t="s">
        <v>224</v>
      </c>
      <c r="E58" s="114">
        <v>14871.614399999999</v>
      </c>
      <c r="F58" s="115">
        <v>5924.0584813249043</v>
      </c>
    </row>
    <row r="59" spans="1:6" x14ac:dyDescent="0.25">
      <c r="A59" s="116" t="s">
        <v>287</v>
      </c>
      <c r="B59" s="116" t="s">
        <v>288</v>
      </c>
      <c r="C59" s="116" t="s">
        <v>289</v>
      </c>
      <c r="D59" s="116" t="s">
        <v>224</v>
      </c>
      <c r="E59" s="117">
        <v>21903.388799999997</v>
      </c>
      <c r="F59" s="118">
        <v>8266.6418969461647</v>
      </c>
    </row>
    <row r="60" spans="1:6" x14ac:dyDescent="0.25">
      <c r="A60" s="113" t="s">
        <v>290</v>
      </c>
      <c r="B60" s="113" t="s">
        <v>291</v>
      </c>
      <c r="C60" s="113" t="s">
        <v>180</v>
      </c>
      <c r="D60" s="113" t="s">
        <v>224</v>
      </c>
      <c r="E60" s="114">
        <v>22777.536320000003</v>
      </c>
      <c r="F60" s="115">
        <v>11314.962301134417</v>
      </c>
    </row>
    <row r="61" spans="1:6" x14ac:dyDescent="0.25">
      <c r="A61" s="116" t="s">
        <v>292</v>
      </c>
      <c r="B61" s="116" t="s">
        <v>293</v>
      </c>
      <c r="C61" s="116" t="s">
        <v>176</v>
      </c>
      <c r="D61" s="116" t="s">
        <v>224</v>
      </c>
      <c r="E61" s="117">
        <v>150504.42976000003</v>
      </c>
      <c r="F61" s="118">
        <v>80845.758690981223</v>
      </c>
    </row>
    <row r="62" spans="1:6" x14ac:dyDescent="0.25">
      <c r="A62" s="113" t="s">
        <v>294</v>
      </c>
      <c r="B62" s="113" t="s">
        <v>295</v>
      </c>
      <c r="C62" s="113" t="s">
        <v>176</v>
      </c>
      <c r="D62" s="113" t="s">
        <v>224</v>
      </c>
      <c r="E62" s="114">
        <v>60588.147255999997</v>
      </c>
      <c r="F62" s="115">
        <v>8188.8772327977358</v>
      </c>
    </row>
    <row r="63" spans="1:6" x14ac:dyDescent="0.25">
      <c r="A63" s="116" t="s">
        <v>296</v>
      </c>
      <c r="B63" s="116" t="s">
        <v>297</v>
      </c>
      <c r="C63" s="116" t="s">
        <v>171</v>
      </c>
      <c r="D63" s="116" t="s">
        <v>224</v>
      </c>
      <c r="E63" s="117">
        <v>133389.65563999995</v>
      </c>
      <c r="F63" s="118">
        <v>101355.83394335127</v>
      </c>
    </row>
    <row r="64" spans="1:6" x14ac:dyDescent="0.25">
      <c r="A64" s="119" t="s">
        <v>298</v>
      </c>
      <c r="B64" s="119" t="s">
        <v>299</v>
      </c>
      <c r="C64" s="119" t="s">
        <v>173</v>
      </c>
      <c r="D64" s="119" t="s">
        <v>224</v>
      </c>
      <c r="E64" s="120">
        <v>12390.439999999999</v>
      </c>
      <c r="F64" s="121">
        <v>2808.151979744011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outlinePr summaryBelow="0" summaryRight="0"/>
  </sheetPr>
  <dimension ref="A1:AM1000"/>
  <sheetViews>
    <sheetView showGridLines="0" workbookViewId="0">
      <selection activeCell="F25" sqref="F25"/>
    </sheetView>
  </sheetViews>
  <sheetFormatPr defaultColWidth="14.42578125" defaultRowHeight="15" customHeight="1" x14ac:dyDescent="0.25"/>
  <cols>
    <col min="1" max="1" width="8.140625" customWidth="1"/>
    <col min="2" max="2" width="32.85546875" customWidth="1"/>
    <col min="3" max="3" width="17.28515625" customWidth="1"/>
    <col min="4" max="4" width="13.7109375" customWidth="1"/>
    <col min="5" max="5" width="15.140625" customWidth="1"/>
    <col min="6" max="6" width="12" customWidth="1"/>
    <col min="7" max="8" width="11.140625" customWidth="1"/>
    <col min="9" max="9" width="12.5703125" hidden="1" customWidth="1"/>
    <col min="10" max="10" width="11.28515625" hidden="1" customWidth="1"/>
    <col min="11" max="11" width="15" hidden="1" customWidth="1"/>
    <col min="12" max="12" width="18" hidden="1" customWidth="1"/>
    <col min="13" max="13" width="11.140625" hidden="1" customWidth="1"/>
    <col min="14" max="14" width="17.5703125" hidden="1" customWidth="1"/>
    <col min="15" max="15" width="15" hidden="1" customWidth="1"/>
    <col min="16" max="19" width="12.5703125" hidden="1" customWidth="1"/>
    <col min="20" max="20" width="6.140625" hidden="1" customWidth="1"/>
    <col min="21" max="21" width="10.42578125" customWidth="1"/>
    <col min="22" max="22" width="8.5703125" customWidth="1"/>
    <col min="23" max="23" width="6.85546875" customWidth="1"/>
    <col min="24" max="24" width="10.85546875" customWidth="1"/>
    <col min="25" max="25" width="10.5703125" customWidth="1"/>
    <col min="26" max="26" width="12.7109375" customWidth="1"/>
    <col min="27" max="27" width="13" customWidth="1"/>
    <col min="28" max="31" width="17.5703125" customWidth="1"/>
    <col min="32" max="32" width="14.85546875" customWidth="1"/>
    <col min="33" max="33" width="19.5703125" customWidth="1"/>
    <col min="34" max="34" width="22.7109375" customWidth="1"/>
    <col min="35" max="35" width="11.28515625" customWidth="1"/>
    <col min="36" max="36" width="14.5703125" customWidth="1"/>
    <col min="37" max="37" width="12.5703125" customWidth="1"/>
    <col min="38" max="38" width="12.7109375" customWidth="1"/>
    <col min="39" max="39" width="12.5703125" customWidth="1"/>
  </cols>
  <sheetData>
    <row r="1" spans="1:39" ht="15.75" customHeight="1" x14ac:dyDescent="0.25">
      <c r="A1" s="31" t="s">
        <v>95</v>
      </c>
      <c r="B1" s="31" t="s">
        <v>96</v>
      </c>
      <c r="C1" s="31" t="s">
        <v>97</v>
      </c>
      <c r="D1" s="31" t="s">
        <v>98</v>
      </c>
      <c r="E1" s="31" t="s">
        <v>99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10"/>
      <c r="AG1" s="9"/>
      <c r="AH1" s="9"/>
      <c r="AI1" s="2"/>
      <c r="AJ1" s="11"/>
      <c r="AK1" s="2"/>
      <c r="AL1" s="2"/>
      <c r="AM1" s="12"/>
    </row>
    <row r="2" spans="1:39" ht="15.75" customHeight="1" x14ac:dyDescent="0.25">
      <c r="A2" s="32">
        <v>1022</v>
      </c>
      <c r="B2" s="32" t="s">
        <v>34</v>
      </c>
      <c r="C2" s="32" t="s">
        <v>85</v>
      </c>
      <c r="D2" s="33">
        <v>4</v>
      </c>
      <c r="E2" s="33">
        <v>66343</v>
      </c>
      <c r="F2" s="13"/>
      <c r="G2" s="13"/>
      <c r="H2" s="13"/>
      <c r="I2" s="14"/>
      <c r="J2" s="2"/>
      <c r="K2" s="2"/>
      <c r="L2" s="2"/>
      <c r="M2" s="14"/>
      <c r="N2" s="2"/>
      <c r="O2" s="15"/>
      <c r="P2" s="2"/>
      <c r="Q2" s="2"/>
      <c r="R2" s="2"/>
      <c r="S2" s="2"/>
      <c r="T2" s="12"/>
      <c r="U2" s="12"/>
      <c r="V2" s="12"/>
      <c r="W2" s="12"/>
      <c r="X2" s="12"/>
      <c r="Y2" s="2"/>
      <c r="Z2" s="2"/>
      <c r="AA2" s="2"/>
      <c r="AB2" s="2"/>
      <c r="AC2" s="2"/>
      <c r="AD2" s="2"/>
      <c r="AE2" s="2"/>
      <c r="AF2" s="10"/>
      <c r="AG2" s="9"/>
      <c r="AH2" s="9"/>
      <c r="AI2" s="2"/>
      <c r="AJ2" s="11"/>
      <c r="AK2" s="2"/>
      <c r="AL2" s="2"/>
      <c r="AM2" s="12"/>
    </row>
    <row r="3" spans="1:39" ht="15.75" customHeight="1" x14ac:dyDescent="0.25">
      <c r="A3" s="35">
        <v>1057</v>
      </c>
      <c r="B3" s="35" t="s">
        <v>26</v>
      </c>
      <c r="C3" s="35" t="s">
        <v>88</v>
      </c>
      <c r="D3" s="36">
        <v>3</v>
      </c>
      <c r="E3" s="36">
        <v>34688.666666666664</v>
      </c>
      <c r="F3" s="13"/>
      <c r="G3" s="13"/>
      <c r="H3" s="13"/>
      <c r="I3" s="14"/>
      <c r="J3" s="2"/>
      <c r="K3" s="2"/>
      <c r="L3" s="2"/>
      <c r="M3" s="14"/>
      <c r="N3" s="2"/>
      <c r="O3" s="15"/>
      <c r="P3" s="2"/>
      <c r="Q3" s="2"/>
      <c r="R3" s="2"/>
      <c r="S3" s="16"/>
      <c r="T3" s="12"/>
      <c r="U3" s="12"/>
      <c r="V3" s="12"/>
      <c r="W3" s="12"/>
      <c r="X3" s="12"/>
      <c r="Y3" s="2"/>
      <c r="Z3" s="2"/>
      <c r="AA3" s="2"/>
      <c r="AB3" s="2"/>
      <c r="AC3" s="2"/>
      <c r="AD3" s="2"/>
      <c r="AE3" s="2"/>
      <c r="AF3" s="10"/>
      <c r="AG3" s="9"/>
      <c r="AH3" s="9"/>
      <c r="AI3" s="2"/>
      <c r="AJ3" s="11"/>
      <c r="AK3" s="2"/>
      <c r="AL3" s="2"/>
      <c r="AM3" s="12"/>
    </row>
    <row r="4" spans="1:39" ht="15.75" customHeight="1" x14ac:dyDescent="0.25">
      <c r="A4" s="32">
        <v>1061</v>
      </c>
      <c r="B4" s="32" t="s">
        <v>100</v>
      </c>
      <c r="C4" s="32" t="s">
        <v>82</v>
      </c>
      <c r="D4" s="33">
        <v>5</v>
      </c>
      <c r="E4" s="33">
        <v>29269</v>
      </c>
      <c r="F4" s="13"/>
      <c r="G4" s="13"/>
      <c r="H4" s="13"/>
      <c r="I4" s="14"/>
      <c r="J4" s="2"/>
      <c r="K4" s="2"/>
      <c r="L4" s="2"/>
      <c r="M4" s="14"/>
      <c r="N4" s="2"/>
      <c r="O4" s="15"/>
      <c r="P4" s="2"/>
      <c r="Q4" s="2"/>
      <c r="R4" s="2"/>
      <c r="S4" s="2"/>
      <c r="T4" s="12"/>
      <c r="U4" s="12"/>
      <c r="V4" s="12"/>
      <c r="W4" s="12"/>
      <c r="X4" s="12"/>
      <c r="Y4" s="2"/>
      <c r="Z4" s="2"/>
      <c r="AA4" s="2"/>
      <c r="AB4" s="2"/>
      <c r="AC4" s="2"/>
      <c r="AD4" s="2"/>
      <c r="AE4" s="2"/>
      <c r="AF4" s="10"/>
      <c r="AG4" s="9"/>
      <c r="AH4" s="9"/>
      <c r="AI4" s="2"/>
      <c r="AJ4" s="11"/>
      <c r="AK4" s="2"/>
      <c r="AL4" s="2"/>
      <c r="AM4" s="12"/>
    </row>
    <row r="5" spans="1:39" ht="15.75" customHeight="1" x14ac:dyDescent="0.25">
      <c r="A5" s="35">
        <v>1070</v>
      </c>
      <c r="B5" s="35" t="s">
        <v>14</v>
      </c>
      <c r="C5" s="35" t="s">
        <v>81</v>
      </c>
      <c r="D5" s="36">
        <v>5</v>
      </c>
      <c r="E5" s="36">
        <v>36413.599999999999</v>
      </c>
      <c r="F5" s="13"/>
      <c r="G5" s="13"/>
      <c r="H5" s="13"/>
      <c r="I5" s="14"/>
      <c r="J5" s="2"/>
      <c r="K5" s="2"/>
      <c r="L5" s="2"/>
      <c r="M5" s="14"/>
      <c r="N5" s="2"/>
      <c r="O5" s="15"/>
      <c r="P5" s="2"/>
      <c r="Q5" s="2"/>
      <c r="R5" s="2"/>
      <c r="S5" s="2"/>
      <c r="T5" s="12"/>
      <c r="U5" s="12"/>
      <c r="V5" s="12"/>
      <c r="W5" s="12"/>
      <c r="X5" s="12"/>
      <c r="Y5" s="2"/>
      <c r="Z5" s="2"/>
      <c r="AA5" s="2"/>
      <c r="AB5" s="2"/>
      <c r="AC5" s="2"/>
      <c r="AD5" s="2"/>
      <c r="AE5" s="2"/>
      <c r="AF5" s="10"/>
      <c r="AG5" s="9"/>
      <c r="AH5" s="9"/>
      <c r="AI5" s="2"/>
      <c r="AJ5" s="11"/>
      <c r="AK5" s="2"/>
      <c r="AL5" s="2"/>
      <c r="AM5" s="12"/>
    </row>
    <row r="6" spans="1:39" ht="15.75" customHeight="1" x14ac:dyDescent="0.25">
      <c r="A6" s="32">
        <v>1107</v>
      </c>
      <c r="B6" s="32" t="s">
        <v>23</v>
      </c>
      <c r="C6" s="32" t="s">
        <v>86</v>
      </c>
      <c r="D6" s="33">
        <v>5</v>
      </c>
      <c r="E6" s="33">
        <v>14851.2</v>
      </c>
      <c r="F6" s="13"/>
      <c r="G6" s="13"/>
      <c r="H6" s="13"/>
      <c r="I6" s="14"/>
      <c r="J6" s="144" t="s">
        <v>101</v>
      </c>
      <c r="K6" s="145"/>
      <c r="L6" s="145"/>
      <c r="M6" s="145"/>
      <c r="N6" s="145"/>
      <c r="O6" s="146"/>
      <c r="P6" s="2"/>
      <c r="Q6" s="2"/>
      <c r="R6" s="2"/>
      <c r="S6" s="18"/>
      <c r="T6" s="12"/>
      <c r="U6" s="12"/>
      <c r="V6" s="12"/>
      <c r="W6" s="12"/>
      <c r="X6" s="12"/>
      <c r="Y6" s="2"/>
      <c r="Z6" s="2"/>
      <c r="AA6" s="2"/>
      <c r="AB6" s="2"/>
      <c r="AC6" s="2"/>
      <c r="AD6" s="2"/>
      <c r="AE6" s="2"/>
      <c r="AF6" s="10"/>
      <c r="AG6" s="9"/>
      <c r="AH6" s="9"/>
      <c r="AI6" s="2"/>
      <c r="AJ6" s="11"/>
      <c r="AK6" s="2"/>
      <c r="AL6" s="2"/>
      <c r="AM6" s="12"/>
    </row>
    <row r="7" spans="1:39" ht="15.75" customHeight="1" x14ac:dyDescent="0.25">
      <c r="A7" s="35">
        <v>1104</v>
      </c>
      <c r="B7" s="35" t="s">
        <v>62</v>
      </c>
      <c r="C7" s="35" t="s">
        <v>89</v>
      </c>
      <c r="D7" s="36">
        <v>5</v>
      </c>
      <c r="E7" s="36">
        <v>5479.6</v>
      </c>
      <c r="F7" s="13"/>
      <c r="G7" s="13"/>
      <c r="H7" s="13"/>
      <c r="I7" s="14"/>
      <c r="J7" s="147"/>
      <c r="K7" s="148"/>
      <c r="L7" s="148"/>
      <c r="M7" s="148"/>
      <c r="N7" s="148"/>
      <c r="O7" s="149"/>
      <c r="P7" s="2"/>
      <c r="Q7" s="2"/>
      <c r="R7" s="2"/>
      <c r="S7" s="2"/>
      <c r="T7" s="12"/>
      <c r="U7" s="12"/>
      <c r="V7" s="12"/>
      <c r="W7" s="12"/>
      <c r="X7" s="12"/>
      <c r="Y7" s="2"/>
      <c r="Z7" s="2"/>
      <c r="AA7" s="2"/>
      <c r="AB7" s="2"/>
      <c r="AC7" s="2"/>
      <c r="AD7" s="2"/>
      <c r="AE7" s="2"/>
      <c r="AF7" s="10"/>
      <c r="AG7" s="9"/>
      <c r="AH7" s="9"/>
      <c r="AI7" s="2"/>
      <c r="AJ7" s="11"/>
      <c r="AK7" s="2"/>
      <c r="AL7" s="2"/>
      <c r="AM7" s="12"/>
    </row>
    <row r="8" spans="1:39" ht="15.75" customHeight="1" x14ac:dyDescent="0.25">
      <c r="A8" s="32">
        <v>1105</v>
      </c>
      <c r="B8" s="32" t="s">
        <v>61</v>
      </c>
      <c r="C8" s="32" t="s">
        <v>81</v>
      </c>
      <c r="D8" s="33">
        <v>5</v>
      </c>
      <c r="E8" s="33">
        <v>12176.6</v>
      </c>
      <c r="F8" s="13"/>
      <c r="G8" s="13"/>
      <c r="H8" s="13"/>
      <c r="I8" s="14"/>
      <c r="J8" s="147"/>
      <c r="K8" s="148"/>
      <c r="L8" s="148"/>
      <c r="M8" s="148"/>
      <c r="N8" s="148"/>
      <c r="O8" s="149"/>
      <c r="P8" s="2"/>
      <c r="Q8" s="2"/>
      <c r="R8" s="2"/>
      <c r="S8" s="2"/>
      <c r="T8" s="12"/>
      <c r="U8" s="12"/>
      <c r="V8" s="12"/>
      <c r="W8" s="12"/>
      <c r="X8" s="12"/>
      <c r="Y8" s="2"/>
      <c r="Z8" s="2"/>
      <c r="AA8" s="2"/>
      <c r="AB8" s="2"/>
      <c r="AC8" s="2"/>
      <c r="AD8" s="2"/>
      <c r="AE8" s="2"/>
      <c r="AF8" s="10"/>
      <c r="AG8" s="9"/>
      <c r="AH8" s="9"/>
      <c r="AI8" s="2"/>
      <c r="AJ8" s="11"/>
      <c r="AK8" s="2"/>
      <c r="AL8" s="2"/>
      <c r="AM8" s="12"/>
    </row>
    <row r="9" spans="1:39" ht="15.75" customHeight="1" x14ac:dyDescent="0.25">
      <c r="A9" s="35">
        <v>1143</v>
      </c>
      <c r="B9" s="35" t="s">
        <v>32</v>
      </c>
      <c r="C9" s="35" t="s">
        <v>82</v>
      </c>
      <c r="D9" s="36">
        <v>5</v>
      </c>
      <c r="E9" s="36">
        <v>30367.4</v>
      </c>
      <c r="F9" s="13"/>
      <c r="G9" s="13"/>
      <c r="H9" s="13"/>
      <c r="I9" s="14"/>
      <c r="J9" s="147"/>
      <c r="K9" s="148"/>
      <c r="L9" s="148"/>
      <c r="M9" s="148"/>
      <c r="N9" s="148"/>
      <c r="O9" s="149"/>
      <c r="P9" s="2"/>
      <c r="Q9" s="2"/>
      <c r="R9" s="2"/>
      <c r="S9" s="2"/>
      <c r="T9" s="12"/>
      <c r="U9" s="12"/>
      <c r="V9" s="12"/>
      <c r="W9" s="12"/>
      <c r="X9" s="1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ht="15.75" customHeight="1" x14ac:dyDescent="0.25">
      <c r="A10" s="32">
        <v>1146</v>
      </c>
      <c r="B10" s="32" t="s">
        <v>40</v>
      </c>
      <c r="C10" s="32" t="s">
        <v>86</v>
      </c>
      <c r="D10" s="33">
        <v>5</v>
      </c>
      <c r="E10" s="33">
        <v>15057.4</v>
      </c>
      <c r="F10" s="13"/>
      <c r="G10" s="13"/>
      <c r="H10" s="13"/>
      <c r="I10" s="14"/>
      <c r="J10" s="147"/>
      <c r="K10" s="148"/>
      <c r="L10" s="148"/>
      <c r="M10" s="148"/>
      <c r="N10" s="148"/>
      <c r="O10" s="149"/>
      <c r="P10" s="2"/>
      <c r="Q10" s="2"/>
      <c r="R10" s="2"/>
      <c r="S10" s="2"/>
      <c r="T10" s="12"/>
      <c r="U10" s="12"/>
      <c r="V10" s="12"/>
      <c r="W10" s="12"/>
      <c r="X10" s="1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ht="15.75" customHeight="1" x14ac:dyDescent="0.25">
      <c r="A11" s="35">
        <v>1203</v>
      </c>
      <c r="B11" s="35" t="s">
        <v>102</v>
      </c>
      <c r="C11" s="35" t="s">
        <v>87</v>
      </c>
      <c r="D11" s="36">
        <v>5</v>
      </c>
      <c r="E11" s="36">
        <v>7678</v>
      </c>
      <c r="F11" s="13"/>
      <c r="G11" s="13"/>
      <c r="H11" s="13"/>
      <c r="I11" s="14"/>
      <c r="J11" s="147"/>
      <c r="K11" s="148"/>
      <c r="L11" s="148"/>
      <c r="M11" s="148"/>
      <c r="N11" s="148"/>
      <c r="O11" s="149"/>
      <c r="P11" s="2"/>
      <c r="Q11" s="2"/>
      <c r="R11" s="2"/>
      <c r="S11" s="2"/>
      <c r="T11" s="12"/>
      <c r="U11" s="12"/>
      <c r="V11" s="12"/>
      <c r="W11" s="12"/>
      <c r="X11" s="1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9"/>
      <c r="AL11" s="2"/>
      <c r="AM11" s="2"/>
    </row>
    <row r="12" spans="1:39" ht="15.75" customHeight="1" x14ac:dyDescent="0.25">
      <c r="A12" s="32">
        <v>1229</v>
      </c>
      <c r="B12" s="32" t="s">
        <v>49</v>
      </c>
      <c r="C12" s="32" t="s">
        <v>86</v>
      </c>
      <c r="D12" s="33">
        <v>14</v>
      </c>
      <c r="E12" s="33">
        <v>17967.571428571428</v>
      </c>
      <c r="F12" s="13"/>
      <c r="G12" s="13"/>
      <c r="H12" s="13"/>
      <c r="I12" s="14"/>
      <c r="J12" s="147"/>
      <c r="K12" s="148"/>
      <c r="L12" s="148"/>
      <c r="M12" s="148"/>
      <c r="N12" s="148"/>
      <c r="O12" s="149"/>
      <c r="P12" s="2"/>
      <c r="Q12" s="2"/>
      <c r="R12" s="2"/>
      <c r="S12" s="2"/>
      <c r="T12" s="12"/>
      <c r="U12" s="12"/>
      <c r="V12" s="12"/>
      <c r="W12" s="12"/>
      <c r="X12" s="1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9"/>
      <c r="AL12" s="2"/>
      <c r="AM12" s="2"/>
    </row>
    <row r="13" spans="1:39" ht="15.75" customHeight="1" x14ac:dyDescent="0.25">
      <c r="A13" s="35">
        <v>1217</v>
      </c>
      <c r="B13" s="35" t="s">
        <v>35</v>
      </c>
      <c r="C13" s="35" t="s">
        <v>90</v>
      </c>
      <c r="D13" s="36">
        <v>7</v>
      </c>
      <c r="E13" s="36">
        <v>11221.857142857143</v>
      </c>
      <c r="F13" s="13"/>
      <c r="G13" s="13"/>
      <c r="H13" s="13"/>
      <c r="I13" s="14"/>
      <c r="J13" s="150"/>
      <c r="K13" s="151"/>
      <c r="L13" s="151"/>
      <c r="M13" s="151"/>
      <c r="N13" s="151"/>
      <c r="O13" s="152"/>
      <c r="P13" s="2"/>
      <c r="Q13" s="2"/>
      <c r="R13" s="2"/>
      <c r="S13" s="2"/>
      <c r="T13" s="12"/>
      <c r="U13" s="12"/>
      <c r="V13" s="12"/>
      <c r="W13" s="12"/>
      <c r="X13" s="1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9"/>
      <c r="AL13" s="2"/>
      <c r="AM13" s="2"/>
    </row>
    <row r="14" spans="1:39" ht="15.75" customHeight="1" x14ac:dyDescent="0.25">
      <c r="A14" s="32">
        <v>1223</v>
      </c>
      <c r="B14" s="32" t="s">
        <v>36</v>
      </c>
      <c r="C14" s="32" t="s">
        <v>87</v>
      </c>
      <c r="D14" s="33">
        <v>5</v>
      </c>
      <c r="E14" s="33">
        <v>37402.800000000003</v>
      </c>
      <c r="F14" s="13"/>
      <c r="G14" s="13"/>
      <c r="H14" s="13"/>
      <c r="I14" s="14"/>
      <c r="J14" s="2"/>
      <c r="K14" s="2"/>
      <c r="L14" s="2"/>
      <c r="M14" s="14"/>
      <c r="N14" s="2"/>
      <c r="O14" s="15"/>
      <c r="P14" s="2"/>
      <c r="Q14" s="2"/>
      <c r="R14" s="2"/>
      <c r="S14" s="2"/>
      <c r="T14" s="12"/>
      <c r="U14" s="12"/>
      <c r="V14" s="12"/>
      <c r="W14" s="12"/>
      <c r="X14" s="1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9"/>
      <c r="AL14" s="2"/>
      <c r="AM14" s="2"/>
    </row>
    <row r="15" spans="1:39" ht="15.75" customHeight="1" x14ac:dyDescent="0.25">
      <c r="A15" s="35">
        <v>1209</v>
      </c>
      <c r="B15" s="35" t="s">
        <v>31</v>
      </c>
      <c r="C15" s="35" t="s">
        <v>91</v>
      </c>
      <c r="D15" s="36">
        <v>7</v>
      </c>
      <c r="E15" s="36">
        <v>2739.4285714285716</v>
      </c>
      <c r="F15" s="13"/>
      <c r="G15" s="13"/>
      <c r="H15" s="13"/>
      <c r="I15" s="14"/>
      <c r="J15" s="2"/>
      <c r="K15" s="2"/>
      <c r="L15" s="2"/>
      <c r="M15" s="14"/>
      <c r="N15" s="2"/>
      <c r="O15" s="15"/>
      <c r="P15" s="2"/>
      <c r="Q15" s="2"/>
      <c r="R15" s="2"/>
      <c r="S15" s="2"/>
      <c r="T15" s="12"/>
      <c r="U15" s="12"/>
      <c r="V15" s="12"/>
      <c r="W15" s="12"/>
      <c r="X15" s="1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9"/>
      <c r="AL15" s="2"/>
      <c r="AM15" s="2"/>
    </row>
    <row r="16" spans="1:39" ht="15.75" customHeight="1" x14ac:dyDescent="0.25">
      <c r="A16" s="32">
        <v>1237</v>
      </c>
      <c r="B16" s="32" t="s">
        <v>55</v>
      </c>
      <c r="C16" s="32" t="s">
        <v>82</v>
      </c>
      <c r="D16" s="33">
        <v>5</v>
      </c>
      <c r="E16" s="33">
        <v>12357.2</v>
      </c>
      <c r="F16" s="13"/>
      <c r="G16" s="13"/>
      <c r="H16" s="13"/>
      <c r="I16" s="14"/>
      <c r="J16" s="144" t="s">
        <v>103</v>
      </c>
      <c r="K16" s="145"/>
      <c r="L16" s="145"/>
      <c r="M16" s="145"/>
      <c r="N16" s="145"/>
      <c r="O16" s="146"/>
      <c r="P16" s="2"/>
      <c r="Q16" s="2"/>
      <c r="R16" s="2"/>
      <c r="S16" s="2"/>
      <c r="T16" s="12"/>
      <c r="U16" s="12"/>
      <c r="V16" s="12"/>
      <c r="W16" s="12"/>
      <c r="X16" s="1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9"/>
      <c r="AL16" s="2"/>
      <c r="AM16" s="2"/>
    </row>
    <row r="17" spans="1:39" ht="15.75" customHeight="1" x14ac:dyDescent="0.25">
      <c r="A17" s="35">
        <v>1240</v>
      </c>
      <c r="B17" s="35" t="s">
        <v>54</v>
      </c>
      <c r="C17" s="35" t="s">
        <v>94</v>
      </c>
      <c r="D17" s="36">
        <v>7</v>
      </c>
      <c r="E17" s="36">
        <v>1583.1428571428571</v>
      </c>
      <c r="F17" s="13"/>
      <c r="G17" s="13"/>
      <c r="H17" s="13"/>
      <c r="I17" s="14"/>
      <c r="J17" s="147"/>
      <c r="K17" s="148"/>
      <c r="L17" s="148"/>
      <c r="M17" s="148"/>
      <c r="N17" s="148"/>
      <c r="O17" s="149"/>
      <c r="P17" s="2"/>
      <c r="Q17" s="2"/>
      <c r="R17" s="2"/>
      <c r="S17" s="2"/>
      <c r="T17" s="12"/>
      <c r="U17" s="12"/>
      <c r="V17" s="12"/>
      <c r="W17" s="12"/>
      <c r="X17" s="1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9"/>
      <c r="AL17" s="2"/>
      <c r="AM17" s="2"/>
    </row>
    <row r="18" spans="1:39" ht="15.75" customHeight="1" x14ac:dyDescent="0.25">
      <c r="A18" s="32">
        <v>1259</v>
      </c>
      <c r="B18" s="32" t="s">
        <v>33</v>
      </c>
      <c r="C18" s="32" t="s">
        <v>82</v>
      </c>
      <c r="D18" s="33">
        <v>5</v>
      </c>
      <c r="E18" s="33">
        <v>8948.2000000000007</v>
      </c>
      <c r="F18" s="13"/>
      <c r="G18" s="13"/>
      <c r="H18" s="13"/>
      <c r="I18" s="14"/>
      <c r="J18" s="147"/>
      <c r="K18" s="148"/>
      <c r="L18" s="148"/>
      <c r="M18" s="148"/>
      <c r="N18" s="148"/>
      <c r="O18" s="149"/>
      <c r="P18" s="2"/>
      <c r="Q18" s="2"/>
      <c r="R18" s="2"/>
      <c r="S18" s="2"/>
      <c r="T18" s="12"/>
      <c r="U18" s="12"/>
      <c r="V18" s="12"/>
      <c r="W18" s="12"/>
      <c r="X18" s="1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9"/>
      <c r="AL18" s="2"/>
      <c r="AM18" s="2"/>
    </row>
    <row r="19" spans="1:39" ht="15.75" customHeight="1" x14ac:dyDescent="0.25">
      <c r="A19" s="35">
        <v>1275</v>
      </c>
      <c r="B19" s="35" t="s">
        <v>27</v>
      </c>
      <c r="C19" s="35" t="s">
        <v>89</v>
      </c>
      <c r="D19" s="36">
        <v>5</v>
      </c>
      <c r="E19" s="36">
        <v>162.47999999999999</v>
      </c>
      <c r="F19" s="19"/>
      <c r="G19" s="13"/>
      <c r="H19" s="13"/>
      <c r="I19" s="14"/>
      <c r="J19" s="147"/>
      <c r="K19" s="148"/>
      <c r="L19" s="148"/>
      <c r="M19" s="148"/>
      <c r="N19" s="148"/>
      <c r="O19" s="149"/>
      <c r="P19" s="2"/>
      <c r="Q19" s="2"/>
      <c r="R19" s="2"/>
      <c r="S19" s="2"/>
      <c r="T19" s="12"/>
      <c r="U19" s="12"/>
      <c r="V19" s="12"/>
      <c r="W19" s="12"/>
      <c r="X19" s="1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9"/>
      <c r="AL19" s="2"/>
      <c r="AM19" s="2"/>
    </row>
    <row r="20" spans="1:39" ht="15.75" customHeight="1" x14ac:dyDescent="0.25">
      <c r="A20" s="32">
        <v>1289</v>
      </c>
      <c r="B20" s="32" t="s">
        <v>45</v>
      </c>
      <c r="C20" s="32" t="s">
        <v>82</v>
      </c>
      <c r="D20" s="33">
        <v>5</v>
      </c>
      <c r="E20" s="33">
        <v>25992</v>
      </c>
      <c r="F20" s="13"/>
      <c r="G20" s="13"/>
      <c r="H20" s="13"/>
      <c r="I20" s="14"/>
      <c r="J20" s="150"/>
      <c r="K20" s="151"/>
      <c r="L20" s="151"/>
      <c r="M20" s="151"/>
      <c r="N20" s="151"/>
      <c r="O20" s="152"/>
      <c r="P20" s="2"/>
      <c r="Q20" s="2"/>
      <c r="R20" s="2"/>
      <c r="S20" s="2"/>
      <c r="T20" s="12"/>
      <c r="U20" s="12"/>
      <c r="V20" s="12"/>
      <c r="W20" s="12"/>
      <c r="X20" s="1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ht="15.75" customHeight="1" x14ac:dyDescent="0.25">
      <c r="A21" s="35">
        <v>1299</v>
      </c>
      <c r="B21" s="35" t="s">
        <v>58</v>
      </c>
      <c r="C21" s="35" t="s">
        <v>86</v>
      </c>
      <c r="D21" s="36">
        <v>5</v>
      </c>
      <c r="E21" s="36">
        <v>9403.6</v>
      </c>
      <c r="F21" s="13"/>
      <c r="G21" s="13"/>
      <c r="H21" s="13"/>
      <c r="I21" s="14"/>
      <c r="J21" s="20"/>
      <c r="K21" s="20"/>
      <c r="L21" s="20"/>
      <c r="M21" s="20"/>
      <c r="N21" s="20"/>
      <c r="O21" s="20"/>
      <c r="P21" s="2"/>
      <c r="Q21" s="2"/>
      <c r="R21" s="2"/>
      <c r="S21" s="2"/>
      <c r="T21" s="12"/>
      <c r="U21" s="12"/>
      <c r="V21" s="12"/>
      <c r="W21" s="12"/>
      <c r="X21" s="1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ht="15.75" customHeight="1" x14ac:dyDescent="0.25">
      <c r="A22" s="32">
        <v>1302</v>
      </c>
      <c r="B22" s="32" t="s">
        <v>48</v>
      </c>
      <c r="C22" s="32" t="s">
        <v>84</v>
      </c>
      <c r="D22" s="33">
        <v>9</v>
      </c>
      <c r="E22" s="33">
        <v>7681.4444444444443</v>
      </c>
      <c r="F22" s="13"/>
      <c r="G22" s="13"/>
      <c r="H22" s="13"/>
      <c r="I22" s="14"/>
      <c r="J22" s="2"/>
      <c r="K22" s="2"/>
      <c r="L22" s="2"/>
      <c r="M22" s="2"/>
      <c r="N22" s="12"/>
      <c r="O22" s="12"/>
      <c r="P22" s="12"/>
      <c r="Q22" s="12"/>
      <c r="R22" s="1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ht="15.75" customHeight="1" x14ac:dyDescent="0.25">
      <c r="A23" s="35">
        <v>1296</v>
      </c>
      <c r="B23" s="35" t="s">
        <v>18</v>
      </c>
      <c r="C23" s="35" t="s">
        <v>84</v>
      </c>
      <c r="D23" s="36">
        <v>9</v>
      </c>
      <c r="E23" s="36">
        <v>2553.3333333333335</v>
      </c>
      <c r="F23" s="13"/>
      <c r="G23" s="13"/>
      <c r="H23" s="13"/>
      <c r="I23" s="14"/>
      <c r="J23" s="2"/>
      <c r="K23" s="2"/>
      <c r="L23" s="2"/>
      <c r="M23" s="2"/>
      <c r="N23" s="12"/>
      <c r="O23" s="12"/>
      <c r="P23" s="12"/>
      <c r="Q23" s="12"/>
      <c r="R23" s="1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ht="15.75" customHeight="1" x14ac:dyDescent="0.25">
      <c r="A24" s="32">
        <v>1298</v>
      </c>
      <c r="B24" s="32" t="s">
        <v>39</v>
      </c>
      <c r="C24" s="32" t="s">
        <v>92</v>
      </c>
      <c r="D24" s="33">
        <v>4</v>
      </c>
      <c r="E24" s="33">
        <v>15837.5</v>
      </c>
      <c r="F24" s="13"/>
      <c r="G24" s="13"/>
      <c r="H24" s="13"/>
      <c r="I24" s="14"/>
      <c r="J24" s="2"/>
      <c r="K24" s="2"/>
      <c r="L24" s="2"/>
      <c r="M24" s="14"/>
      <c r="N24" s="2"/>
      <c r="O24" s="15"/>
      <c r="P24" s="2"/>
      <c r="Q24" s="2"/>
      <c r="R24" s="2"/>
      <c r="S24" s="2"/>
      <c r="T24" s="12"/>
      <c r="U24" s="12"/>
      <c r="V24" s="12"/>
      <c r="W24" s="12"/>
      <c r="X24" s="1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ht="15.75" customHeight="1" x14ac:dyDescent="0.25">
      <c r="A25" s="35">
        <v>1324</v>
      </c>
      <c r="B25" s="35" t="s">
        <v>19</v>
      </c>
      <c r="C25" s="35" t="s">
        <v>84</v>
      </c>
      <c r="D25" s="36">
        <v>9</v>
      </c>
      <c r="E25" s="36">
        <v>4069</v>
      </c>
      <c r="F25" s="13"/>
      <c r="G25" s="13"/>
      <c r="H25" s="13"/>
      <c r="I25" s="14"/>
      <c r="J25" s="2"/>
      <c r="K25" s="2"/>
      <c r="L25" s="2"/>
      <c r="M25" s="14"/>
      <c r="N25" s="2"/>
      <c r="O25" s="15"/>
      <c r="P25" s="2"/>
      <c r="Q25" s="2"/>
      <c r="R25" s="2"/>
      <c r="S25" s="2"/>
      <c r="T25" s="12"/>
      <c r="U25" s="12"/>
      <c r="V25" s="12"/>
      <c r="W25" s="12"/>
      <c r="X25" s="1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ht="15.75" customHeight="1" x14ac:dyDescent="0.25">
      <c r="A26" s="32">
        <v>1331</v>
      </c>
      <c r="B26" s="32" t="s">
        <v>60</v>
      </c>
      <c r="C26" s="32" t="s">
        <v>88</v>
      </c>
      <c r="D26" s="33">
        <v>3</v>
      </c>
      <c r="E26" s="33">
        <v>20175</v>
      </c>
      <c r="F26" s="13"/>
      <c r="G26" s="13"/>
      <c r="H26" s="13"/>
      <c r="I26" s="14"/>
      <c r="J26" s="144" t="s">
        <v>104</v>
      </c>
      <c r="K26" s="145"/>
      <c r="L26" s="145"/>
      <c r="M26" s="145"/>
      <c r="N26" s="145"/>
      <c r="O26" s="146"/>
      <c r="P26" s="2"/>
      <c r="Q26" s="138" t="s">
        <v>105</v>
      </c>
      <c r="R26" s="2"/>
      <c r="S26" s="140" t="s">
        <v>106</v>
      </c>
      <c r="T26" s="12"/>
      <c r="U26" s="12"/>
      <c r="V26" s="12"/>
      <c r="W26" s="12"/>
      <c r="X26" s="1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ht="15.75" customHeight="1" x14ac:dyDescent="0.25">
      <c r="A27" s="35">
        <v>1330</v>
      </c>
      <c r="B27" s="35" t="s">
        <v>59</v>
      </c>
      <c r="C27" s="35" t="s">
        <v>84</v>
      </c>
      <c r="D27" s="36">
        <v>9</v>
      </c>
      <c r="E27" s="36">
        <v>11325</v>
      </c>
      <c r="F27" s="13"/>
      <c r="G27" s="13"/>
      <c r="H27" s="13"/>
      <c r="I27" s="14"/>
      <c r="J27" s="150"/>
      <c r="K27" s="151"/>
      <c r="L27" s="151"/>
      <c r="M27" s="151"/>
      <c r="N27" s="151"/>
      <c r="O27" s="152"/>
      <c r="P27" s="2"/>
      <c r="Q27" s="139"/>
      <c r="R27" s="2"/>
      <c r="S27" s="139"/>
      <c r="T27" s="12"/>
      <c r="U27" s="12"/>
      <c r="V27" s="12"/>
      <c r="W27" s="12"/>
      <c r="X27" s="1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ht="15.75" customHeight="1" x14ac:dyDescent="0.25">
      <c r="A28" s="32">
        <v>1332</v>
      </c>
      <c r="B28" s="32" t="s">
        <v>13</v>
      </c>
      <c r="C28" s="32" t="s">
        <v>81</v>
      </c>
      <c r="D28" s="33">
        <v>5</v>
      </c>
      <c r="E28" s="33">
        <v>16347.6</v>
      </c>
      <c r="F28" s="13"/>
      <c r="G28" s="13"/>
      <c r="H28" s="13"/>
      <c r="I28" s="14"/>
      <c r="J28" s="20"/>
      <c r="K28" s="20"/>
      <c r="L28" s="20"/>
      <c r="M28" s="20"/>
      <c r="N28" s="20"/>
      <c r="O28" s="20"/>
      <c r="P28" s="2"/>
      <c r="Q28" s="2"/>
      <c r="R28" s="2"/>
      <c r="S28" s="2"/>
      <c r="T28" s="12"/>
      <c r="U28" s="12"/>
      <c r="V28" s="12"/>
      <c r="W28" s="12"/>
      <c r="X28" s="1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ht="15.75" customHeight="1" x14ac:dyDescent="0.25">
      <c r="A29" s="35">
        <v>1335</v>
      </c>
      <c r="B29" s="35" t="s">
        <v>44</v>
      </c>
      <c r="C29" s="35" t="s">
        <v>84</v>
      </c>
      <c r="D29" s="36">
        <v>9</v>
      </c>
      <c r="E29" s="36">
        <v>9502.6666666666661</v>
      </c>
      <c r="F29" s="13"/>
      <c r="G29" s="13"/>
      <c r="H29" s="13"/>
      <c r="I29" s="14"/>
      <c r="J29" s="14"/>
      <c r="K29" s="141" t="s">
        <v>107</v>
      </c>
      <c r="L29" s="142"/>
      <c r="M29" s="142"/>
      <c r="N29" s="142"/>
      <c r="O29" s="143"/>
      <c r="P29" s="2"/>
      <c r="Q29" s="2"/>
      <c r="R29" s="2"/>
      <c r="S29" s="2"/>
      <c r="T29" s="12"/>
      <c r="U29" s="12"/>
      <c r="V29" s="12"/>
      <c r="W29" s="12"/>
      <c r="X29" s="1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ht="15.75" customHeight="1" x14ac:dyDescent="0.25">
      <c r="A30" s="32">
        <v>1339</v>
      </c>
      <c r="B30" s="32" t="s">
        <v>28</v>
      </c>
      <c r="C30" s="32" t="s">
        <v>81</v>
      </c>
      <c r="D30" s="33">
        <v>5</v>
      </c>
      <c r="E30" s="33">
        <v>6016.6</v>
      </c>
      <c r="F30" s="13"/>
      <c r="G30" s="13"/>
      <c r="H30" s="13"/>
      <c r="I30" s="14"/>
      <c r="J30" s="2"/>
      <c r="K30" s="2"/>
      <c r="L30" s="2"/>
      <c r="M30" s="2"/>
      <c r="N30" s="2"/>
      <c r="O30" s="2"/>
      <c r="P30" s="2"/>
      <c r="Q30" s="2"/>
      <c r="R30" s="2"/>
      <c r="S30" s="2"/>
      <c r="T30" s="12"/>
      <c r="U30" s="12"/>
      <c r="V30" s="12"/>
      <c r="W30" s="12"/>
      <c r="X30" s="1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 ht="15.75" customHeight="1" x14ac:dyDescent="0.25">
      <c r="A31" s="35">
        <v>1338</v>
      </c>
      <c r="B31" s="35" t="s">
        <v>56</v>
      </c>
      <c r="C31" s="35" t="s">
        <v>84</v>
      </c>
      <c r="D31" s="36">
        <v>9</v>
      </c>
      <c r="E31" s="36">
        <v>4789</v>
      </c>
      <c r="F31" s="13"/>
      <c r="G31" s="13"/>
      <c r="H31" s="13"/>
      <c r="I31" s="14"/>
      <c r="J31" s="14"/>
      <c r="K31" s="141" t="s">
        <v>108</v>
      </c>
      <c r="L31" s="142"/>
      <c r="M31" s="142"/>
      <c r="N31" s="142"/>
      <c r="O31" s="143"/>
      <c r="P31" s="2"/>
      <c r="Q31" s="2"/>
      <c r="R31" s="2"/>
      <c r="S31" s="2"/>
      <c r="T31" s="12"/>
      <c r="U31" s="12"/>
      <c r="V31" s="12"/>
      <c r="W31" s="12"/>
      <c r="X31" s="1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 ht="15.75" customHeight="1" x14ac:dyDescent="0.25">
      <c r="A32" s="32">
        <v>1344</v>
      </c>
      <c r="B32" s="32" t="s">
        <v>53</v>
      </c>
      <c r="C32" s="32" t="s">
        <v>93</v>
      </c>
      <c r="D32" s="33">
        <v>6</v>
      </c>
      <c r="E32" s="33">
        <v>3031.3333333333335</v>
      </c>
      <c r="F32" s="13"/>
      <c r="G32" s="13"/>
      <c r="H32" s="13"/>
      <c r="I32" s="14"/>
      <c r="J32" s="20"/>
      <c r="K32" s="20"/>
      <c r="L32" s="20"/>
      <c r="M32" s="20"/>
      <c r="N32" s="20"/>
      <c r="O32" s="20"/>
      <c r="P32" s="2"/>
      <c r="Q32" s="2"/>
      <c r="R32" s="2"/>
      <c r="S32" s="2"/>
      <c r="T32" s="12"/>
      <c r="U32" s="12"/>
      <c r="V32" s="12"/>
      <c r="W32" s="12"/>
      <c r="X32" s="1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 ht="15.75" customHeight="1" x14ac:dyDescent="0.25">
      <c r="A33" s="35">
        <v>1357</v>
      </c>
      <c r="B33" s="35" t="s">
        <v>51</v>
      </c>
      <c r="C33" s="35" t="s">
        <v>83</v>
      </c>
      <c r="D33" s="36">
        <v>19</v>
      </c>
      <c r="E33" s="36">
        <v>1308.8421052631579</v>
      </c>
      <c r="F33" s="13"/>
      <c r="G33" s="13"/>
      <c r="H33" s="13"/>
      <c r="I33" s="14"/>
      <c r="J33" s="20"/>
      <c r="K33" s="153" t="s">
        <v>109</v>
      </c>
      <c r="L33" s="142"/>
      <c r="M33" s="142"/>
      <c r="N33" s="142"/>
      <c r="O33" s="143"/>
      <c r="P33" s="2"/>
      <c r="Q33" s="2"/>
      <c r="R33" s="2"/>
      <c r="S33" s="2"/>
      <c r="T33" s="12"/>
      <c r="U33" s="12"/>
      <c r="V33" s="12"/>
      <c r="W33" s="12"/>
      <c r="X33" s="1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ht="15.75" customHeight="1" x14ac:dyDescent="0.25">
      <c r="A34" s="32">
        <v>1377</v>
      </c>
      <c r="B34" s="32" t="s">
        <v>30</v>
      </c>
      <c r="C34" s="32" t="s">
        <v>83</v>
      </c>
      <c r="D34" s="33">
        <v>19</v>
      </c>
      <c r="E34" s="33">
        <v>3100</v>
      </c>
      <c r="F34" s="13"/>
      <c r="G34" s="13"/>
      <c r="H34" s="13"/>
      <c r="I34" s="14"/>
      <c r="J34" s="20"/>
      <c r="K34" s="20"/>
      <c r="L34" s="20"/>
      <c r="M34" s="20"/>
      <c r="N34" s="20"/>
      <c r="O34" s="20"/>
      <c r="P34" s="2"/>
      <c r="Q34" s="2"/>
      <c r="R34" s="2"/>
      <c r="S34" s="2"/>
      <c r="T34" s="12"/>
      <c r="U34" s="12"/>
      <c r="V34" s="12"/>
      <c r="W34" s="12"/>
      <c r="X34" s="1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 ht="15.75" customHeight="1" x14ac:dyDescent="0.25">
      <c r="A35" s="35">
        <v>1334</v>
      </c>
      <c r="B35" s="35" t="s">
        <v>29</v>
      </c>
      <c r="C35" s="35" t="s">
        <v>90</v>
      </c>
      <c r="D35" s="36">
        <v>7</v>
      </c>
      <c r="E35" s="36">
        <v>4040.4285714285716</v>
      </c>
      <c r="F35" s="13"/>
      <c r="G35" s="13"/>
      <c r="H35" s="13"/>
      <c r="I35" s="14"/>
      <c r="J35" s="20"/>
      <c r="K35" s="153" t="s">
        <v>110</v>
      </c>
      <c r="L35" s="142"/>
      <c r="M35" s="142"/>
      <c r="N35" s="142"/>
      <c r="O35" s="143"/>
      <c r="P35" s="2"/>
      <c r="Q35" s="2"/>
      <c r="R35" s="2"/>
      <c r="S35" s="2"/>
      <c r="T35" s="12"/>
      <c r="U35" s="12"/>
      <c r="V35" s="12"/>
      <c r="W35" s="12"/>
      <c r="X35" s="1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 ht="15.75" customHeight="1" x14ac:dyDescent="0.25">
      <c r="A36" s="32">
        <v>1363</v>
      </c>
      <c r="B36" s="32" t="s">
        <v>17</v>
      </c>
      <c r="C36" s="32" t="s">
        <v>83</v>
      </c>
      <c r="D36" s="33">
        <v>19</v>
      </c>
      <c r="E36" s="33">
        <v>6740.5789473684208</v>
      </c>
      <c r="F36" s="13"/>
      <c r="G36" s="13"/>
      <c r="H36" s="13"/>
      <c r="I36" s="14"/>
      <c r="J36" s="14"/>
      <c r="K36" s="14"/>
      <c r="L36" s="14"/>
      <c r="M36" s="14"/>
      <c r="N36" s="14"/>
      <c r="O36" s="14"/>
      <c r="P36" s="2"/>
      <c r="Q36" s="2"/>
      <c r="R36" s="2"/>
      <c r="S36" s="2"/>
      <c r="T36" s="12"/>
      <c r="U36" s="12"/>
      <c r="V36" s="12"/>
      <c r="W36" s="12"/>
      <c r="X36" s="1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ht="15.75" customHeight="1" x14ac:dyDescent="0.25">
      <c r="A37" s="35">
        <v>1336</v>
      </c>
      <c r="B37" s="35" t="s">
        <v>21</v>
      </c>
      <c r="C37" s="35" t="s">
        <v>85</v>
      </c>
      <c r="D37" s="36">
        <v>8.5</v>
      </c>
      <c r="E37" s="36">
        <v>14256.470588235294</v>
      </c>
      <c r="F37" s="13"/>
      <c r="G37" s="13"/>
      <c r="H37" s="13"/>
      <c r="I37" s="14"/>
      <c r="J37" s="2"/>
      <c r="K37" s="153" t="s">
        <v>111</v>
      </c>
      <c r="L37" s="142"/>
      <c r="M37" s="142"/>
      <c r="N37" s="142"/>
      <c r="O37" s="143"/>
      <c r="P37" s="2"/>
      <c r="Q37" s="2"/>
      <c r="R37" s="2"/>
      <c r="S37" s="2"/>
      <c r="T37" s="12"/>
      <c r="U37" s="12"/>
      <c r="V37" s="12"/>
      <c r="W37" s="12"/>
      <c r="X37" s="1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ht="15.75" customHeight="1" x14ac:dyDescent="0.25">
      <c r="A38" s="32">
        <v>1318</v>
      </c>
      <c r="B38" s="32" t="s">
        <v>25</v>
      </c>
      <c r="C38" s="32" t="s">
        <v>87</v>
      </c>
      <c r="D38" s="33">
        <v>10</v>
      </c>
      <c r="E38" s="33">
        <v>13628.4</v>
      </c>
      <c r="F38" s="13"/>
      <c r="G38" s="13"/>
      <c r="H38" s="13"/>
      <c r="I38" s="14"/>
      <c r="J38" s="2"/>
      <c r="K38" s="2"/>
      <c r="L38" s="2"/>
      <c r="M38" s="2"/>
      <c r="N38" s="2"/>
      <c r="O38" s="2"/>
      <c r="P38" s="2"/>
      <c r="Q38" s="2"/>
      <c r="R38" s="2"/>
      <c r="S38" s="2"/>
      <c r="T38" s="12"/>
      <c r="U38" s="12"/>
      <c r="V38" s="12"/>
      <c r="W38" s="12"/>
      <c r="X38" s="1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ht="15.75" customHeight="1" x14ac:dyDescent="0.25">
      <c r="A39" s="35">
        <v>1075</v>
      </c>
      <c r="B39" s="35" t="s">
        <v>37</v>
      </c>
      <c r="C39" s="35" t="s">
        <v>87</v>
      </c>
      <c r="D39" s="36">
        <v>10</v>
      </c>
      <c r="E39" s="36">
        <v>17853.400000000001</v>
      </c>
      <c r="F39" s="13"/>
      <c r="G39" s="13"/>
      <c r="H39" s="13"/>
      <c r="I39" s="14"/>
      <c r="J39" s="144" t="s">
        <v>112</v>
      </c>
      <c r="K39" s="145"/>
      <c r="L39" s="145"/>
      <c r="M39" s="145"/>
      <c r="N39" s="145"/>
      <c r="O39" s="146"/>
      <c r="P39" s="2"/>
      <c r="Q39" s="2"/>
      <c r="R39" s="2"/>
      <c r="S39" s="2"/>
      <c r="T39" s="12"/>
      <c r="U39" s="12"/>
      <c r="V39" s="12"/>
      <c r="W39" s="12"/>
      <c r="X39" s="1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ht="18" customHeight="1" x14ac:dyDescent="0.25">
      <c r="A40" s="32">
        <v>1074</v>
      </c>
      <c r="B40" s="32" t="s">
        <v>113</v>
      </c>
      <c r="C40" s="32" t="s">
        <v>87</v>
      </c>
      <c r="D40" s="33">
        <v>5</v>
      </c>
      <c r="E40" s="33">
        <v>24819.200000000001</v>
      </c>
      <c r="F40" s="13"/>
      <c r="G40" s="13"/>
      <c r="H40" s="13"/>
      <c r="I40" s="14"/>
      <c r="J40" s="147"/>
      <c r="K40" s="148"/>
      <c r="L40" s="148"/>
      <c r="M40" s="148"/>
      <c r="N40" s="148"/>
      <c r="O40" s="149"/>
      <c r="P40" s="2"/>
      <c r="Q40" s="2"/>
      <c r="R40" s="2"/>
      <c r="S40" s="2"/>
      <c r="T40" s="12"/>
      <c r="U40" s="12"/>
      <c r="V40" s="12"/>
      <c r="W40" s="12"/>
      <c r="X40" s="1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ht="15.75" customHeight="1" x14ac:dyDescent="0.25">
      <c r="A41" s="35">
        <v>1319</v>
      </c>
      <c r="B41" s="35" t="s">
        <v>38</v>
      </c>
      <c r="C41" s="35" t="s">
        <v>82</v>
      </c>
      <c r="D41" s="36">
        <v>5</v>
      </c>
      <c r="E41" s="36">
        <v>30552.2</v>
      </c>
      <c r="F41" s="13"/>
      <c r="G41" s="13"/>
      <c r="H41" s="13"/>
      <c r="I41" s="14"/>
      <c r="J41" s="150"/>
      <c r="K41" s="151"/>
      <c r="L41" s="151"/>
      <c r="M41" s="151"/>
      <c r="N41" s="151"/>
      <c r="O41" s="152"/>
      <c r="P41" s="2"/>
      <c r="Q41" s="2"/>
      <c r="R41" s="2"/>
      <c r="S41" s="2"/>
      <c r="T41" s="12"/>
      <c r="U41" s="12"/>
      <c r="V41" s="12"/>
      <c r="W41" s="12"/>
      <c r="X41" s="1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ht="20.25" customHeight="1" x14ac:dyDescent="0.25">
      <c r="A42" s="32">
        <v>1342</v>
      </c>
      <c r="B42" s="32" t="s">
        <v>41</v>
      </c>
      <c r="C42" s="32" t="s">
        <v>87</v>
      </c>
      <c r="D42" s="33">
        <v>5</v>
      </c>
      <c r="E42" s="33">
        <v>5699.6</v>
      </c>
      <c r="F42" s="13"/>
      <c r="G42" s="13"/>
      <c r="H42" s="13"/>
      <c r="I42" s="14"/>
      <c r="J42" s="2"/>
      <c r="K42" s="2"/>
      <c r="L42" s="2"/>
      <c r="M42" s="2"/>
      <c r="N42" s="2"/>
      <c r="O42" s="2"/>
      <c r="P42" s="2"/>
      <c r="Q42" s="2"/>
      <c r="R42" s="2"/>
      <c r="S42" s="2"/>
      <c r="T42" s="12"/>
      <c r="U42" s="12"/>
      <c r="V42" s="12"/>
      <c r="W42" s="12"/>
      <c r="X42" s="1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ht="15.75" customHeight="1" x14ac:dyDescent="0.25">
      <c r="A43" s="35">
        <v>1317</v>
      </c>
      <c r="B43" s="35" t="s">
        <v>42</v>
      </c>
      <c r="C43" s="35" t="s">
        <v>86</v>
      </c>
      <c r="D43" s="36">
        <v>5</v>
      </c>
      <c r="E43" s="36">
        <v>4544.8</v>
      </c>
      <c r="F43" s="13"/>
      <c r="G43" s="13"/>
      <c r="H43" s="13"/>
      <c r="I43" s="14"/>
      <c r="J43" s="2"/>
      <c r="K43" s="2"/>
      <c r="L43" s="2"/>
      <c r="M43" s="2"/>
      <c r="N43" s="2"/>
      <c r="O43" s="2"/>
      <c r="P43" s="2"/>
      <c r="Q43" s="2"/>
      <c r="R43" s="2"/>
      <c r="S43" s="2"/>
      <c r="T43" s="12"/>
      <c r="U43" s="12"/>
      <c r="V43" s="12"/>
      <c r="W43" s="12"/>
      <c r="X43" s="1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ht="15.75" customHeight="1" x14ac:dyDescent="0.25">
      <c r="A44" s="32">
        <v>1364</v>
      </c>
      <c r="B44" s="32" t="s">
        <v>43</v>
      </c>
      <c r="C44" s="32" t="s">
        <v>83</v>
      </c>
      <c r="D44" s="33">
        <v>19</v>
      </c>
      <c r="E44" s="33">
        <v>1351.2631578947369</v>
      </c>
      <c r="F44" s="13"/>
      <c r="G44" s="13"/>
      <c r="H44" s="13"/>
      <c r="I44" s="14"/>
      <c r="J44" s="2"/>
      <c r="K44" s="2"/>
      <c r="L44" s="2"/>
      <c r="M44" s="2"/>
      <c r="N44" s="2"/>
      <c r="O44" s="2"/>
      <c r="P44" s="2"/>
      <c r="Q44" s="2"/>
      <c r="R44" s="2"/>
      <c r="S44" s="2"/>
      <c r="T44" s="12"/>
      <c r="U44" s="12"/>
      <c r="V44" s="12"/>
      <c r="W44" s="12"/>
      <c r="X44" s="1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ht="15.75" customHeight="1" x14ac:dyDescent="0.25">
      <c r="A45" s="35">
        <v>1327</v>
      </c>
      <c r="B45" s="35" t="s">
        <v>46</v>
      </c>
      <c r="C45" s="35" t="s">
        <v>87</v>
      </c>
      <c r="D45" s="36">
        <v>5</v>
      </c>
      <c r="E45" s="36">
        <v>4279.8</v>
      </c>
      <c r="F45" s="13"/>
      <c r="G45" s="13"/>
      <c r="H45" s="13"/>
      <c r="I45" s="14"/>
      <c r="J45" s="2"/>
      <c r="K45" s="2"/>
      <c r="L45" s="2"/>
      <c r="M45" s="2"/>
      <c r="N45" s="2"/>
      <c r="O45" s="2"/>
      <c r="P45" s="2"/>
      <c r="Q45" s="2"/>
      <c r="R45" s="2"/>
      <c r="S45" s="2"/>
      <c r="T45" s="12"/>
      <c r="U45" s="12"/>
      <c r="V45" s="12"/>
      <c r="W45" s="12"/>
      <c r="X45" s="1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ht="15.75" customHeight="1" x14ac:dyDescent="0.25">
      <c r="A46" s="32">
        <v>1042</v>
      </c>
      <c r="B46" s="32" t="s">
        <v>47</v>
      </c>
      <c r="C46" s="32" t="s">
        <v>90</v>
      </c>
      <c r="D46" s="33">
        <v>7</v>
      </c>
      <c r="E46" s="33">
        <v>3512.4285714285716</v>
      </c>
      <c r="F46" s="13"/>
      <c r="G46" s="13"/>
      <c r="H46" s="13"/>
      <c r="I46" s="14"/>
      <c r="J46" s="144" t="s">
        <v>114</v>
      </c>
      <c r="K46" s="145"/>
      <c r="L46" s="145"/>
      <c r="M46" s="145"/>
      <c r="N46" s="145"/>
      <c r="O46" s="146"/>
      <c r="P46" s="2"/>
      <c r="Q46" s="2"/>
      <c r="R46" s="2"/>
      <c r="S46" s="2"/>
      <c r="T46" s="12"/>
      <c r="U46" s="12"/>
      <c r="V46" s="12"/>
      <c r="W46" s="12"/>
      <c r="X46" s="1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 ht="15.75" customHeight="1" x14ac:dyDescent="0.25">
      <c r="A47" s="35">
        <v>1031</v>
      </c>
      <c r="B47" s="35" t="s">
        <v>50</v>
      </c>
      <c r="C47" s="35" t="s">
        <v>82</v>
      </c>
      <c r="D47" s="36">
        <v>5</v>
      </c>
      <c r="E47" s="36">
        <v>5234.2</v>
      </c>
      <c r="F47" s="13"/>
      <c r="G47" s="13"/>
      <c r="H47" s="13"/>
      <c r="I47" s="14"/>
      <c r="J47" s="150"/>
      <c r="K47" s="151"/>
      <c r="L47" s="151"/>
      <c r="M47" s="151"/>
      <c r="N47" s="151"/>
      <c r="O47" s="152"/>
      <c r="P47" s="2"/>
      <c r="Q47" s="2"/>
      <c r="R47" s="2"/>
      <c r="S47" s="2"/>
      <c r="T47" s="12"/>
      <c r="U47" s="12"/>
      <c r="V47" s="12"/>
      <c r="W47" s="12"/>
      <c r="X47" s="1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 ht="15.75" customHeight="1" x14ac:dyDescent="0.25">
      <c r="A48" s="32">
        <v>1328</v>
      </c>
      <c r="B48" s="32" t="s">
        <v>52</v>
      </c>
      <c r="C48" s="32" t="s">
        <v>87</v>
      </c>
      <c r="D48" s="33">
        <v>8</v>
      </c>
      <c r="E48" s="33">
        <v>19592.125</v>
      </c>
      <c r="F48" s="13"/>
      <c r="G48" s="13"/>
      <c r="H48" s="13"/>
      <c r="I48" s="14"/>
      <c r="J48" s="2"/>
      <c r="K48" s="2"/>
      <c r="L48" s="2"/>
      <c r="M48" s="2"/>
      <c r="N48" s="2"/>
      <c r="O48" s="2"/>
      <c r="P48" s="2"/>
      <c r="Q48" s="2"/>
      <c r="R48" s="2"/>
      <c r="S48" s="2"/>
      <c r="T48" s="12"/>
      <c r="U48" s="12"/>
      <c r="V48" s="12"/>
      <c r="W48" s="12"/>
      <c r="X48" s="1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 ht="15.75" customHeight="1" x14ac:dyDescent="0.25">
      <c r="A49" s="35">
        <v>1329</v>
      </c>
      <c r="B49" s="35" t="s">
        <v>115</v>
      </c>
      <c r="C49" s="35" t="s">
        <v>87</v>
      </c>
      <c r="D49" s="36">
        <v>5</v>
      </c>
      <c r="E49" s="36">
        <v>19532.2</v>
      </c>
      <c r="F49" s="13"/>
      <c r="G49" s="13"/>
      <c r="H49" s="13"/>
      <c r="I49" s="14"/>
      <c r="J49" s="2"/>
      <c r="K49" s="141" t="s">
        <v>116</v>
      </c>
      <c r="L49" s="142"/>
      <c r="M49" s="142"/>
      <c r="N49" s="142"/>
      <c r="O49" s="143"/>
      <c r="P49" s="2"/>
      <c r="Q49" s="2"/>
      <c r="R49" s="2"/>
      <c r="S49" s="2"/>
      <c r="T49" s="12"/>
      <c r="U49" s="12"/>
      <c r="V49" s="12"/>
      <c r="W49" s="12"/>
      <c r="X49" s="1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 ht="15.75" customHeight="1" x14ac:dyDescent="0.25">
      <c r="A50" s="32">
        <v>1367</v>
      </c>
      <c r="B50" s="32" t="s">
        <v>57</v>
      </c>
      <c r="C50" s="32" t="s">
        <v>87</v>
      </c>
      <c r="D50" s="33">
        <v>5</v>
      </c>
      <c r="E50" s="33">
        <v>8847.4</v>
      </c>
      <c r="F50" s="13"/>
      <c r="G50" s="13"/>
      <c r="H50" s="13"/>
      <c r="I50" s="14"/>
      <c r="J50" s="2"/>
      <c r="K50" s="2"/>
      <c r="L50" s="2"/>
      <c r="M50" s="2"/>
      <c r="N50" s="2"/>
      <c r="O50" s="2"/>
      <c r="P50" s="2"/>
      <c r="Q50" s="2"/>
      <c r="R50" s="2"/>
      <c r="S50" s="2"/>
      <c r="T50" s="12"/>
      <c r="U50" s="12"/>
      <c r="V50" s="12"/>
      <c r="W50" s="12"/>
      <c r="X50" s="1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 ht="15.75" customHeight="1" x14ac:dyDescent="0.25">
      <c r="A51" s="35">
        <v>1171</v>
      </c>
      <c r="B51" s="35" t="s">
        <v>63</v>
      </c>
      <c r="C51" s="35" t="s">
        <v>89</v>
      </c>
      <c r="D51" s="36">
        <v>5</v>
      </c>
      <c r="E51" s="36">
        <v>5290.4</v>
      </c>
      <c r="F51" s="13"/>
      <c r="G51" s="13"/>
      <c r="H51" s="13"/>
      <c r="I51" s="14"/>
      <c r="J51" s="2"/>
      <c r="K51" s="141" t="s">
        <v>117</v>
      </c>
      <c r="L51" s="142"/>
      <c r="M51" s="142"/>
      <c r="N51" s="142"/>
      <c r="O51" s="143"/>
      <c r="P51" s="2"/>
      <c r="Q51" s="2"/>
      <c r="R51" s="2"/>
      <c r="S51" s="2"/>
      <c r="T51" s="12"/>
      <c r="U51" s="12"/>
      <c r="V51" s="12"/>
      <c r="W51" s="12"/>
      <c r="X51" s="1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 ht="15.75" customHeight="1" x14ac:dyDescent="0.25">
      <c r="A52" s="32">
        <v>1151</v>
      </c>
      <c r="B52" s="32" t="s">
        <v>64</v>
      </c>
      <c r="C52" s="32" t="s">
        <v>87</v>
      </c>
      <c r="D52" s="33">
        <v>5</v>
      </c>
      <c r="E52" s="33">
        <v>7018.8</v>
      </c>
      <c r="F52" s="13"/>
      <c r="G52" s="13"/>
      <c r="H52" s="13"/>
      <c r="I52" s="14"/>
      <c r="J52" s="2"/>
      <c r="K52" s="2"/>
      <c r="L52" s="2"/>
      <c r="M52" s="2"/>
      <c r="N52" s="2"/>
      <c r="O52" s="2"/>
      <c r="P52" s="2"/>
      <c r="Q52" s="2"/>
      <c r="R52" s="2"/>
      <c r="S52" s="2"/>
      <c r="T52" s="12"/>
      <c r="U52" s="12"/>
      <c r="V52" s="12"/>
      <c r="W52" s="12"/>
      <c r="X52" s="1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 ht="15.75" customHeight="1" x14ac:dyDescent="0.25">
      <c r="A55" s="2"/>
      <c r="B55" s="8"/>
      <c r="C55" s="8"/>
      <c r="D55" s="8"/>
      <c r="E55" s="8"/>
      <c r="F55" s="2"/>
      <c r="G55" s="9"/>
      <c r="H55" s="9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 ht="15.75" customHeight="1" x14ac:dyDescent="0.25">
      <c r="A56" s="2"/>
      <c r="B56" s="2"/>
      <c r="C56" s="2"/>
      <c r="D56" s="12"/>
      <c r="E56" s="12"/>
      <c r="F56" s="14"/>
      <c r="G56" s="21"/>
      <c r="H56" s="21"/>
      <c r="I56" s="2"/>
      <c r="J56" s="17" t="s">
        <v>118</v>
      </c>
      <c r="K56" s="22"/>
      <c r="L56" s="22"/>
      <c r="M56" s="22"/>
      <c r="N56" s="22"/>
      <c r="O56" s="23"/>
      <c r="P56" s="2"/>
      <c r="Q56" s="2"/>
      <c r="R56" s="10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 ht="15.75" customHeight="1" x14ac:dyDescent="0.25">
      <c r="A57" s="2"/>
      <c r="B57" s="2"/>
      <c r="C57" s="2"/>
      <c r="D57" s="12"/>
      <c r="E57" s="12"/>
      <c r="F57" s="14"/>
      <c r="G57" s="21"/>
      <c r="H57" s="21"/>
      <c r="I57" s="2"/>
      <c r="J57" s="24"/>
      <c r="K57" s="25"/>
      <c r="L57" s="25"/>
      <c r="M57" s="25"/>
      <c r="N57" s="25"/>
      <c r="O57" s="26"/>
      <c r="P57" s="2"/>
      <c r="Q57" s="2"/>
      <c r="R57" s="10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 ht="15.75" customHeight="1" x14ac:dyDescent="0.25">
      <c r="A58" s="2"/>
      <c r="B58" s="2"/>
      <c r="C58" s="2"/>
      <c r="D58" s="12"/>
      <c r="E58" s="12"/>
      <c r="F58" s="14"/>
      <c r="G58" s="21"/>
      <c r="H58" s="21"/>
      <c r="I58" s="2"/>
      <c r="J58" s="2"/>
      <c r="K58" s="2"/>
      <c r="L58" s="2"/>
      <c r="M58" s="14"/>
      <c r="N58" s="2"/>
      <c r="O58" s="1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 ht="15.75" customHeight="1" x14ac:dyDescent="0.25">
      <c r="A59" s="2"/>
      <c r="B59" s="2"/>
      <c r="C59" s="2"/>
      <c r="D59" s="12"/>
      <c r="E59" s="12"/>
      <c r="F59" s="14"/>
      <c r="G59" s="21"/>
      <c r="H59" s="21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 ht="15.75" customHeight="1" x14ac:dyDescent="0.25">
      <c r="A60" s="2"/>
      <c r="B60" s="2"/>
      <c r="C60" s="2"/>
      <c r="D60" s="12"/>
      <c r="E60" s="12"/>
      <c r="F60" s="14"/>
      <c r="G60" s="21"/>
      <c r="H60" s="21"/>
      <c r="I60" s="2"/>
      <c r="J60" s="17" t="s">
        <v>119</v>
      </c>
      <c r="K60" s="22"/>
      <c r="L60" s="22"/>
      <c r="M60" s="22"/>
      <c r="N60" s="22"/>
      <c r="O60" s="2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 ht="15.75" customHeight="1" x14ac:dyDescent="0.25">
      <c r="A61" s="2"/>
      <c r="B61" s="2"/>
      <c r="C61" s="2"/>
      <c r="D61" s="12"/>
      <c r="E61" s="12"/>
      <c r="F61" s="14"/>
      <c r="G61" s="21"/>
      <c r="H61" s="21"/>
      <c r="I61" s="2"/>
      <c r="J61" s="24"/>
      <c r="K61" s="25"/>
      <c r="L61" s="25"/>
      <c r="M61" s="25"/>
      <c r="N61" s="25"/>
      <c r="O61" s="26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 ht="15.75" customHeight="1" x14ac:dyDescent="0.25">
      <c r="A62" s="2"/>
      <c r="B62" s="2"/>
      <c r="C62" s="2"/>
      <c r="D62" s="12"/>
      <c r="E62" s="12"/>
      <c r="F62" s="14"/>
      <c r="G62" s="21"/>
      <c r="H62" s="21"/>
      <c r="I62" s="2"/>
      <c r="J62" s="2"/>
      <c r="K62" s="2"/>
      <c r="L62" s="2"/>
      <c r="M62" s="14"/>
      <c r="N62" s="2"/>
      <c r="O62" s="1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 ht="15.75" customHeight="1" x14ac:dyDescent="0.25">
      <c r="A63" s="2"/>
      <c r="B63" s="2"/>
      <c r="C63" s="2"/>
      <c r="D63" s="12"/>
      <c r="E63" s="12"/>
      <c r="F63" s="14"/>
      <c r="G63" s="21"/>
      <c r="H63" s="2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 ht="15.75" customHeight="1" x14ac:dyDescent="0.25">
      <c r="A64" s="2"/>
      <c r="B64" s="2"/>
      <c r="C64" s="2"/>
      <c r="D64" s="12"/>
      <c r="E64" s="12"/>
      <c r="F64" s="14"/>
      <c r="G64" s="21"/>
      <c r="H64" s="21"/>
      <c r="I64" s="2"/>
      <c r="J64" s="17" t="s">
        <v>120</v>
      </c>
      <c r="K64" s="22"/>
      <c r="L64" s="22"/>
      <c r="M64" s="22"/>
      <c r="N64" s="22"/>
      <c r="O64" s="23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 ht="15.75" customHeight="1" x14ac:dyDescent="0.25">
      <c r="A65" s="2"/>
      <c r="B65" s="2"/>
      <c r="C65" s="2"/>
      <c r="D65" s="12"/>
      <c r="E65" s="12"/>
      <c r="F65" s="14"/>
      <c r="G65" s="21"/>
      <c r="H65" s="21"/>
      <c r="I65" s="2"/>
      <c r="J65" s="24"/>
      <c r="K65" s="25"/>
      <c r="L65" s="25"/>
      <c r="M65" s="25"/>
      <c r="N65" s="25"/>
      <c r="O65" s="26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 ht="15.75" customHeight="1" x14ac:dyDescent="0.25">
      <c r="A66" s="2"/>
      <c r="B66" s="2"/>
      <c r="C66" s="2"/>
      <c r="D66" s="12"/>
      <c r="E66" s="12"/>
      <c r="F66" s="14"/>
      <c r="G66" s="21"/>
      <c r="H66" s="21"/>
      <c r="I66" s="2"/>
      <c r="J66" s="2"/>
      <c r="K66" s="2"/>
      <c r="L66" s="2"/>
      <c r="M66" s="14"/>
      <c r="N66" s="2"/>
      <c r="O66" s="1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 ht="15.75" customHeight="1" x14ac:dyDescent="0.25">
      <c r="A67" s="2"/>
      <c r="B67" s="2"/>
      <c r="C67" s="2"/>
      <c r="D67" s="12"/>
      <c r="E67" s="12"/>
      <c r="F67" s="14"/>
      <c r="G67" s="21"/>
      <c r="H67" s="21"/>
      <c r="I67" s="2"/>
      <c r="J67" s="2"/>
      <c r="K67" s="2"/>
      <c r="L67" s="2"/>
      <c r="M67" s="14"/>
      <c r="N67" s="2"/>
      <c r="O67" s="1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 ht="15.75" customHeight="1" x14ac:dyDescent="0.25">
      <c r="A68" s="2"/>
      <c r="B68" s="2"/>
      <c r="C68" s="2"/>
      <c r="D68" s="12"/>
      <c r="E68" s="12"/>
      <c r="F68" s="14"/>
      <c r="G68" s="21"/>
      <c r="H68" s="21"/>
      <c r="I68" s="2"/>
      <c r="J68" s="17" t="s">
        <v>121</v>
      </c>
      <c r="K68" s="22"/>
      <c r="L68" s="22"/>
      <c r="M68" s="22"/>
      <c r="N68" s="22"/>
      <c r="O68" s="23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 ht="15.75" customHeight="1" x14ac:dyDescent="0.25">
      <c r="A69" s="2"/>
      <c r="B69" s="2"/>
      <c r="C69" s="2"/>
      <c r="D69" s="12"/>
      <c r="E69" s="12"/>
      <c r="F69" s="14"/>
      <c r="G69" s="21"/>
      <c r="H69" s="21"/>
      <c r="I69" s="2"/>
      <c r="J69" s="24"/>
      <c r="K69" s="25"/>
      <c r="L69" s="25"/>
      <c r="M69" s="25"/>
      <c r="N69" s="25"/>
      <c r="O69" s="26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:39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1:39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:39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1:39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1:39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:39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1:39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39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1:39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1:39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1:39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1:39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1:39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1:39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1:39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1:39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1:39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1:39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1:39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1:39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1:39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1:39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1:39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1:39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1:39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1:39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:39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1:39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1:39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1:39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1:39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1:39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1:39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1:39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1:39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1:39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1:39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1:39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:39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1:39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:39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1:39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:39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1:39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1:39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1:39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1:39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:39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1:39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1:39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1:39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1:39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1:39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1:39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1:39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1:39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1:39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1:39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1:39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1:39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1:39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1:39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1:39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1:39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1:39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1:39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1:39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1:39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1:39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1:39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:39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1:39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1:39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1:39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1:39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1:39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1:39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1:39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1:39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1:39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1:39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1:39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1:39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1:39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1:39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:39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1:39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1:39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1:39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1:39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1:39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1:39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1:39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1:39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1:39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1:39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1:39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1:39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1:39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1:39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1:39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1:39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1:39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1:39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1:39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1:39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1:39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1:39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1:39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1:39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1:39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1:39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1:39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1:39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1:39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1:39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1:39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1:39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1:39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1:39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1:39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1:39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1:39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1:39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1:39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1:39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1:39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1:39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1:39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1:39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1:39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1:39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1:39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1:39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1:39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1:39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1:39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1:39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1:39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1:39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1:39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1:39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1:39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1:39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1:39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1:39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1:39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1:39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1:39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1:39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1:39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1:39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1:39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1:39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1:39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1:39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1:39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1:39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1:39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1:39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1:39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1:39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1:39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1:39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1:39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1:39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1:39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1:39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1:39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1:39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1:39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1:39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1:39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1:39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1:39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1:39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1:39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1:39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1:39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1:39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1:39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1:39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 spans="1:39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 spans="1:39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 spans="1:39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 spans="1:39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 spans="1:39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 spans="1:39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 spans="1:39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 spans="1:39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 spans="1:39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 spans="1:39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 spans="1:39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 spans="1:39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 spans="1:39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 spans="1:39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 spans="1:39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 spans="1:39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 spans="1:39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 spans="1:39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 spans="1:39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 spans="1:39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 spans="1:39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 spans="1:39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 spans="1:39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 spans="1:39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 spans="1:39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 spans="1:39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 spans="1:39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spans="1:39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spans="1:39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spans="1:39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spans="1:39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spans="1:39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spans="1:39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spans="1:39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spans="1:39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spans="1:39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spans="1:39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spans="1:39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spans="1:39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spans="1:39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spans="1:39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spans="1:39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spans="1:39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spans="1:39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spans="1:39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spans="1:39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spans="1:39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spans="1:39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spans="1:39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spans="1:39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spans="1:39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spans="1:39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spans="1:39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spans="1:39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spans="1:39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spans="1:39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spans="1:39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spans="1:39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spans="1:39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spans="1:39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spans="1:39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spans="1:39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spans="1:39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spans="1:39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spans="1:39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spans="1:39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spans="1:39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spans="1:39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spans="1:39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spans="1:39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spans="1:39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spans="1:39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spans="1:39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spans="1:39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spans="1:39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spans="1:39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spans="1:39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spans="1:39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spans="1:39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spans="1:39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spans="1:39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spans="1:39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spans="1:39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spans="1:39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spans="1:39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spans="1:39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spans="1:39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spans="1:39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spans="1:39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spans="1:39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spans="1:39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spans="1:39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spans="1:39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spans="1:39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spans="1:39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spans="1:39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spans="1:39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spans="1:39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spans="1:39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spans="1:39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spans="1:39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spans="1:39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spans="1:39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spans="1:39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spans="1:39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spans="1:39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spans="1:39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spans="1:39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spans="1:39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spans="1:39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spans="1:39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spans="1:39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spans="1:39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spans="1:39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spans="1:39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spans="1:39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spans="1:39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spans="1:39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spans="1:39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spans="1:39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spans="1:39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spans="1:39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spans="1:39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spans="1:39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spans="1:39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spans="1:39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spans="1:39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spans="1:39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spans="1:39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spans="1:39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spans="1:39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spans="1:39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spans="1:39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spans="1:39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spans="1:39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spans="1:39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spans="1:39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spans="1:39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spans="1:39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spans="1:39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spans="1:39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spans="1:39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spans="1:39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spans="1:39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spans="1:39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spans="1:39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spans="1:39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spans="1:39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spans="1:39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spans="1:39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spans="1:39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spans="1:39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spans="1:39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spans="1:39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spans="1:39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spans="1:39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spans="1:39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spans="1:39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spans="1:39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spans="1:39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spans="1:39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spans="1:39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spans="1:39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spans="1:39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spans="1:39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spans="1:39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spans="1:39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spans="1:39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spans="1:39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spans="1:39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spans="1:39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spans="1:39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spans="1:39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spans="1:39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spans="1:39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spans="1:39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spans="1:39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spans="1:39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spans="1:39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spans="1:39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 spans="1:39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 spans="1:39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 spans="1:39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 spans="1:39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 spans="1:39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 spans="1:39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 spans="1:39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 spans="1:39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 spans="1:39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 spans="1:39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 spans="1:39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 spans="1:39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 spans="1:39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 spans="1:39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 spans="1:39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 spans="1:39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 spans="1:39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 spans="1:39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 spans="1:39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 spans="1:39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 spans="1:39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 spans="1:39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 spans="1:39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 spans="1:39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 spans="1:39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 spans="1:39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 spans="1:39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 spans="1:39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 spans="1:39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 spans="1:39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 spans="1:39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 spans="1:39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 spans="1:39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 spans="1:39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 spans="1:39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 spans="1:39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 spans="1:39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 spans="1:39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 spans="1:39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 spans="1:39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 spans="1:39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 spans="1:39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 spans="1:39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 spans="1:39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spans="1:39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spans="1:39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spans="1:39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spans="1:39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spans="1:39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spans="1:39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spans="1:39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spans="1:39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spans="1:39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spans="1:39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spans="1:39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spans="1:39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spans="1:39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spans="1:39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spans="1:39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spans="1:39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spans="1:39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spans="1:39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spans="1:39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spans="1:39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spans="1:39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spans="1:39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spans="1:39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spans="1:39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spans="1:39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spans="1:39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spans="1:39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spans="1:39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spans="1:39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spans="1:39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spans="1:39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spans="1:39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spans="1:39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spans="1:39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spans="1:39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spans="1:39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spans="1:39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spans="1:39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spans="1:39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spans="1:39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spans="1:39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spans="1:39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spans="1:39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spans="1:39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spans="1:39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spans="1:39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spans="1:39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spans="1:39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spans="1:39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spans="1:39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spans="1:39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spans="1:39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spans="1:39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spans="1:39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spans="1:39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spans="1:39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spans="1:39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spans="1:39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spans="1:39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spans="1:39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spans="1:39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spans="1:39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spans="1:39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spans="1:39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spans="1:39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spans="1:39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spans="1:39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spans="1:39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spans="1:39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 spans="1:39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 spans="1:39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 spans="1:39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 spans="1:39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 spans="1:39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 spans="1:39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 spans="1:39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 spans="1:39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 spans="1:39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 spans="1:39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 spans="1:39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 spans="1:39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 spans="1:39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 spans="1:39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 spans="1:39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 spans="1:39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 spans="1:39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 spans="1:39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 spans="1:39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 spans="1:39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 spans="1:39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 spans="1:39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 spans="1:39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 spans="1:39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 spans="1:39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 spans="1:39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 spans="1:39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 spans="1:39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 spans="1:39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 spans="1:39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 spans="1:39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 spans="1:39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 spans="1:39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 spans="1:39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 spans="1:39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 spans="1:39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 spans="1:39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 spans="1:39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 spans="1:39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 spans="1:39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 spans="1:39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 spans="1:39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 spans="1:39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 spans="1:39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 spans="1:39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 spans="1:39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 spans="1:39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 spans="1:39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 spans="1:39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 spans="1:39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 spans="1:39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 spans="1:39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 spans="1:39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 spans="1:39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 spans="1:39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 spans="1:39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 spans="1:39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 spans="1:39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 spans="1:39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 spans="1:39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 spans="1:39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 spans="1:39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 spans="1:39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 spans="1:39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 spans="1:39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 spans="1:39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 spans="1:39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 spans="1:39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 spans="1:39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 spans="1:39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 spans="1:39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 spans="1:39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 spans="1:39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 spans="1:39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 spans="1:39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 spans="1:39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 spans="1:39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 spans="1:39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 spans="1:39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 spans="1:39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 spans="1:39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 spans="1:39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 spans="1:39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 spans="1:39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 spans="1:39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 spans="1:39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 spans="1:39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 spans="1:39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 spans="1:39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 spans="1:39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 spans="1:39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 spans="1:39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 spans="1:39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 spans="1:39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 spans="1:39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 spans="1:39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 spans="1:39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 spans="1:39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 spans="1:39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 spans="1:39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 spans="1:39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 spans="1:39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 spans="1:39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 spans="1:39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 spans="1:39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 spans="1:39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 spans="1:39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 spans="1:39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 spans="1:39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 spans="1:39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 spans="1:39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 spans="1:39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 spans="1:39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 spans="1:39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 spans="1:39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 spans="1:39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 spans="1:39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 spans="1:39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 spans="1:39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 spans="1:39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 spans="1:39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 spans="1:39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 spans="1:39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 spans="1:39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 spans="1:39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 spans="1:39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 spans="1:39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 spans="1:39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 spans="1:39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 spans="1:39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 spans="1:39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 spans="1:39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 spans="1:39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 spans="1:39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 spans="1:39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 spans="1:39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 spans="1:39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 spans="1:39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 spans="1:39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 spans="1:39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 spans="1:39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 spans="1:39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 spans="1:39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 spans="1:39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 spans="1:39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 spans="1:39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 spans="1:39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 spans="1:39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 spans="1:39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 spans="1:39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 spans="1:39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 spans="1:39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 spans="1:39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 spans="1:39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 spans="1:39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 spans="1:39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 spans="1:39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 spans="1:39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 spans="1:39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 spans="1:39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 spans="1:39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 spans="1:39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 spans="1:39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 spans="1:39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 spans="1:39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 spans="1:39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 spans="1:39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 spans="1:39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 spans="1:39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 spans="1:39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 spans="1:39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 spans="1:39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 spans="1:39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 spans="1:39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 spans="1:39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 spans="1:39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 spans="1:39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 spans="1:39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 spans="1:39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 spans="1:39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 spans="1:39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 spans="1:39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 spans="1:39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 spans="1:39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 spans="1:39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 spans="1:39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 spans="1:39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 spans="1:39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 spans="1:39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 spans="1:39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 spans="1:39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 spans="1:39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 spans="1:39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 spans="1:39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 spans="1:39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 spans="1:39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 spans="1:39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 spans="1:39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 spans="1:39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 spans="1:39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 spans="1:39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 spans="1:39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 spans="1:39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 spans="1:39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 spans="1:39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 spans="1:39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 spans="1:39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 spans="1:39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 spans="1:39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 spans="1:39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 spans="1:39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 spans="1:39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 spans="1:39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 spans="1:39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 spans="1:39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 spans="1:39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 spans="1:39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 spans="1:39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 spans="1:39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 spans="1:39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 spans="1:39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 spans="1:39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 spans="1:39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 spans="1:39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 spans="1:39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 spans="1:39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 spans="1:39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 spans="1:39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 spans="1:39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 spans="1:39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 spans="1:39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 spans="1:39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 spans="1:39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 spans="1:39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 spans="1:39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 spans="1:39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 spans="1:39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 spans="1:39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 spans="1:39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 spans="1:39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 spans="1:39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 spans="1:39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 spans="1:39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 spans="1:39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 spans="1:39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 spans="1:39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 spans="1:39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 spans="1:39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 spans="1:39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 spans="1:39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 spans="1:39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 spans="1:39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 spans="1:39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 spans="1:39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 spans="1:39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 spans="1:39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 spans="1:39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 spans="1:39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 spans="1:39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 spans="1:39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 spans="1:39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 spans="1:39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 spans="1:39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 spans="1:39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 spans="1:39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 spans="1:39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 spans="1:39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 spans="1:39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 spans="1:39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 spans="1:39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 spans="1:39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 spans="1:39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 spans="1:39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 spans="1:39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 spans="1:39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 spans="1:39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 spans="1:39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 spans="1:39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 spans="1:39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 spans="1:39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 spans="1:39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 spans="1:39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 spans="1:39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 spans="1:39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 spans="1:39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 spans="1:39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 spans="1:39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 spans="1:39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 spans="1:39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 spans="1:39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 spans="1:39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 spans="1:39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 spans="1:39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 spans="1:39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 spans="1:39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 spans="1:39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 spans="1:39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 spans="1:39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 spans="1:39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 spans="1:39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 spans="1:39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 spans="1:39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 spans="1:39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 spans="1:39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 spans="1:39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 spans="1:39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 spans="1:39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 spans="1:39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 spans="1:39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 spans="1:39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 spans="1:39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 spans="1:39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 spans="1:39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 spans="1:39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 spans="1:39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 spans="1:39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 spans="1:39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 spans="1:39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 spans="1:39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 spans="1:39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 spans="1:39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 spans="1:39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 spans="1:39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 spans="1:39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 spans="1:39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 spans="1:39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 spans="1:39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 spans="1:39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 spans="1:39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 spans="1:39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 spans="1:39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 spans="1:39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 spans="1:39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 spans="1:39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 spans="1:39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 spans="1:39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 spans="1:39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 spans="1:39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 spans="1:39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 spans="1:39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 spans="1:39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 spans="1:39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 spans="1:39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 spans="1:39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 spans="1:39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 spans="1:39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 spans="1:39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 spans="1:39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 spans="1:39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 spans="1:39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 spans="1:39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 spans="1:39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 spans="1:39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 spans="1:39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 spans="1:39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 spans="1:39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 spans="1:39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 spans="1:39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 spans="1:39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 spans="1:39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 spans="1:39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 spans="1:39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 spans="1:39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 spans="1:39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 spans="1:39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 spans="1:39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 spans="1:39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 spans="1:39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 spans="1:39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 spans="1:39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 spans="1:39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 spans="1:39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 spans="1:39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 spans="1:39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 spans="1:39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 spans="1:39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 spans="1:39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 spans="1:39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 spans="1:39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 spans="1:39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 spans="1:39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 spans="1:39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 spans="1:39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 spans="1:39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 spans="1:39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 spans="1:39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 spans="1:39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 spans="1:39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 spans="1:39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 spans="1:39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 spans="1:39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 spans="1:39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 spans="1:39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 spans="1:39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 spans="1:39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 spans="1:39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 spans="1:39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 spans="1:39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 spans="1:39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 spans="1:39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 spans="1:39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 spans="1:39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 spans="1:39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 spans="1:39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 spans="1:39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 spans="1:39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 spans="1:39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 spans="1:39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 spans="1:39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 spans="1:39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 spans="1:39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 spans="1:39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 spans="1:39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 spans="1:39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 spans="1:39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 spans="1:39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 spans="1:39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 spans="1:39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 spans="1:39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 spans="1:39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 spans="1:39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 spans="1:39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 spans="1:39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 spans="1:39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 spans="1:39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 spans="1:39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 spans="1:39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 spans="1:39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 spans="1:39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 spans="1:39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 spans="1:39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 spans="1:39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 spans="1:39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 spans="1:39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 spans="1:39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 spans="1:39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 spans="1:39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 spans="1:39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 spans="1:39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 spans="1:39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 spans="1:39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 spans="1:39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 spans="1:39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  <row r="999" spans="1:39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</row>
    <row r="1000" spans="1:39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</row>
  </sheetData>
  <mergeCells count="14">
    <mergeCell ref="K51:O51"/>
    <mergeCell ref="J6:O13"/>
    <mergeCell ref="J16:O20"/>
    <mergeCell ref="J26:O27"/>
    <mergeCell ref="K33:O33"/>
    <mergeCell ref="K35:O35"/>
    <mergeCell ref="K37:O37"/>
    <mergeCell ref="J39:O41"/>
    <mergeCell ref="J46:O47"/>
    <mergeCell ref="Q26:Q27"/>
    <mergeCell ref="S26:S27"/>
    <mergeCell ref="K29:O29"/>
    <mergeCell ref="K31:O31"/>
    <mergeCell ref="K49:O49"/>
  </mergeCells>
  <conditionalFormatting sqref="A53:E53">
    <cfRule type="expression" dxfId="0" priority="1">
      <formula>COUNTIF($B$2:$H$53,#REF!)&gt;1</formula>
    </cfRule>
  </conditionalFormatting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1000"/>
  <sheetViews>
    <sheetView workbookViewId="0">
      <selection activeCell="D13" sqref="D13"/>
    </sheetView>
  </sheetViews>
  <sheetFormatPr defaultColWidth="14.42578125" defaultRowHeight="15" customHeight="1" x14ac:dyDescent="0.25"/>
  <cols>
    <col min="1" max="2" width="21.7109375" customWidth="1"/>
    <col min="3" max="3" width="32.5703125" customWidth="1"/>
    <col min="4" max="4" width="30.5703125" customWidth="1"/>
    <col min="5" max="6" width="21.7109375" customWidth="1"/>
    <col min="7" max="7" width="9.140625" customWidth="1"/>
    <col min="8" max="27" width="8.7109375" customWidth="1"/>
  </cols>
  <sheetData>
    <row r="1" spans="1:27" x14ac:dyDescent="0.25">
      <c r="A1" s="64" t="s">
        <v>66</v>
      </c>
      <c r="B1" s="65" t="s">
        <v>67</v>
      </c>
      <c r="C1" s="64" t="s">
        <v>0</v>
      </c>
      <c r="D1" s="64" t="s">
        <v>122</v>
      </c>
      <c r="E1" s="64" t="s">
        <v>123</v>
      </c>
      <c r="F1" s="66" t="s">
        <v>71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5">
      <c r="A2" s="67" t="s">
        <v>81</v>
      </c>
      <c r="B2" s="68" t="s">
        <v>167</v>
      </c>
      <c r="C2" s="67" t="s">
        <v>13</v>
      </c>
      <c r="D2" s="67" t="s">
        <v>124</v>
      </c>
      <c r="E2" s="67" t="s">
        <v>125</v>
      </c>
      <c r="F2" s="69" t="s">
        <v>126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63" t="s">
        <v>81</v>
      </c>
      <c r="B3" s="70" t="s">
        <v>167</v>
      </c>
      <c r="C3" s="63" t="s">
        <v>14</v>
      </c>
      <c r="D3" s="63" t="s">
        <v>127</v>
      </c>
      <c r="E3" s="63" t="s">
        <v>128</v>
      </c>
      <c r="F3" s="62" t="s">
        <v>129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67" t="s">
        <v>82</v>
      </c>
      <c r="B4" s="68" t="s">
        <v>168</v>
      </c>
      <c r="C4" s="67" t="s">
        <v>16</v>
      </c>
      <c r="D4" s="67" t="s">
        <v>130</v>
      </c>
      <c r="E4" s="67" t="s">
        <v>77</v>
      </c>
      <c r="F4" s="69">
        <v>2014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63" t="s">
        <v>83</v>
      </c>
      <c r="B5" s="70" t="s">
        <v>169</v>
      </c>
      <c r="C5" s="63" t="s">
        <v>17</v>
      </c>
      <c r="D5" s="63" t="s">
        <v>131</v>
      </c>
      <c r="E5" s="63" t="s">
        <v>77</v>
      </c>
      <c r="F5" s="62">
        <v>2019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 s="67" t="s">
        <v>84</v>
      </c>
      <c r="B6" s="68" t="s">
        <v>170</v>
      </c>
      <c r="C6" s="67" t="s">
        <v>18</v>
      </c>
      <c r="D6" s="67" t="s">
        <v>132</v>
      </c>
      <c r="E6" s="67" t="s">
        <v>77</v>
      </c>
      <c r="F6" s="69">
        <v>2016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5">
      <c r="A7" s="63" t="s">
        <v>84</v>
      </c>
      <c r="B7" s="70" t="s">
        <v>170</v>
      </c>
      <c r="C7" s="63" t="s">
        <v>19</v>
      </c>
      <c r="D7" s="63" t="s">
        <v>133</v>
      </c>
      <c r="E7" s="63" t="s">
        <v>77</v>
      </c>
      <c r="F7" s="62">
        <v>2012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5">
      <c r="A8" s="67" t="s">
        <v>85</v>
      </c>
      <c r="B8" s="68" t="s">
        <v>172</v>
      </c>
      <c r="C8" s="67" t="s">
        <v>21</v>
      </c>
      <c r="D8" s="67" t="s">
        <v>133</v>
      </c>
      <c r="E8" s="67" t="s">
        <v>77</v>
      </c>
      <c r="F8" s="69">
        <v>2019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5">
      <c r="A9" s="63" t="s">
        <v>86</v>
      </c>
      <c r="B9" s="70" t="s">
        <v>173</v>
      </c>
      <c r="C9" s="63" t="s">
        <v>23</v>
      </c>
      <c r="D9" s="63" t="s">
        <v>134</v>
      </c>
      <c r="E9" s="63" t="s">
        <v>135</v>
      </c>
      <c r="F9" s="62" t="s">
        <v>136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25">
      <c r="A10" s="67" t="s">
        <v>87</v>
      </c>
      <c r="B10" s="68" t="s">
        <v>171</v>
      </c>
      <c r="C10" s="67" t="s">
        <v>25</v>
      </c>
      <c r="D10" s="67" t="s">
        <v>133</v>
      </c>
      <c r="E10" s="67" t="s">
        <v>137</v>
      </c>
      <c r="F10" s="69">
        <v>2016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5">
      <c r="A11" s="63" t="s">
        <v>88</v>
      </c>
      <c r="B11" s="70" t="s">
        <v>174</v>
      </c>
      <c r="C11" s="63" t="s">
        <v>26</v>
      </c>
      <c r="D11" s="63" t="s">
        <v>138</v>
      </c>
      <c r="E11" s="63" t="s">
        <v>139</v>
      </c>
      <c r="F11" s="62" t="s">
        <v>140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5">
      <c r="A12" s="67" t="s">
        <v>89</v>
      </c>
      <c r="B12" s="68" t="s">
        <v>175</v>
      </c>
      <c r="C12" s="67" t="s">
        <v>27</v>
      </c>
      <c r="D12" s="67" t="s">
        <v>133</v>
      </c>
      <c r="E12" s="67" t="s">
        <v>77</v>
      </c>
      <c r="F12" s="69">
        <v>2020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63" t="s">
        <v>81</v>
      </c>
      <c r="B13" s="70" t="s">
        <v>167</v>
      </c>
      <c r="C13" s="63" t="s">
        <v>28</v>
      </c>
      <c r="D13" s="63" t="s">
        <v>133</v>
      </c>
      <c r="E13" s="63" t="s">
        <v>77</v>
      </c>
      <c r="F13" s="62">
        <v>2010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A14" s="67" t="s">
        <v>90</v>
      </c>
      <c r="B14" s="68" t="s">
        <v>176</v>
      </c>
      <c r="C14" s="67" t="s">
        <v>29</v>
      </c>
      <c r="D14" s="67" t="s">
        <v>141</v>
      </c>
      <c r="E14" s="67" t="s">
        <v>137</v>
      </c>
      <c r="F14" s="69">
        <v>2019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5">
      <c r="A15" s="63" t="s">
        <v>83</v>
      </c>
      <c r="B15" s="70" t="s">
        <v>169</v>
      </c>
      <c r="C15" s="63" t="s">
        <v>30</v>
      </c>
      <c r="D15" s="63" t="s">
        <v>131</v>
      </c>
      <c r="E15" s="63" t="s">
        <v>77</v>
      </c>
      <c r="F15" s="62">
        <v>2019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5">
      <c r="A16" s="67" t="s">
        <v>91</v>
      </c>
      <c r="B16" s="68" t="s">
        <v>177</v>
      </c>
      <c r="C16" s="67" t="s">
        <v>31</v>
      </c>
      <c r="D16" s="67" t="s">
        <v>131</v>
      </c>
      <c r="E16" s="67" t="s">
        <v>137</v>
      </c>
      <c r="F16" s="69">
        <v>2020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5">
      <c r="A17" s="63" t="s">
        <v>82</v>
      </c>
      <c r="B17" s="70" t="s">
        <v>168</v>
      </c>
      <c r="C17" s="63" t="s">
        <v>32</v>
      </c>
      <c r="D17" s="63" t="s">
        <v>130</v>
      </c>
      <c r="E17" s="63" t="s">
        <v>137</v>
      </c>
      <c r="F17" s="62">
        <v>2012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5">
      <c r="A18" s="67" t="s">
        <v>82</v>
      </c>
      <c r="B18" s="68" t="s">
        <v>168</v>
      </c>
      <c r="C18" s="67" t="s">
        <v>33</v>
      </c>
      <c r="D18" s="67" t="s">
        <v>142</v>
      </c>
      <c r="E18" s="67" t="s">
        <v>128</v>
      </c>
      <c r="F18" s="69" t="s">
        <v>129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5">
      <c r="A19" s="63" t="s">
        <v>85</v>
      </c>
      <c r="B19" s="70" t="s">
        <v>172</v>
      </c>
      <c r="C19" s="63" t="s">
        <v>34</v>
      </c>
      <c r="D19" s="63" t="s">
        <v>124</v>
      </c>
      <c r="E19" s="63" t="s">
        <v>143</v>
      </c>
      <c r="F19" s="62" t="s">
        <v>144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5">
      <c r="A20" s="67" t="s">
        <v>90</v>
      </c>
      <c r="B20" s="68" t="s">
        <v>176</v>
      </c>
      <c r="C20" s="67" t="s">
        <v>35</v>
      </c>
      <c r="D20" s="67" t="s">
        <v>131</v>
      </c>
      <c r="E20" s="67" t="s">
        <v>137</v>
      </c>
      <c r="F20" s="69">
        <v>2013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5">
      <c r="A21" s="63" t="s">
        <v>87</v>
      </c>
      <c r="B21" s="70" t="s">
        <v>171</v>
      </c>
      <c r="C21" s="63" t="s">
        <v>36</v>
      </c>
      <c r="D21" s="63" t="s">
        <v>145</v>
      </c>
      <c r="E21" s="63" t="s">
        <v>146</v>
      </c>
      <c r="F21" s="62" t="s">
        <v>147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67" t="s">
        <v>87</v>
      </c>
      <c r="B22" s="68" t="s">
        <v>171</v>
      </c>
      <c r="C22" s="67" t="s">
        <v>37</v>
      </c>
      <c r="D22" s="67" t="s">
        <v>148</v>
      </c>
      <c r="E22" s="67" t="s">
        <v>143</v>
      </c>
      <c r="F22" s="69" t="s">
        <v>149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5">
      <c r="A23" s="63" t="s">
        <v>82</v>
      </c>
      <c r="B23" s="70" t="s">
        <v>168</v>
      </c>
      <c r="C23" s="63" t="s">
        <v>38</v>
      </c>
      <c r="D23" s="63" t="s">
        <v>132</v>
      </c>
      <c r="E23" s="63" t="s">
        <v>77</v>
      </c>
      <c r="F23" s="62">
        <v>2013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5">
      <c r="A24" s="67" t="s">
        <v>92</v>
      </c>
      <c r="B24" s="68" t="s">
        <v>178</v>
      </c>
      <c r="C24" s="67" t="s">
        <v>39</v>
      </c>
      <c r="D24" s="67" t="s">
        <v>132</v>
      </c>
      <c r="E24" s="67" t="s">
        <v>137</v>
      </c>
      <c r="F24" s="69">
        <v>2011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5">
      <c r="A25" s="63" t="s">
        <v>86</v>
      </c>
      <c r="B25" s="70" t="s">
        <v>173</v>
      </c>
      <c r="C25" s="63" t="s">
        <v>40</v>
      </c>
      <c r="D25" s="63" t="s">
        <v>124</v>
      </c>
      <c r="E25" s="63" t="s">
        <v>150</v>
      </c>
      <c r="F25" s="62" t="s">
        <v>151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5">
      <c r="A26" s="67" t="s">
        <v>87</v>
      </c>
      <c r="B26" s="68" t="s">
        <v>171</v>
      </c>
      <c r="C26" s="67" t="s">
        <v>41</v>
      </c>
      <c r="D26" s="67" t="s">
        <v>132</v>
      </c>
      <c r="E26" s="67" t="s">
        <v>137</v>
      </c>
      <c r="F26" s="69">
        <v>2015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63" t="s">
        <v>86</v>
      </c>
      <c r="B27" s="70" t="s">
        <v>173</v>
      </c>
      <c r="C27" s="63" t="s">
        <v>42</v>
      </c>
      <c r="D27" s="63" t="s">
        <v>132</v>
      </c>
      <c r="E27" s="63" t="s">
        <v>137</v>
      </c>
      <c r="F27" s="62">
        <v>2014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67" t="s">
        <v>83</v>
      </c>
      <c r="B28" s="68" t="s">
        <v>169</v>
      </c>
      <c r="C28" s="67" t="s">
        <v>43</v>
      </c>
      <c r="D28" s="67" t="s">
        <v>133</v>
      </c>
      <c r="E28" s="67" t="s">
        <v>77</v>
      </c>
      <c r="F28" s="69">
        <v>2012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63" t="s">
        <v>84</v>
      </c>
      <c r="B29" s="70" t="s">
        <v>170</v>
      </c>
      <c r="C29" s="63" t="s">
        <v>44</v>
      </c>
      <c r="D29" s="63" t="s">
        <v>131</v>
      </c>
      <c r="E29" s="63" t="s">
        <v>77</v>
      </c>
      <c r="F29" s="62" t="s">
        <v>152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67" t="s">
        <v>82</v>
      </c>
      <c r="B30" s="68" t="s">
        <v>168</v>
      </c>
      <c r="C30" s="67" t="s">
        <v>45</v>
      </c>
      <c r="D30" s="67" t="s">
        <v>130</v>
      </c>
      <c r="E30" s="67" t="s">
        <v>128</v>
      </c>
      <c r="F30" s="69" t="s">
        <v>129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63" t="s">
        <v>87</v>
      </c>
      <c r="B31" s="70" t="s">
        <v>171</v>
      </c>
      <c r="C31" s="63" t="s">
        <v>46</v>
      </c>
      <c r="D31" s="63" t="s">
        <v>132</v>
      </c>
      <c r="E31" s="63" t="s">
        <v>137</v>
      </c>
      <c r="F31" s="62">
        <v>2014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67" t="s">
        <v>90</v>
      </c>
      <c r="B32" s="68" t="s">
        <v>176</v>
      </c>
      <c r="C32" s="67" t="s">
        <v>47</v>
      </c>
      <c r="D32" s="67" t="s">
        <v>153</v>
      </c>
      <c r="E32" s="67" t="s">
        <v>154</v>
      </c>
      <c r="F32" s="69" t="s">
        <v>155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63" t="s">
        <v>84</v>
      </c>
      <c r="B33" s="70" t="s">
        <v>175</v>
      </c>
      <c r="C33" s="63" t="s">
        <v>48</v>
      </c>
      <c r="D33" s="63" t="s">
        <v>133</v>
      </c>
      <c r="E33" s="63" t="s">
        <v>77</v>
      </c>
      <c r="F33" s="62">
        <v>2012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5">
      <c r="A34" s="67" t="s">
        <v>86</v>
      </c>
      <c r="B34" s="68" t="s">
        <v>173</v>
      </c>
      <c r="C34" s="67" t="s">
        <v>49</v>
      </c>
      <c r="D34" s="67" t="s">
        <v>133</v>
      </c>
      <c r="E34" s="67" t="s">
        <v>137</v>
      </c>
      <c r="F34" s="69">
        <v>2019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5">
      <c r="A35" s="63" t="s">
        <v>82</v>
      </c>
      <c r="B35" s="70" t="s">
        <v>168</v>
      </c>
      <c r="C35" s="63" t="s">
        <v>50</v>
      </c>
      <c r="D35" s="63" t="s">
        <v>130</v>
      </c>
      <c r="E35" s="63" t="s">
        <v>128</v>
      </c>
      <c r="F35" s="62" t="s">
        <v>129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5">
      <c r="A36" s="67" t="s">
        <v>83</v>
      </c>
      <c r="B36" s="68" t="s">
        <v>169</v>
      </c>
      <c r="C36" s="67" t="s">
        <v>51</v>
      </c>
      <c r="D36" s="67" t="s">
        <v>133</v>
      </c>
      <c r="E36" s="67" t="s">
        <v>137</v>
      </c>
      <c r="F36" s="69">
        <v>2020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5">
      <c r="A37" s="63" t="s">
        <v>87</v>
      </c>
      <c r="B37" s="70" t="s">
        <v>171</v>
      </c>
      <c r="C37" s="63" t="s">
        <v>52</v>
      </c>
      <c r="D37" s="63" t="s">
        <v>156</v>
      </c>
      <c r="E37" s="63" t="s">
        <v>154</v>
      </c>
      <c r="F37" s="62" t="s">
        <v>157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5">
      <c r="A38" s="67" t="s">
        <v>93</v>
      </c>
      <c r="B38" s="68" t="s">
        <v>179</v>
      </c>
      <c r="C38" s="67" t="s">
        <v>53</v>
      </c>
      <c r="D38" s="67" t="s">
        <v>133</v>
      </c>
      <c r="E38" s="67" t="s">
        <v>137</v>
      </c>
      <c r="F38" s="69">
        <v>2015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5">
      <c r="A39" s="63" t="s">
        <v>94</v>
      </c>
      <c r="B39" s="70" t="s">
        <v>180</v>
      </c>
      <c r="C39" s="63" t="s">
        <v>54</v>
      </c>
      <c r="D39" s="63" t="s">
        <v>158</v>
      </c>
      <c r="E39" s="63" t="s">
        <v>143</v>
      </c>
      <c r="F39" s="62" t="s">
        <v>159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25">
      <c r="A40" s="67" t="s">
        <v>82</v>
      </c>
      <c r="B40" s="68" t="s">
        <v>168</v>
      </c>
      <c r="C40" s="67" t="s">
        <v>55</v>
      </c>
      <c r="D40" s="67" t="s">
        <v>130</v>
      </c>
      <c r="E40" s="67" t="s">
        <v>128</v>
      </c>
      <c r="F40" s="69" t="s">
        <v>129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25">
      <c r="A41" s="63" t="s">
        <v>84</v>
      </c>
      <c r="B41" s="70" t="s">
        <v>170</v>
      </c>
      <c r="C41" s="63" t="s">
        <v>56</v>
      </c>
      <c r="D41" s="63" t="s">
        <v>131</v>
      </c>
      <c r="E41" s="63" t="s">
        <v>77</v>
      </c>
      <c r="F41" s="62">
        <v>2011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25">
      <c r="A42" s="67" t="s">
        <v>87</v>
      </c>
      <c r="B42" s="68" t="s">
        <v>171</v>
      </c>
      <c r="C42" s="67" t="s">
        <v>57</v>
      </c>
      <c r="D42" s="67" t="s">
        <v>132</v>
      </c>
      <c r="E42" s="67" t="s">
        <v>137</v>
      </c>
      <c r="F42" s="69">
        <v>2015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25">
      <c r="A43" s="63" t="s">
        <v>86</v>
      </c>
      <c r="B43" s="70" t="s">
        <v>173</v>
      </c>
      <c r="C43" s="63" t="s">
        <v>58</v>
      </c>
      <c r="D43" s="63" t="s">
        <v>133</v>
      </c>
      <c r="E43" s="63" t="s">
        <v>137</v>
      </c>
      <c r="F43" s="62">
        <v>2019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25">
      <c r="A44" s="67" t="s">
        <v>84</v>
      </c>
      <c r="B44" s="68" t="s">
        <v>170</v>
      </c>
      <c r="C44" s="67" t="s">
        <v>59</v>
      </c>
      <c r="D44" s="67" t="s">
        <v>160</v>
      </c>
      <c r="E44" s="67" t="s">
        <v>161</v>
      </c>
      <c r="F44" s="69" t="s">
        <v>162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25">
      <c r="A45" s="63" t="s">
        <v>88</v>
      </c>
      <c r="B45" s="70" t="s">
        <v>174</v>
      </c>
      <c r="C45" s="63" t="s">
        <v>60</v>
      </c>
      <c r="D45" s="63" t="s">
        <v>131</v>
      </c>
      <c r="E45" s="63" t="s">
        <v>77</v>
      </c>
      <c r="F45" s="62">
        <v>2019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25">
      <c r="A46" s="67" t="s">
        <v>81</v>
      </c>
      <c r="B46" s="68" t="s">
        <v>167</v>
      </c>
      <c r="C46" s="67" t="s">
        <v>61</v>
      </c>
      <c r="D46" s="67" t="s">
        <v>163</v>
      </c>
      <c r="E46" s="67" t="s">
        <v>128</v>
      </c>
      <c r="F46" s="69" t="s">
        <v>129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25">
      <c r="A47" s="63" t="s">
        <v>89</v>
      </c>
      <c r="B47" s="70" t="s">
        <v>168</v>
      </c>
      <c r="C47" s="63" t="s">
        <v>62</v>
      </c>
      <c r="D47" s="63" t="s">
        <v>132</v>
      </c>
      <c r="E47" s="63" t="s">
        <v>77</v>
      </c>
      <c r="F47" s="62">
        <v>2010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25">
      <c r="A48" s="67" t="s">
        <v>89</v>
      </c>
      <c r="B48" s="68" t="s">
        <v>175</v>
      </c>
      <c r="C48" s="67" t="s">
        <v>63</v>
      </c>
      <c r="D48" s="67" t="s">
        <v>132</v>
      </c>
      <c r="E48" s="67" t="s">
        <v>77</v>
      </c>
      <c r="F48" s="69">
        <v>2015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25">
      <c r="A49" s="61" t="s">
        <v>87</v>
      </c>
      <c r="B49" s="71" t="s">
        <v>171</v>
      </c>
      <c r="C49" s="61" t="s">
        <v>64</v>
      </c>
      <c r="D49" s="61" t="s">
        <v>127</v>
      </c>
      <c r="E49" s="61" t="s">
        <v>77</v>
      </c>
      <c r="F49" s="35">
        <v>2015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profit_analysis</vt:lpstr>
      <vt:lpstr>Utilization vs Profit Margin</vt:lpstr>
      <vt:lpstr>cost_base_improved</vt:lpstr>
      <vt:lpstr>Pivot Table-1</vt:lpstr>
      <vt:lpstr>Pivot Table-2</vt:lpstr>
      <vt:lpstr>Pivot Table-3</vt:lpstr>
      <vt:lpstr>Payout</vt:lpstr>
      <vt:lpstr>payouts_table_AMD</vt:lpstr>
      <vt:lpstr>partner_vehicles_form_AMD</vt:lpstr>
      <vt:lpstr>AMD_OU_Data</vt:lpstr>
      <vt:lpstr>AMD_EMI_Data</vt:lpstr>
      <vt:lpstr>Vehicle mapping</vt:lpstr>
      <vt:lpstr>rough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Jhurani</dc:creator>
  <cp:lastModifiedBy>Aritra Basu</cp:lastModifiedBy>
  <dcterms:created xsi:type="dcterms:W3CDTF">2023-03-20T10:52:34Z</dcterms:created>
  <dcterms:modified xsi:type="dcterms:W3CDTF">2023-06-28T11:23:10Z</dcterms:modified>
</cp:coreProperties>
</file>