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ld" sheetId="1" r:id="rId3"/>
    <sheet state="visible" name="FY21 Overview" sheetId="2" r:id="rId4"/>
    <sheet state="visible" name="FY21_DATA" sheetId="3" r:id="rId5"/>
    <sheet state="visible" name="YOY Comparison" sheetId="4" r:id="rId6"/>
    <sheet state="visible" name="FY20 Overview" sheetId="5" r:id="rId7"/>
    <sheet state="visible" name="FY20_DATA" sheetId="6" r:id="rId8"/>
    <sheet state="visible" name="FY19 Overview" sheetId="7" r:id="rId9"/>
    <sheet state="hidden" name="FY19 Late Summary" sheetId="8" r:id="rId10"/>
    <sheet state="hidden" name="FY20 Late Summary" sheetId="9" r:id="rId11"/>
    <sheet state="hidden" name="Copy of Runtime &gt; 10 min" sheetId="10" r:id="rId12"/>
    <sheet state="hidden" name="FY19_DATA" sheetId="11" r:id="rId13"/>
    <sheet state="visible" name="Table" sheetId="12" r:id="rId14"/>
    <sheet state="hidden" name="FY18_DATA" sheetId="13" r:id="rId15"/>
    <sheet state="hidden" name="2LIS_06_INV  - Runtime &gt; 10 min" sheetId="14" r:id="rId16"/>
  </sheets>
  <definedNames>
    <definedName hidden="1" localSheetId="5" name="_xlnm._FilterDatabase">FY20_DATA!$A$1:$N$386</definedName>
    <definedName hidden="1" localSheetId="9" name="_xlnm._FilterDatabase">'Copy of Runtime &gt; 10 min'!$A$1:$C$71</definedName>
    <definedName hidden="1" localSheetId="10" name="_xlnm._FilterDatabase">FY19_DATA!$A$1:$N$386</definedName>
    <definedName hidden="1" localSheetId="12" name="_xlnm._FilterDatabase">FY18_DATA!$A$1:$G$364</definedName>
    <definedName hidden="1" localSheetId="13" name="_xlnm._FilterDatabase">'2LIS_06_INV  - Runtime &gt; 10 min'!$A$1:$V$980</definedName>
  </definedNames>
  <calcPr/>
  <pivotCaches>
    <pivotCache cacheId="0" r:id="rId17"/>
    <pivotCache cacheId="1" r:id="rId18"/>
    <pivotCache cacheId="2" r:id="rId19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6">
      <text>
        <t xml:space="preserve">INC3777878
INC3777863
INC3777877
INC3777876
INC3777875
INC3777874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3">
      <text>
        <t xml:space="preserve">New Exadata - PN12
</t>
      </text>
    </comment>
  </commentList>
</comments>
</file>

<file path=xl/sharedStrings.xml><?xml version="1.0" encoding="utf-8"?>
<sst xmlns="http://schemas.openxmlformats.org/spreadsheetml/2006/main" count="15912" uniqueCount="448">
  <si>
    <t>BI Report Delivery Times</t>
  </si>
  <si>
    <t>Late Categories</t>
  </si>
  <si>
    <t>Count</t>
  </si>
  <si>
    <t>Manager</t>
  </si>
  <si>
    <t>Director</t>
  </si>
  <si>
    <t>AVP</t>
  </si>
  <si>
    <t>Notes</t>
  </si>
  <si>
    <t>Total Reports</t>
  </si>
  <si>
    <t>BW - ABAP Code - Currently being worked on</t>
  </si>
  <si>
    <t>Peter</t>
  </si>
  <si>
    <t>Melody</t>
  </si>
  <si>
    <t>Don</t>
  </si>
  <si>
    <t>Not ready - Change in QA found issues - assessing with expert - readout Monday 26th.</t>
  </si>
  <si>
    <t>% of Total</t>
  </si>
  <si>
    <t>BW Change</t>
  </si>
  <si>
    <t>6 days - Resolved October</t>
  </si>
  <si>
    <t>Before 6AM</t>
  </si>
  <si>
    <t>AP/AR</t>
  </si>
  <si>
    <t>Carol</t>
  </si>
  <si>
    <t>Karri</t>
  </si>
  <si>
    <t>Helene</t>
  </si>
  <si>
    <t>Need status - Helene will look at tickets</t>
  </si>
  <si>
    <t>Before 6:30AM</t>
  </si>
  <si>
    <t>Wherescape</t>
  </si>
  <si>
    <t>Resolved October</t>
  </si>
  <si>
    <t>Before 7:00AM</t>
  </si>
  <si>
    <t>FYE</t>
  </si>
  <si>
    <t>Business resolved data</t>
  </si>
  <si>
    <t>After 7:00AM</t>
  </si>
  <si>
    <t>Period End</t>
  </si>
  <si>
    <t>BCI listener</t>
  </si>
  <si>
    <t>OPEN</t>
  </si>
  <si>
    <t>BW</t>
  </si>
  <si>
    <t>Data Analysis</t>
  </si>
  <si>
    <t>Mike</t>
  </si>
  <si>
    <t>Mary</t>
  </si>
  <si>
    <t>Data Integrations</t>
  </si>
  <si>
    <t>DBA</t>
  </si>
  <si>
    <t>Malou</t>
  </si>
  <si>
    <t>Shrikant</t>
  </si>
  <si>
    <t>EP1</t>
  </si>
  <si>
    <t>Duane</t>
  </si>
  <si>
    <t>Matt</t>
  </si>
  <si>
    <t>Cathy</t>
  </si>
  <si>
    <t>Resolved November</t>
  </si>
  <si>
    <t>Fuel Quest</t>
  </si>
  <si>
    <t>Brent</t>
  </si>
  <si>
    <t>Anna</t>
  </si>
  <si>
    <t>Infrastructure Change</t>
  </si>
  <si>
    <t>Phil</t>
  </si>
  <si>
    <t>Reduce over-communication - working with Business Finance - Ben R &amp; Helene to allow 8:00am SLA for weekends</t>
  </si>
  <si>
    <t>Work with Praveen - review HANA database and EP1 performance specifically with increased run-times</t>
  </si>
  <si>
    <t xml:space="preserve">Multiple occasions (11) system LOCK was &gt;4:00am - need to determine what is delaying with Operations. </t>
  </si>
  <si>
    <t>FY19 - BI Report Delivery Times</t>
  </si>
  <si>
    <t>Category</t>
  </si>
  <si>
    <t>COUNTA of Category</t>
  </si>
  <si>
    <t>Data Integration Services</t>
  </si>
  <si>
    <t>Oracle - DB Administration</t>
  </si>
  <si>
    <t>Finance Materials Management</t>
  </si>
  <si>
    <t>SAP Basis</t>
  </si>
  <si>
    <t>Finance Merchandise Accounting Solutions AP/AR</t>
  </si>
  <si>
    <t>After 8:00AM</t>
  </si>
  <si>
    <t>EDI</t>
  </si>
  <si>
    <t>Data Integration Admin</t>
  </si>
  <si>
    <t>Period 1 - BI Report Delivery Times</t>
  </si>
  <si>
    <t>Business - FYE</t>
  </si>
  <si>
    <t>Grand Total</t>
  </si>
  <si>
    <t>Period 2 - BI Report Delivery Times</t>
  </si>
  <si>
    <t>Period 3 - BI Report Delivery Times</t>
  </si>
  <si>
    <t>Period 4 - BI Report Delivery Times</t>
  </si>
  <si>
    <t>Period 5 - BI Report Delivery Times</t>
  </si>
  <si>
    <t>Period 6 - BI Report Delivery Times</t>
  </si>
  <si>
    <t>Period 7 - BI Report Delivery Times</t>
  </si>
  <si>
    <t>Period 8 - BI Report Delivery Times</t>
  </si>
  <si>
    <t>Period 9 - BI Report Delivery Times</t>
  </si>
  <si>
    <t>Period 10 - BI Report Delivery Times</t>
  </si>
  <si>
    <t>Period 11 - BI Report Delivery Times</t>
  </si>
  <si>
    <t>Period 12 - BI Report Delivery Times</t>
  </si>
  <si>
    <t>Period 13 - BI Report Delivery Times</t>
  </si>
  <si>
    <t>DATE</t>
  </si>
  <si>
    <t>Day</t>
  </si>
  <si>
    <t>P/W</t>
  </si>
  <si>
    <t>Period</t>
  </si>
  <si>
    <t>Week</t>
  </si>
  <si>
    <t>Expected Start Time</t>
  </si>
  <si>
    <t>Period Lock</t>
  </si>
  <si>
    <t>Period Unlock</t>
  </si>
  <si>
    <t>Report Delivery</t>
  </si>
  <si>
    <t>RUNTIME (MINUTES)</t>
  </si>
  <si>
    <t>Inaccurate Data?</t>
  </si>
  <si>
    <t>Morning of</t>
  </si>
  <si>
    <t>Reason for being late</t>
  </si>
  <si>
    <t>Monday</t>
  </si>
  <si>
    <t>Week 1</t>
  </si>
  <si>
    <t>Tuesday</t>
  </si>
  <si>
    <t>INC3739308 - Unable to connect Informatica 10.2 HF2 - EDW</t>
  </si>
  <si>
    <t>Wednesday</t>
  </si>
  <si>
    <t>Thursday</t>
  </si>
  <si>
    <t>Friday</t>
  </si>
  <si>
    <t>Saturday</t>
  </si>
  <si>
    <t>Sunday</t>
  </si>
  <si>
    <t>Week 2</t>
  </si>
  <si>
    <t>INC3754396 - Max. runtime of task ' WS_1000_MSTR_DATA_0100 (0127688029)' has been exceeded</t>
  </si>
  <si>
    <t>INC3756258 - Max. runtime of task ' WS_1000_MSTR_DATA_0100 (0127827567)' has been exceeded</t>
  </si>
  <si>
    <t>INC3758080 - SAP_Master Has Not Completed.FYE - Carry Forward process</t>
  </si>
  <si>
    <t>INC3759579 - Task ' SAP138_ARPOST_CHECK_BATCH/0128194301' in 'JOBP.SAPINTG.FICA.CHK_BATCH/0128192319' has aborted.</t>
  </si>
  <si>
    <t>Week 3</t>
  </si>
  <si>
    <t xml:space="preserve">INC3761851 - 'SAP936_SALES_ABAP (128385788)' in  'JOBP.SAPINTG.APAR.SAP936_SALES' extremely long running </t>
  </si>
  <si>
    <t>INC3767814 JOBS.SQL.ETL.EDW.WS.EXE_JOB_FAIR Queue CLIENT_QUEUE RunID 128849612 running long</t>
  </si>
  <si>
    <t>CHG2045088 : Linux migration of the CP1systems 6.x to 7.6 - 9/19 now</t>
  </si>
  <si>
    <t>Week 4</t>
  </si>
  <si>
    <t>INC3776004 - WS_8300_IMM_KF_1 (129468740) Running long</t>
  </si>
  <si>
    <t>Yes</t>
  </si>
  <si>
    <t>INC3780192 - EFR/FAIR GL12 / GL14 Discrepancy</t>
  </si>
  <si>
    <t>INC3781780 - Task ' WF_PROCESS_2LIS_02_ITM/0129893465' in 'JOBP.ETL.SAP_MASTER/0129895046' has aborted.</t>
  </si>
  <si>
    <t>INC3783725 - Missing all FQ-NLC (FuelQuest) Files</t>
  </si>
  <si>
    <t xml:space="preserve">INC3786139 - 'SAP936_SALES_ABAP (130305293)' in 'SAP936_SALES (130239771)' Running extremely long. Please investigate. </t>
  </si>
  <si>
    <t>6:30 Delivery</t>
  </si>
  <si>
    <t>% of SLA met - 6:30am</t>
  </si>
  <si>
    <t>FY20</t>
  </si>
  <si>
    <t>FY21</t>
  </si>
  <si>
    <t>% Change</t>
  </si>
  <si>
    <t xml:space="preserve">Period 1 </t>
  </si>
  <si>
    <t xml:space="preserve">Period 2 </t>
  </si>
  <si>
    <t xml:space="preserve">Period 3 </t>
  </si>
  <si>
    <t xml:space="preserve">Period 4 </t>
  </si>
  <si>
    <t xml:space="preserve">Period 5 </t>
  </si>
  <si>
    <t xml:space="preserve">Period 6 </t>
  </si>
  <si>
    <t xml:space="preserve">Period 7 </t>
  </si>
  <si>
    <t xml:space="preserve">Period 8 </t>
  </si>
  <si>
    <t xml:space="preserve">Period 9 </t>
  </si>
  <si>
    <t xml:space="preserve">Period 10 </t>
  </si>
  <si>
    <t xml:space="preserve">Period 11 </t>
  </si>
  <si>
    <t xml:space="preserve">Period 12 </t>
  </si>
  <si>
    <t>Period 13</t>
  </si>
  <si>
    <t>Total</t>
  </si>
  <si>
    <t>FY19</t>
  </si>
  <si>
    <t>FY18</t>
  </si>
  <si>
    <t>WS - Item Profitability - On going issue</t>
  </si>
  <si>
    <t>Ecom High Volume - On going issue</t>
  </si>
  <si>
    <t>WS</t>
  </si>
  <si>
    <t>iSeries Administration - High Volume</t>
  </si>
  <si>
    <t>BCI Listner - On going issue</t>
  </si>
  <si>
    <t>Solution Support - Depot</t>
  </si>
  <si>
    <t>SAP Integration.</t>
  </si>
  <si>
    <t>iSeries Administration</t>
  </si>
  <si>
    <t>Finance Accounting Solutions GL/AA</t>
  </si>
  <si>
    <t>Ecom High Volume PRB2003425 - On going issue</t>
  </si>
  <si>
    <t>DIS</t>
  </si>
  <si>
    <t>DC Ops</t>
  </si>
  <si>
    <t>Data Integration Services - High Volume</t>
  </si>
  <si>
    <t>Data Integration</t>
  </si>
  <si>
    <t>tue</t>
  </si>
  <si>
    <t>INC3237926, INC3237927, INC3237925, INC3237909, INC3237906 - WS jobs failed - ORA-00600:[ktfs_upd_range-1] Can occur During Truncate Table (Doc ID 2247478.1)</t>
  </si>
  <si>
    <t>wed</t>
  </si>
  <si>
    <t>HFM for late lock release</t>
  </si>
  <si>
    <t>thu</t>
  </si>
  <si>
    <t>fri</t>
  </si>
  <si>
    <t>sat</t>
  </si>
  <si>
    <t>sun</t>
  </si>
  <si>
    <t>mon</t>
  </si>
  <si>
    <t>INC3248987 - Max. runtime of task 'ACJ_A_SLS (0081010098)' has been exceeded</t>
  </si>
  <si>
    <t>Business ran Balance Carry Forward for company 1  job last night - high GL12 volume</t>
  </si>
  <si>
    <t xml:space="preserve">Business ran Balance Carry Forward for all other companies job last night - high GL12 volume </t>
  </si>
  <si>
    <t>INC3265377 - Task'1230_MASTER_DATA_DS/0082624754' in 'JOBP.ETL.EDW.WS_MD_1230_DS' has aborted.</t>
  </si>
  <si>
    <t>INC3267816 - INA: Job 092114/QSYSOPR/ECOMM_EOD has halted caused delay to daily main and sap master ecomm triggers</t>
  </si>
  <si>
    <t>INC3269025 - Max. runtime of task 'ACJ_A_SLS (0083034022)' has been exceeded - Historically this job runs long on wk4 sunday</t>
  </si>
  <si>
    <t>INC3270698 - Task 'N_8_INV_PRD/0083208083' in 'JOBP.ETL.EDW.WS.N_8_INV_PRD' has aborted. - CHG2030761</t>
  </si>
  <si>
    <t>Unknown - table space issue?</t>
  </si>
  <si>
    <t>PRB2002992 - INC3293451 - Item Profitability tables are running very long due to increase in volume.</t>
  </si>
  <si>
    <t>INC3286283 - Max. runtime of task 'JOBP.SAPINTG.FICA.SAP934_GOODS_MVMNT (0084795567)' has been excee</t>
  </si>
  <si>
    <t>PRB2002558 (BCI Listener / Informatica issue)</t>
  </si>
  <si>
    <t>INC3309010 - GL12 Discrepancy</t>
  </si>
  <si>
    <t>INC3335112 - JOBS.SQL.ETL.EDW.WS.EXE_JOB_FAIR running long</t>
  </si>
  <si>
    <t>INC3336332 - Unable to Complete Fresh Food Inventory</t>
  </si>
  <si>
    <t>INC3337659 - Task 'ACJ_COGS_EXECUTE_ABAP/0090015575' in 'JOBP.SAPINTG.FICA.ACJ.EXECUTE/0090011232' has aborted.</t>
  </si>
  <si>
    <t>INC3338976 - EP1~ABAP : ABAP System not available</t>
  </si>
  <si>
    <t>INC3343071 - Max. runtime of task 'INFA_VISTEX_FINAL (0090692759)' has been exceeded</t>
  </si>
  <si>
    <t>INC3346136 - Sales and Inventory Delayed</t>
  </si>
  <si>
    <t>Locks are late due to high number of idocs from SAP155_PO_CRT. This lead to a downstream of jobs starting and completing late. Also, there will be a HFM load which will cause locks to run longer, pushing past our 6AM SLA</t>
  </si>
  <si>
    <t>Locks still on due to long running GL14 job.</t>
  </si>
  <si>
    <t>INC3432436 - Max. runtime of task 'INFA_GL_0100 (0099448952)' has been exceeded</t>
  </si>
  <si>
    <t>INC3467053 - Multiple HR &amp; Finance Systems Unavailable // EP1 Database Offline</t>
  </si>
  <si>
    <t>INC3472550 - Max. runtime of task ' INFA_AA_0230 (0102957303)' has been exceeded</t>
  </si>
  <si>
    <t>Ecom High Volume</t>
  </si>
  <si>
    <t>Ecom High Volume &amp; INC3524000</t>
  </si>
  <si>
    <t>yes</t>
  </si>
  <si>
    <t>BW - 2LIS_06_INV - RESOLVED</t>
  </si>
  <si>
    <t>EP1 - ON GOING ISSUE</t>
  </si>
  <si>
    <t>DI Admin</t>
  </si>
  <si>
    <t>BW Change - RESOLVED</t>
  </si>
  <si>
    <t>WS/DBA</t>
  </si>
  <si>
    <t>Wherescape - RESOLVED</t>
  </si>
  <si>
    <t>BCI Listner</t>
  </si>
  <si>
    <t>Wherescape-Dev</t>
  </si>
  <si>
    <t>DI</t>
  </si>
  <si>
    <t>BCI listener - IN PROGRESS</t>
  </si>
  <si>
    <t>Wherescape - User error</t>
  </si>
  <si>
    <t>Wherescape - Unknown</t>
  </si>
  <si>
    <t>Switch and Stay</t>
  </si>
  <si>
    <t>Storage</t>
  </si>
  <si>
    <t>Solution Support - MBR</t>
  </si>
  <si>
    <t>Solution Support - ACC</t>
  </si>
  <si>
    <t>SAP Integration</t>
  </si>
  <si>
    <t>SAP CRM/BW Database Switch</t>
  </si>
  <si>
    <t>RFC connection</t>
  </si>
  <si>
    <t>Order Power Support</t>
  </si>
  <si>
    <t>Late Locks</t>
  </si>
  <si>
    <t>iSeries</t>
  </si>
  <si>
    <t>GPFS</t>
  </si>
  <si>
    <t>EP1 - Volume</t>
  </si>
  <si>
    <t>DIS/WS</t>
  </si>
  <si>
    <t>Database Migration</t>
  </si>
  <si>
    <t>Date</t>
  </si>
  <si>
    <t>RUN_TIME</t>
  </si>
  <si>
    <t>RECORD_CNT</t>
  </si>
  <si>
    <t>Holiday moved checklists INC2855233 - ACJ_PAYRL in UC4 has not kicked off - Finance Accounting Solutions GL/AA</t>
  </si>
  <si>
    <t>BOD144_GL_EXTR_CUPR is still running, haven't received trigger</t>
  </si>
  <si>
    <t>Multiple ETL.EDW job failures - BCI listener</t>
  </si>
  <si>
    <t>N_6010_apar landing appears to be hung up</t>
  </si>
  <si>
    <t xml:space="preserve">Topworkflow: JOBP.SAPINTG.APAR.SAP2023_ECOM_SLS //  JOBP.SAPINTG.FICA.IDOC_POST  Type:       JOBP  Run#:       0042376883 </t>
  </si>
  <si>
    <t>Alarm:'JOBP.SAPINTG.APAR.SAP575 and 571_AXWAY' are running long</t>
  </si>
  <si>
    <t>N_8300_IMM_Key_Figures_0001 running long</t>
  </si>
  <si>
    <t>Locks are going to be delayed due to an issue with the scheduling of a new job running in DLY_MAIN. Should expect them on in hopefully &lt;30min</t>
  </si>
  <si>
    <t xml:space="preserve">JOBP.ETL.EDW.0ARTICLE_ATTR ENDED_NOT_OK </t>
  </si>
  <si>
    <t>JOBP.SAPINTG.APAR.SAP141_RBC  Type:       JOBP  Run#:       0043670349  //  halted</t>
  </si>
  <si>
    <t>Long running job - JOBP.ETL.SAP_MM_IM_PUR</t>
  </si>
  <si>
    <t>Long running job - Alarm:'JOBS.UNIX.ETL.EDW.WS.WHERESCAPE' RunID:'0043843702' Client:'7000'</t>
  </si>
  <si>
    <t>Long running job - UC4-JOBP.ETL.EDW.WS_IMM_8300_KEY_FIG_1-running long</t>
  </si>
  <si>
    <t xml:space="preserve">CHG2020799 - Enhancement of extractor 0FI_GL_14 to add field ZZKSL (Group Currency)  </t>
  </si>
  <si>
    <t>Long running job - 2LIS_06_INV</t>
  </si>
  <si>
    <t xml:space="preserve">Long running job - WF_PROCESS_2LIS_06_INV </t>
  </si>
  <si>
    <t>INA-DCRLSJBQOA did not run after the Switch and Stay causing the OAGLPRD02 - &gt; jobq to remain on hold resulting in INC2912405</t>
  </si>
  <si>
    <t>Missing Fuel quest files  - Multiple GL_14 job failures</t>
  </si>
  <si>
    <t>CHG2021933 SAP: VBLOCK VMware</t>
  </si>
  <si>
    <t>Finance Merchandise Accounting Solutions AP/AR was SAP Integration</t>
  </si>
  <si>
    <t>EP1 Issue</t>
  </si>
  <si>
    <t>Long Running Job - JOBP.ETL.SAP_MM_IM_PUR</t>
  </si>
  <si>
    <t xml:space="preserve">Long Running Job - 2LIS_06_INV </t>
  </si>
  <si>
    <t>INC2939152 - Alarm:'JOBP.ETL.SAP_MM_IM_PUR' RunID:'0048841604' Has run longer than expected on Client:'7000'</t>
  </si>
  <si>
    <t>INC2940247 - Multiple jobs ended not ok within Sap_master</t>
  </si>
  <si>
    <t>INC2940565 = WF_PROCESS_2LIS_06_INV long running in SAP_MASTER</t>
  </si>
  <si>
    <t xml:space="preserve">INC2941632 - JOBP.ETL.EDW.ATHENA_DW.BATCH_LOAD  ENDED_NOT_OK </t>
  </si>
  <si>
    <t>INC2939681 - Parent: Incorrect Bill Codes for Coupon Transactions Tuesday 11/20 on West Coast locations and Wed 11/21 for all US</t>
  </si>
  <si>
    <t>INC2946920 - Alarm:'JOBP.ETL.SAP_MM_IM_PUR' RunID:'0049688972' Has run longer than expected on Client:'7000'</t>
  </si>
  <si>
    <t>INC2948101 - Multiple GL Extract failures in SAP_MASTER</t>
  </si>
  <si>
    <t>INC2949350 - UC4-JOBP.ETL.SAP_MM_IM_PUR' RunID:'0049914310' Has run longer than expected on Client:'7000'</t>
  </si>
  <si>
    <t>INC2949853 - INA- A very large amount of halted/locked jobs/ stopping SAP, Wave queues and ecom processes and INC2949866 - OMS_INVENTORY_MAINTENANCE scheduler was stopped</t>
  </si>
  <si>
    <t>Oracle patching - WS Delete Procsess running long</t>
  </si>
  <si>
    <t xml:space="preserve">INC2951664 - JOBP.SAPINTG.FICA.IDOC_POST  Type:       JOBP  Run#:       0050245429 </t>
  </si>
  <si>
    <t xml:space="preserve">INC2952892 - JOBP.SAPINTG.APAR.SAP141_RBC_Q  Type:       JOBP  Run#:       0050349908 </t>
  </si>
  <si>
    <t xml:space="preserve">INC2954140 - JOBP.SAPINTG.APAR.SAP141_RBC_Q  Type:       JOBP  Run#:       0050454281  Top Workflow name: JOBP.SAPINTG.ACCT_DLY_MAIN </t>
  </si>
  <si>
    <t>INC2955431 - JOBP.ETL.SAP_MM_IM_PUR is running too long</t>
  </si>
  <si>
    <t>INC2956609</t>
  </si>
  <si>
    <t>INC2957239 -  Alarm:'JOBP.ETL.SAP_MM_IM_PUR' RunID:'0050759079' Has run longer than expected on Client:'7000'</t>
  </si>
  <si>
    <t>INC2957671 - SAP697_GMIECO_CHK_BATCH - INC2957672 - JOBP.SAPINTG.APAR.SAP141_RBC_Q Type: JOBP Run#: 0050861596</t>
  </si>
  <si>
    <t>INC2960414 JOBP.ETL.SAP.V3_JOBS_IMM - INC2960601 Alarm:'JOBP.ETL.SAP_MM_IM_PUR' RunID:'0051079050' Has run longer than expected on Client:'7000' - The Issue was related to garbage collection which was residing in EP1</t>
  </si>
  <si>
    <t>INC2961553 - Alarm:'JOBP.ETL.SAP_MM_IM_PUR' RunID:'0051190183' Has run longer than expected on Client:'7000'</t>
  </si>
  <si>
    <t>INC2962691 - JOBP.ETL.SAP_MM_IM_PUR is running too long! Please investigate. RunID:'0051299534</t>
  </si>
  <si>
    <t xml:space="preserve">INC2963769 - SAP_MASTER: JOBP.ETL.SAP_MM_IM_PUR is running too long! Please investigate. </t>
  </si>
  <si>
    <t>INC2964361 - SAP_MASTER: 2LIS_06_INV long running</t>
  </si>
  <si>
    <t>INC2965962 - Node failed in ep1hdb01094p02 associated with EP1</t>
  </si>
  <si>
    <t>BW - 2LIS_06_INV - Resolved</t>
  </si>
  <si>
    <t>INC2968092 - Alarm:'JOBP.ETL.SAP_MM_IM_PUR' RunID:'0051926314' Has run longer than expected on Client:'7000'</t>
  </si>
  <si>
    <t>INC2969087 - Multiple HR &amp; Finance Systems Unavailable // EP1 Database Offline</t>
  </si>
  <si>
    <t>thur</t>
  </si>
  <si>
    <t>INC2973730 - JOBP.ETL.SAP_MM_IM_PUR is running too long! Please investigate.</t>
  </si>
  <si>
    <t>INC2974628 for EP100003: Database Unavailable.</t>
  </si>
  <si>
    <t>INC2975177  - SAP_MASTER: 1AM run of 2LIS_06_inv long running</t>
  </si>
  <si>
    <t>INC2975552 - GPFS issue caused multiple delays in DLY_MAIN &amp; SAP_MASTER.</t>
  </si>
  <si>
    <t>INC2977803 - Multiple HR &amp; Finance Systems Unavailable // EP1 Database Offline</t>
  </si>
  <si>
    <t>INC2979036 JOBP.ETL.SAP_MM_IM_PUR is running too long!</t>
  </si>
  <si>
    <t>INC2980699 - JOBP.ETL.EDW.2LIS_06_INV RunID 53631064 running long</t>
  </si>
  <si>
    <t>EP1 Maint - INC2986467 - JOBP.ETL.SAP_MM_IM_PUR' RunID:'0054137806' Has run longer than expected on Client:'7000'</t>
  </si>
  <si>
    <t>INC2991238 opened for tracking of long running 2LIS_06_INV</t>
  </si>
  <si>
    <t>INC2992620 - JOBP.SAPINTG.APAR.SAP141_RBC_Q Type: JOBP Run#: 0054798034 // NO PAYMENT FILE CREATED</t>
  </si>
  <si>
    <t>INC2995148- SAP133_EXT_CNTL_HFM_CLOSE_FILE (55035454) still running/no releasing locks in dly_main - 11PM workflow says that HFM was scheduled. HFM has not kicked off which is preventing period from being unlocked.</t>
  </si>
  <si>
    <t>SAP487_WFB - Quit filewatcher, because today is MLK holiday.</t>
  </si>
  <si>
    <t>INC2998721 - ACJ_PAYRL in UC4 will not kick off due to extended close</t>
  </si>
  <si>
    <t>Last WS extract chuggin away.</t>
  </si>
  <si>
    <t>INC3003062 - JOBP.SAPINTG.BODS.BODS_INTERFACES - several workflows ended not ok</t>
  </si>
  <si>
    <t>INC3004794 = SAP141_RBC_U_VALID (RUN ID# 56058752) Running extremely long in PAYMENT workflow in DLY_MAIN.</t>
  </si>
  <si>
    <t>WS change made</t>
  </si>
  <si>
    <t>15 days</t>
  </si>
  <si>
    <t>INC3010865 - R3 ACCT - JOBP.SAPINTG.APAR.VTX04_US_ONETM_CHRGBK_SETL ENDED_NOT_OK /// Run#:       0056704733</t>
  </si>
  <si>
    <t xml:space="preserve">INC3011963 - EP1 Unplanned Outage  </t>
  </si>
  <si>
    <t>INC3013087 - Multiple HR &amp; Finance Systems Unavailable // EP1 Database Offline</t>
  </si>
  <si>
    <t>Inaccurate Data</t>
  </si>
  <si>
    <t>INC3014450 - Multiple Long Running ETL jobs / INFA_TRUNC has not even started - Monitoring happening on EP1 - Inaccurate data</t>
  </si>
  <si>
    <t>INC3024806 - SAP_MASTER: INFA_CRM load running long. - SAP CRM/BW Database Switch - SAP Jobs Stop/Restart for 2/16</t>
  </si>
  <si>
    <t>INC3025265 - Missing 2  FQ-NLC files</t>
  </si>
  <si>
    <t xml:space="preserve">INC3026522 - JOBP.SAPINTG.APAR.SAP141_RBC_Q  Type:       JOBP  Run#:       0058290374 </t>
  </si>
  <si>
    <t>INC3027896 - JOBP.SAPINTG.APAR.SAP141_RBC_Q  Type:       JOBP  Run#:       0058399099 //  NO PAYMENT FILE CREATED</t>
  </si>
  <si>
    <t>INC3029204 - SAP_MASTER: JOBP.ETL.EDW.3FI_GL_14_S3 ENDED_NOT_OK  /// Run#:       0058513472</t>
  </si>
  <si>
    <t>INC3030509 - R3 ACCT - JOBP.SAPINTG.APAR.SAP141_RBC_Q ENDED_NOT_OK /// Run#:       0058616661</t>
  </si>
  <si>
    <t>INC3046574 - iseries  and CP1 scheduled outage are complete, verify sapintf jobs in uc4</t>
  </si>
  <si>
    <t>INC3049628 - JOBP.SAPINTG.MMAT.SAP155_PO_CRT  Type:       JOBP  Run#:       0060577998 (SAP155 Completed at 3am with all 360601 idocs .Daily main is delayed due to the incoming delay of IDOC.)</t>
  </si>
  <si>
    <t xml:space="preserve">INC3069587 - JOBP.SAPINTG.FICA.CHK_BATCH ENDED_NOT_OK /// Run#: 0062651851 and INC3069602 - JOBP.SAPINTG.FICA.CHK_BATCH ENDED_NOT_OK /// Run#: 0062680654
</t>
  </si>
  <si>
    <t>INC3070998 - JOBP.SAPINTG.GLAA.SAP2010_IDOC_DELAY  Type:       JOBP  Run#:       0062752503  Delayed locks from going on. - Multiple Data Integrations INC’s that delayed reports from going out.  (delay in page being accepted</t>
  </si>
  <si>
    <t>INC3082507- JOBP.SAPINTG.FICA.CHK_BATCH Type: JOBP Run#: 0063879622</t>
  </si>
  <si>
    <t>INC3084788 - JOBP.SAPINTG.FICA.CHK_BATCH  Type:       JOBP  Run#:       0064179292  (Some batches of SAP069 were not received)</t>
  </si>
  <si>
    <t>INC3087523 - Max. runtime of task 'WS_1000_MSTR_DATA_0100 (0064392570)' has been exceeded</t>
  </si>
  <si>
    <t>INC3088913 - table  DS_BIC_CCIN2LIS_06_INV000 hung</t>
  </si>
  <si>
    <t>INC3091400 - Task '6030_APAR_DS/0064871507' in 'JOBP.ETL.EDW.WS_APAR_6030_DS' has aborted.</t>
  </si>
  <si>
    <t>INC3101225 - Max. runtime of task 'WS_1000_MSTR_DATA_0100 (0065794060)' has been exceeded</t>
  </si>
  <si>
    <t>INC3102696 - DB R3_ODS_DW (faip01us)WHERESCAPE job has hung as it is unable to get lock on object  DS_MST_DATE</t>
  </si>
  <si>
    <t>INC3107916 - WhereScape JOB hung on Server FAIP01US DB R3_ODW_DW</t>
  </si>
  <si>
    <t>INC3112646 will the the Parent of all the DIS inc's</t>
  </si>
  <si>
    <t>INC3114278</t>
  </si>
  <si>
    <t>INC3114665 auto generated to DIS for a failed extract.</t>
  </si>
  <si>
    <t>INC3116139 - WS_GL14_SKINNY</t>
  </si>
  <si>
    <t>​Multiple Data Integration Services jobs having issues this morning, causing a delay in locks and BI Finance Reports.​</t>
  </si>
  <si>
    <t>INC3118820</t>
  </si>
  <si>
    <t>INC3133262 - Task 'WF_BCI_LISTENER/0069213910' in 'JOBP.ETL.SAP_MASTER' has aborted.</t>
  </si>
  <si>
    <t>INC3137039 - Max. runtime of task 'JOBP.SAPINTG.FICA.SAP934_GOODS_MVMNT (0069680111)' has been exceeded</t>
  </si>
  <si>
    <t>INC3139875 - Task '8300_IMM_KEY_FIG_1/0069917888' in 'JOBP.ETL.EDW.WS_IMM_8300_KEY_FIG_1' has aborted.</t>
  </si>
  <si>
    <t>INC3143513 - Task 'SAP487_RBC_ABAP/0070407741' in 'JOBP.SAPINTG.GLAA.SAP487_RBC' has aborted - INC3143513 - Task 'SAP487_RBC_ABAP/0070407741' in 'JOBP.SAPINTG.GLAA.SAP487_RBC' has aborted.</t>
  </si>
  <si>
    <t>INC3144874 -  Task 'WF_PROCESS_0CRM_SRV_REQ_INCI_H/0070482103' in 'JOBP.ETL.SAP_CRM_MASTER' has aborted</t>
  </si>
  <si>
    <t>INC31448907 - Task 'SAP069_REVENUE_CHECK_BATCH/0070858654' in 'JOBP.SAPINTG.FICA.CHK_BATCH' has aborted.</t>
  </si>
  <si>
    <t>INC3156681 - Informatica &amp; UC4 connection issues to LDAP</t>
  </si>
  <si>
    <t>INC3164854 - SAP069 was run incorrectly last night and it caused SAP069 to finish sooner than usual. DCSALESIN instead of DLYINIT</t>
  </si>
  <si>
    <t>INC3171801 - Please check health of EP1 server</t>
  </si>
  <si>
    <t xml:space="preserve">INC3172935 - Missing Fuel Quest files (FQ-NLC-CA-02-CT20190707XXXX.CSV and FQ-NLC-US-02-ET20190707XXXX.CSV) INC3173009 - Long running Vistex jobs caused locks to go on later than normal. Not sure why the jobs ran long. </t>
  </si>
  <si>
    <t>INC3171173 - Corporate Users Unable to Connect to Citrix</t>
  </si>
  <si>
    <t>INC3185853 - Task 'SAP133_GLMAIN_ABAP_COR/0074685897' in 'JOBP.SAPINTG.GLHFM.GL_CORP' has aborted.</t>
  </si>
  <si>
    <t>INC3187300 - ina- Job	995033/QSYSOPR/ECOMM_EOD halted</t>
  </si>
  <si>
    <t>INC3188591 - INA-Job 485162/UC4INPRD/RCV_PC_HIR Halted - Finance Accounting Solutions GL/AA</t>
  </si>
  <si>
    <t>INC3190008 - Data Missing in BI Reporting</t>
  </si>
  <si>
    <t>INC3192908 - 4020_GL_12 job running extremely long</t>
  </si>
  <si>
    <t>INC3200028 - Task 'WF_PROCESS__IRM_LIS_RM_IPPRITM/0076049932' in 'JOBP.ETL.SAP_VISTEX' has aborted.</t>
  </si>
  <si>
    <t>INC3206076 - Task 'SAP146_QPAY_ENCRYPT/0076600656' in 'JOBP.SAPINTG.APAR.SAP146_QPAY' has aborted.</t>
  </si>
  <si>
    <t xml:space="preserve"> INA400 job DSLSMUDWKG - email to Michael Tift</t>
  </si>
  <si>
    <t>INC3210672 - Max. runtime of task 'INFA_VISTEX_FINAL (0077063971)' has been exceeded</t>
  </si>
  <si>
    <t>INC3220598 - Task '1010_MASTER_DATA_LANDING/0078108814' in 'JOBP.ETL.EDW.WS_MD_1010_LND' has aborted. - related to INC3220027 - Need to remove and then re-create the crashed tnsnames.ora file in etlp1x and etlp2x</t>
  </si>
  <si>
    <t>INC3223187 - INA - 077162/QSYSOPR/ECOMM_EOD caused a delay of 2 hours before SAP697 received its trigger, which caused a delay in locks which caused a delay in reports.</t>
  </si>
  <si>
    <t>INC3225307 - WhereScape Long running on Server FAIP01US DB R3_ODW_DW for midnight batch date 2019-08-21</t>
  </si>
  <si>
    <t>Iseries Switch and Stay</t>
  </si>
  <si>
    <t>INC3230139 - Task '6030_APAR_DS/0079157078' in 'JOBP.ETL.EDW.WS_APAR_6030_DS' has aborted.</t>
  </si>
  <si>
    <t>INC3231545 - Max. runtime of task 'INFA_AA_0230 (0079228675)'</t>
  </si>
  <si>
    <t>FY</t>
  </si>
  <si>
    <t>Period 1</t>
  </si>
  <si>
    <t>P1 W1</t>
  </si>
  <si>
    <t>FY14</t>
  </si>
  <si>
    <t>Period 2</t>
  </si>
  <si>
    <t>Period 3</t>
  </si>
  <si>
    <t>Period 4</t>
  </si>
  <si>
    <t>Period 5</t>
  </si>
  <si>
    <t>Period 6</t>
  </si>
  <si>
    <t>Period 7</t>
  </si>
  <si>
    <t>Period 8</t>
  </si>
  <si>
    <t>P1 W2</t>
  </si>
  <si>
    <t>Period 9</t>
  </si>
  <si>
    <t>Period 10</t>
  </si>
  <si>
    <t>Period 11</t>
  </si>
  <si>
    <t>Period 12</t>
  </si>
  <si>
    <t>P1 W3</t>
  </si>
  <si>
    <t>P1 W4</t>
  </si>
  <si>
    <t>P2 W1</t>
  </si>
  <si>
    <t>P2 W2</t>
  </si>
  <si>
    <t>P2 W3</t>
  </si>
  <si>
    <t>P2 W4</t>
  </si>
  <si>
    <t>P3 W1</t>
  </si>
  <si>
    <t>P3 W2</t>
  </si>
  <si>
    <t>P3 W3</t>
  </si>
  <si>
    <t>P3 W4</t>
  </si>
  <si>
    <t>P4 W1</t>
  </si>
  <si>
    <t>P4 W2</t>
  </si>
  <si>
    <t>P4 W3</t>
  </si>
  <si>
    <t>P4 W4</t>
  </si>
  <si>
    <t>P5 W1</t>
  </si>
  <si>
    <t>P5 W2</t>
  </si>
  <si>
    <t>P5 W3</t>
  </si>
  <si>
    <t>P5 W4</t>
  </si>
  <si>
    <t>P6 W1</t>
  </si>
  <si>
    <t>P6 W2</t>
  </si>
  <si>
    <t>P6 W3</t>
  </si>
  <si>
    <t>P6 W4</t>
  </si>
  <si>
    <t>P7 W1</t>
  </si>
  <si>
    <t>P7 W2</t>
  </si>
  <si>
    <t>P7 W3</t>
  </si>
  <si>
    <t>P7 W4</t>
  </si>
  <si>
    <t>P8 W1</t>
  </si>
  <si>
    <t>P8 W2</t>
  </si>
  <si>
    <t>P8 W3</t>
  </si>
  <si>
    <t>P8 W4</t>
  </si>
  <si>
    <t>P9 W1</t>
  </si>
  <si>
    <t>P9 W2</t>
  </si>
  <si>
    <t>P9 W3</t>
  </si>
  <si>
    <t>P9 W4</t>
  </si>
  <si>
    <t>P10 W1</t>
  </si>
  <si>
    <t>P10 W2</t>
  </si>
  <si>
    <t>P10 W3</t>
  </si>
  <si>
    <t>P10 W4</t>
  </si>
  <si>
    <t>P11 W1</t>
  </si>
  <si>
    <t>P11 W2</t>
  </si>
  <si>
    <t>P11 W3</t>
  </si>
  <si>
    <t>P11 W4</t>
  </si>
  <si>
    <t>P12 W1</t>
  </si>
  <si>
    <t>P12 W2</t>
  </si>
  <si>
    <t>P12 W3</t>
  </si>
  <si>
    <t>P12 W4</t>
  </si>
  <si>
    <t>P13 W1</t>
  </si>
  <si>
    <t>P13 W2</t>
  </si>
  <si>
    <t>P13 W3</t>
  </si>
  <si>
    <t>P13 W4</t>
  </si>
  <si>
    <t>FY15</t>
  </si>
  <si>
    <t>FY16</t>
  </si>
  <si>
    <t>FY17</t>
  </si>
  <si>
    <t>P13 W5</t>
  </si>
  <si>
    <t>FY22</t>
  </si>
  <si>
    <t>FY23</t>
  </si>
  <si>
    <t>Locks On</t>
  </si>
  <si>
    <t>Locks Off</t>
  </si>
  <si>
    <t>Daily Main Start</t>
  </si>
  <si>
    <t>SLA Met</t>
  </si>
  <si>
    <t>On Time</t>
  </si>
  <si>
    <t>Late</t>
  </si>
  <si>
    <t>ROW_PER_SEC</t>
  </si>
  <si>
    <t>20-Nov-18</t>
  </si>
  <si>
    <t>21-Nov-18</t>
  </si>
  <si>
    <t>22-Nov-18</t>
  </si>
  <si>
    <t>23-Nov-18</t>
  </si>
  <si>
    <t>24-Nov-18</t>
  </si>
  <si>
    <t>25-Nov-18</t>
  </si>
  <si>
    <t>26-Nov-18</t>
  </si>
  <si>
    <t>27-Nov-18</t>
  </si>
  <si>
    <t>28-Nov-18</t>
  </si>
  <si>
    <t>29-Nov-18</t>
  </si>
  <si>
    <t>30-Nov-18</t>
  </si>
  <si>
    <t>01-Dec-18</t>
  </si>
  <si>
    <t>02-Dec-18</t>
  </si>
  <si>
    <t>03-Dec-18</t>
  </si>
  <si>
    <t>04-Dec-18</t>
  </si>
  <si>
    <t>05-Dec-18</t>
  </si>
  <si>
    <t>06-Dec-18</t>
  </si>
  <si>
    <t>07-Dec-18</t>
  </si>
  <si>
    <t>08-Dec-18</t>
  </si>
  <si>
    <t>09-Dec-18</t>
  </si>
  <si>
    <t>10-Dec-18</t>
  </si>
  <si>
    <t>11-Dec-18</t>
  </si>
  <si>
    <t>12-Dec-18</t>
  </si>
  <si>
    <t>13-Dec-18</t>
  </si>
  <si>
    <t>14-Dec-18</t>
  </si>
  <si>
    <t>15-Dec-18</t>
  </si>
  <si>
    <t>16-Dec-18</t>
  </si>
  <si>
    <t>17-Dec-18</t>
  </si>
  <si>
    <t>18-Dec-18</t>
  </si>
  <si>
    <t>19-Dec-18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</si>
</sst>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0.0%"/>
    <numFmt numFmtId="165" formatCode="M/d/yyyy"/>
    <numFmt numFmtId="166" formatCode="h:mm:ss am/pm"/>
    <numFmt numFmtId="167" formatCode="00"/>
    <numFmt numFmtId="168" formatCode="dd-mmm-yy"/>
    <numFmt numFmtId="169" formatCode="d-mmm-yy"/>
    <numFmt numFmtId="170" formatCode="d-mmmm-yy"/>
    <numFmt numFmtId="171" formatCode="dd-mmmm-yy"/>
    <numFmt numFmtId="172" formatCode="h:mm am/pm"/>
    <numFmt numFmtId="173" formatCode="m&quot;/&quot;d&quot;/&quot;yy"/>
    <numFmt numFmtId="174" formatCode="d-mmm-yy h:mm:ss"/>
    <numFmt numFmtId="175" formatCode="dd-mmm-yy h:mm:ss"/>
  </numFmts>
  <fonts count="48">
    <font>
      <sz val="10.0"/>
      <color rgb="FF000000"/>
      <name val="Arial"/>
    </font>
    <font>
      <b/>
    </font>
    <font/>
    <font>
      <color rgb="FF000000"/>
    </font>
    <font>
      <sz val="11.0"/>
      <color rgb="FF000000"/>
      <name val="Inconsolata"/>
    </font>
    <font>
      <color rgb="FFFFFFFF"/>
      <name val="Courier New"/>
    </font>
    <font>
      <name val="Courier New"/>
    </font>
    <font>
      <sz val="11.0"/>
      <color rgb="FF202124"/>
      <name val="Roboto"/>
    </font>
    <font>
      <name val="Arial"/>
    </font>
    <font>
      <color rgb="FF222222"/>
      <name val="Roboto"/>
    </font>
    <font>
      <b/>
      <color rgb="FF000000"/>
      <name val="Arial"/>
    </font>
    <font>
      <u/>
      <sz val="11.0"/>
      <color rgb="FF222222"/>
      <name val="Arial"/>
    </font>
    <font>
      <b/>
      <sz val="9.0"/>
      <color rgb="FFFFFFFF"/>
      <name val="Arial"/>
    </font>
    <font>
      <b/>
      <sz val="8.0"/>
      <name val="Arial"/>
    </font>
    <font>
      <sz val="10.0"/>
      <name val="Courier New"/>
    </font>
    <font>
      <color rgb="FF263238"/>
      <name val="Roboto"/>
    </font>
    <font>
      <color rgb="FF1155CC"/>
      <name val="Roboto"/>
    </font>
    <font>
      <u/>
      <sz val="11.0"/>
      <color rgb="FF000000"/>
      <name val="Arial"/>
    </font>
    <font>
      <sz val="9.0"/>
      <color rgb="FF455464"/>
      <name val="Arial"/>
    </font>
    <font>
      <color rgb="FF222222"/>
      <name val="Arial"/>
    </font>
    <font>
      <color rgb="FF222222"/>
      <name val="Georgia"/>
    </font>
    <font>
      <sz val="9.0"/>
      <color rgb="FF455464"/>
      <name val="SourceSansPro"/>
    </font>
    <font>
      <i/>
      <sz val="11.0"/>
      <color rgb="FF263238"/>
      <name val="Arial"/>
    </font>
    <font>
      <sz val="9.0"/>
      <color rgb="FF485563"/>
      <name val="SourceSansPro"/>
    </font>
    <font>
      <color rgb="FF1155CC"/>
      <name val="Arial"/>
    </font>
    <font>
      <color rgb="FF262626"/>
      <name val="Roboto"/>
    </font>
    <font>
      <color rgb="FF000000"/>
      <name val="Georgia"/>
    </font>
    <font>
      <color rgb="FF000000"/>
      <name val="Courier New"/>
    </font>
    <font>
      <b/>
      <color rgb="FF222222"/>
      <name val="Arial"/>
    </font>
    <font>
      <color rgb="FF343D47"/>
      <name val="Arial"/>
    </font>
    <font>
      <sz val="11.0"/>
      <color rgb="FF000000"/>
      <name val="Arial"/>
    </font>
    <font>
      <sz val="11.0"/>
      <color rgb="FF222222"/>
      <name val="Arial"/>
    </font>
    <font>
      <color rgb="FF000000"/>
      <name val="Arial"/>
    </font>
    <font>
      <color rgb="FF202124"/>
      <name val="Arial"/>
    </font>
    <font>
      <sz val="0.0"/>
      <color rgb="FF222222"/>
      <name val="Roboto"/>
    </font>
    <font>
      <sz val="11.0"/>
      <color rgb="FF000000"/>
      <name val="Georgia"/>
    </font>
    <font>
      <color rgb="FF263238"/>
      <name val="Arial"/>
    </font>
    <font>
      <i/>
      <sz val="11.0"/>
      <color rgb="FF000000"/>
      <name val="Arial"/>
    </font>
    <font>
      <color rgb="FF262626"/>
      <name val="Arial"/>
    </font>
    <font>
      <b/>
      <sz val="11.0"/>
      <color rgb="FF000000"/>
      <name val="Arial"/>
    </font>
    <font>
      <u/>
      <color rgb="FF222222"/>
      <name val="Arial"/>
    </font>
    <font>
      <u/>
      <color rgb="FF263238"/>
      <name val="Roboto"/>
    </font>
    <font>
      <sz val="10.0"/>
      <color rgb="FF000000"/>
      <name val="Courier New"/>
    </font>
    <font>
      <u/>
      <color rgb="FF263238"/>
      <name val="Roboto"/>
    </font>
    <font>
      <u/>
      <color rgb="FF343D47"/>
      <name val="Arial"/>
    </font>
    <font>
      <color rgb="FF263238"/>
      <name val="Courier New"/>
    </font>
    <font>
      <sz val="11.0"/>
      <name val="Arial"/>
    </font>
    <font>
      <color rgb="FF262626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000000"/>
        <bgColor rgb="FF000000"/>
      </patternFill>
    </fill>
    <fill>
      <patternFill patternType="solid">
        <fgColor rgb="FFF8F9FA"/>
        <bgColor rgb="FFF8F9FA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B7E1CD"/>
        <bgColor rgb="FFB7E1CD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bottom style="thin">
        <color rgb="FFFFFFFF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FFFFFF"/>
      </top>
    </border>
    <border>
      <right/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/>
    </xf>
    <xf borderId="4" fillId="3" fontId="3" numFmtId="0" xfId="0" applyAlignment="1" applyBorder="1" applyFill="1" applyFont="1">
      <alignment readingOrder="0"/>
    </xf>
    <xf borderId="4" fillId="3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4" fontId="2" numFmtId="0" xfId="0" applyAlignment="1" applyBorder="1" applyFill="1" applyFont="1">
      <alignment readingOrder="0" shrinkToFit="0" wrapText="1"/>
    </xf>
    <xf borderId="4" fillId="0" fontId="2" numFmtId="0" xfId="0" applyBorder="1" applyFont="1"/>
    <xf borderId="4" fillId="0" fontId="1" numFmtId="0" xfId="0" applyAlignment="1" applyBorder="1" applyFont="1">
      <alignment horizontal="center" readingOrder="0"/>
    </xf>
    <xf borderId="4" fillId="3" fontId="3" numFmtId="0" xfId="0" applyBorder="1" applyFont="1"/>
    <xf borderId="4" fillId="3" fontId="3" numFmtId="0" xfId="0" applyAlignment="1" applyBorder="1" applyFont="1">
      <alignment horizontal="center"/>
    </xf>
    <xf borderId="4" fillId="5" fontId="2" numFmtId="0" xfId="0" applyAlignment="1" applyBorder="1" applyFill="1" applyFont="1">
      <alignment readingOrder="0" shrinkToFit="0" wrapText="1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  <xf borderId="4" fillId="4" fontId="3" numFmtId="0" xfId="0" applyAlignment="1" applyBorder="1" applyFont="1">
      <alignment horizontal="center"/>
    </xf>
    <xf borderId="4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6" fontId="1" numFmtId="0" xfId="0" applyAlignment="1" applyFill="1" applyFont="1">
      <alignment readingOrder="0" shrinkToFit="0" wrapText="1"/>
    </xf>
    <xf borderId="0" fillId="2" fontId="1" numFmtId="0" xfId="0" applyAlignment="1" applyFont="1">
      <alignment horizontal="center" readingOrder="0"/>
    </xf>
    <xf borderId="0" fillId="3" fontId="4" numFmtId="0" xfId="0" applyFont="1"/>
    <xf borderId="0" fillId="3" fontId="2" numFmtId="0" xfId="0" applyFont="1"/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0" xfId="0" applyFont="1" applyNumberFormat="1"/>
    <xf borderId="5" fillId="3" fontId="3" numFmtId="0" xfId="0" applyBorder="1" applyFont="1"/>
    <xf borderId="0" fillId="3" fontId="3" numFmtId="0" xfId="0" applyAlignment="1" applyFont="1">
      <alignment horizontal="center"/>
    </xf>
    <xf borderId="6" fillId="7" fontId="5" numFmtId="165" xfId="0" applyAlignment="1" applyBorder="1" applyFill="1" applyFont="1" applyNumberFormat="1">
      <alignment horizontal="center"/>
    </xf>
    <xf borderId="5" fillId="7" fontId="5" numFmtId="0" xfId="0" applyAlignment="1" applyBorder="1" applyFont="1">
      <alignment horizontal="center" readingOrder="0" shrinkToFit="0" vertical="bottom" wrapText="1"/>
    </xf>
    <xf borderId="7" fillId="7" fontId="5" numFmtId="0" xfId="0" applyAlignment="1" applyBorder="1" applyFont="1">
      <alignment readingOrder="0" vertical="bottom"/>
    </xf>
    <xf borderId="7" fillId="7" fontId="5" numFmtId="0" xfId="0" applyAlignment="1" applyBorder="1" applyFont="1">
      <alignment vertical="bottom"/>
    </xf>
    <xf borderId="7" fillId="7" fontId="5" numFmtId="167" xfId="0" applyAlignment="1" applyBorder="1" applyFont="1" applyNumberFormat="1">
      <alignment readingOrder="0" vertical="bottom"/>
    </xf>
    <xf borderId="7" fillId="7" fontId="5" numFmtId="0" xfId="0" applyAlignment="1" applyBorder="1" applyFont="1">
      <alignment horizontal="center" vertical="bottom"/>
    </xf>
    <xf borderId="7" fillId="7" fontId="5" numFmtId="0" xfId="0" applyAlignment="1" applyBorder="1" applyFont="1">
      <alignment horizontal="center" readingOrder="0" vertical="bottom"/>
    </xf>
    <xf borderId="0" fillId="0" fontId="6" numFmtId="165" xfId="0" applyAlignment="1" applyFont="1" applyNumberFormat="1">
      <alignment readingOrder="0" vertical="bottom"/>
    </xf>
    <xf borderId="0" fillId="3" fontId="6" numFmtId="0" xfId="0" applyAlignment="1" applyFont="1">
      <alignment readingOrder="0" vertical="bottom"/>
    </xf>
    <xf borderId="0" fillId="3" fontId="6" numFmtId="166" xfId="0" applyAlignment="1" applyFont="1" applyNumberFormat="1">
      <alignment vertical="bottom"/>
    </xf>
    <xf borderId="0" fillId="0" fontId="6" numFmtId="166" xfId="0" applyAlignment="1" applyFont="1" applyNumberFormat="1">
      <alignment vertical="bottom"/>
    </xf>
    <xf borderId="0" fillId="0" fontId="2" numFmtId="166" xfId="0" applyAlignment="1" applyFont="1" applyNumberFormat="1">
      <alignment readingOrder="0"/>
    </xf>
    <xf borderId="0" fillId="3" fontId="4" numFmtId="3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8" numFmtId="166" xfId="0" applyAlignment="1" applyFont="1" applyNumberFormat="1">
      <alignment vertical="bottom"/>
    </xf>
    <xf borderId="0" fillId="8" fontId="7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3" fontId="10" numFmtId="0" xfId="0" applyAlignment="1" applyFont="1">
      <alignment horizontal="left" readingOrder="0"/>
    </xf>
    <xf borderId="0" fillId="3" fontId="11" numFmtId="0" xfId="0" applyAlignment="1" applyFont="1">
      <alignment readingOrder="0"/>
    </xf>
    <xf borderId="0" fillId="9" fontId="6" numFmtId="166" xfId="0" applyAlignment="1" applyFill="1" applyFont="1" applyNumberFormat="1">
      <alignment vertical="bottom"/>
    </xf>
    <xf borderId="0" fillId="10" fontId="6" numFmtId="166" xfId="0" applyAlignment="1" applyFill="1" applyFont="1" applyNumberFormat="1">
      <alignment vertical="bottom"/>
    </xf>
    <xf borderId="8" fillId="0" fontId="8" numFmtId="0" xfId="0" applyAlignment="1" applyBorder="1" applyFont="1">
      <alignment vertical="bottom"/>
    </xf>
    <xf borderId="8" fillId="11" fontId="12" numFmtId="0" xfId="0" applyAlignment="1" applyBorder="1" applyFill="1" applyFont="1">
      <alignment horizontal="center" readingOrder="0" shrinkToFit="0" vertical="bottom" wrapText="1"/>
    </xf>
    <xf borderId="8" fillId="0" fontId="2" numFmtId="0" xfId="0" applyBorder="1" applyFont="1"/>
    <xf borderId="9" fillId="0" fontId="2" numFmtId="0" xfId="0" applyBorder="1" applyFont="1"/>
    <xf borderId="0" fillId="0" fontId="8" numFmtId="0" xfId="0" applyAlignment="1" applyFont="1">
      <alignment vertical="bottom"/>
    </xf>
    <xf borderId="10" fillId="12" fontId="8" numFmtId="0" xfId="0" applyAlignment="1" applyBorder="1" applyFill="1" applyFont="1">
      <alignment vertical="bottom"/>
    </xf>
    <xf borderId="9" fillId="12" fontId="13" numFmtId="0" xfId="0" applyAlignment="1" applyBorder="1" applyFont="1">
      <alignment horizontal="center" readingOrder="0" vertical="bottom"/>
    </xf>
    <xf borderId="9" fillId="12" fontId="13" numFmtId="0" xfId="0" applyAlignment="1" applyBorder="1" applyFont="1">
      <alignment horizontal="center" vertical="bottom"/>
    </xf>
    <xf borderId="10" fillId="3" fontId="8" numFmtId="0" xfId="0" applyAlignment="1" applyBorder="1" applyFont="1">
      <alignment vertical="bottom"/>
    </xf>
    <xf borderId="9" fillId="3" fontId="8" numFmtId="3" xfId="0" applyAlignment="1" applyBorder="1" applyFont="1" applyNumberFormat="1">
      <alignment horizontal="center" readingOrder="0" vertical="bottom"/>
    </xf>
    <xf borderId="9" fillId="3" fontId="8" numFmtId="164" xfId="0" applyAlignment="1" applyBorder="1" applyFont="1" applyNumberFormat="1">
      <alignment horizontal="center" vertical="bottom"/>
    </xf>
    <xf borderId="9" fillId="3" fontId="8" numFmtId="10" xfId="0" applyAlignment="1" applyBorder="1" applyFont="1" applyNumberFormat="1">
      <alignment horizontal="center" readingOrder="0" vertical="bottom"/>
    </xf>
    <xf borderId="9" fillId="3" fontId="8" numFmtId="3" xfId="0" applyAlignment="1" applyBorder="1" applyFont="1" applyNumberFormat="1">
      <alignment readingOrder="0" vertical="bottom"/>
    </xf>
    <xf borderId="9" fillId="3" fontId="8" numFmtId="3" xfId="0" applyAlignment="1" applyBorder="1" applyFont="1" applyNumberFormat="1">
      <alignment horizontal="center" vertical="bottom"/>
    </xf>
    <xf borderId="5" fillId="7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14" numFmtId="166" xfId="0" applyAlignment="1" applyFont="1" applyNumberFormat="1">
      <alignment horizontal="left" readingOrder="0"/>
    </xf>
    <xf borderId="0" fillId="0" fontId="15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3" fontId="15" numFmtId="0" xfId="0" applyAlignment="1" applyFont="1">
      <alignment horizontal="left" readingOrder="0"/>
    </xf>
    <xf borderId="0" fillId="3" fontId="16" numFmtId="0" xfId="0" applyAlignment="1" applyFont="1">
      <alignment horizontal="center" readingOrder="0"/>
    </xf>
    <xf borderId="0" fillId="0" fontId="17" numFmtId="0" xfId="0" applyAlignment="1" applyFont="1">
      <alignment readingOrder="0"/>
    </xf>
    <xf borderId="0" fillId="3" fontId="18" numFmtId="0" xfId="0" applyAlignment="1" applyFont="1">
      <alignment horizontal="left" readingOrder="0"/>
    </xf>
    <xf borderId="0" fillId="10" fontId="6" numFmtId="165" xfId="0" applyAlignment="1" applyFont="1" applyNumberFormat="1">
      <alignment readingOrder="0" vertical="bottom"/>
    </xf>
    <xf borderId="0" fillId="10" fontId="6" numFmtId="0" xfId="0" applyAlignment="1" applyFont="1">
      <alignment readingOrder="0" vertical="bottom"/>
    </xf>
    <xf borderId="0" fillId="3" fontId="3" numFmtId="0" xfId="0" applyAlignment="1" applyFont="1">
      <alignment readingOrder="0"/>
    </xf>
    <xf borderId="0" fillId="3" fontId="19" numFmtId="0" xfId="0" applyAlignment="1" applyFont="1">
      <alignment readingOrder="0"/>
    </xf>
    <xf borderId="0" fillId="3" fontId="20" numFmtId="0" xfId="0" applyAlignment="1" applyFont="1">
      <alignment readingOrder="0"/>
    </xf>
    <xf borderId="0" fillId="3" fontId="21" numFmtId="0" xfId="0" applyAlignment="1" applyFont="1">
      <alignment horizontal="left" readingOrder="0"/>
    </xf>
    <xf borderId="11" fillId="0" fontId="6" numFmtId="166" xfId="0" applyAlignment="1" applyBorder="1" applyFont="1" applyNumberFormat="1">
      <alignment readingOrder="0" vertical="bottom"/>
    </xf>
    <xf borderId="0" fillId="0" fontId="6" numFmtId="166" xfId="0" applyAlignment="1" applyFont="1" applyNumberFormat="1">
      <alignment readingOrder="0" vertical="bottom"/>
    </xf>
    <xf borderId="0" fillId="9" fontId="6" numFmtId="165" xfId="0" applyAlignment="1" applyFont="1" applyNumberFormat="1">
      <alignment readingOrder="0" vertical="bottom"/>
    </xf>
    <xf borderId="0" fillId="9" fontId="6" numFmtId="0" xfId="0" applyAlignment="1" applyFont="1">
      <alignment readingOrder="0" vertical="bottom"/>
    </xf>
    <xf borderId="11" fillId="9" fontId="6" numFmtId="166" xfId="0" applyAlignment="1" applyBorder="1" applyFont="1" applyNumberFormat="1">
      <alignment readingOrder="0" vertical="bottom"/>
    </xf>
    <xf borderId="0" fillId="3" fontId="22" numFmtId="0" xfId="0" applyAlignment="1" applyFont="1">
      <alignment readingOrder="0"/>
    </xf>
    <xf borderId="0" fillId="3" fontId="23" numFmtId="0" xfId="0" applyAlignment="1" applyFont="1">
      <alignment horizontal="left" readingOrder="0"/>
    </xf>
    <xf borderId="11" fillId="0" fontId="6" numFmtId="166" xfId="0" applyAlignment="1" applyBorder="1" applyFont="1" applyNumberFormat="1">
      <alignment vertical="bottom"/>
    </xf>
    <xf borderId="0" fillId="3" fontId="24" numFmtId="0" xfId="0" applyAlignment="1" applyFont="1">
      <alignment readingOrder="0"/>
    </xf>
    <xf borderId="0" fillId="3" fontId="25" numFmtId="0" xfId="0" applyAlignment="1" applyFont="1">
      <alignment horizontal="left" readingOrder="0"/>
    </xf>
    <xf borderId="0" fillId="3" fontId="15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wrapText="0"/>
    </xf>
    <xf borderId="0" fillId="3" fontId="26" numFmtId="0" xfId="0" applyAlignment="1" applyFont="1">
      <alignment readingOrder="0"/>
    </xf>
    <xf borderId="11" fillId="0" fontId="27" numFmtId="166" xfId="0" applyAlignment="1" applyBorder="1" applyFont="1" applyNumberFormat="1">
      <alignment readingOrder="0" vertical="bottom"/>
    </xf>
    <xf borderId="0" fillId="0" fontId="27" numFmtId="166" xfId="0" applyAlignment="1" applyFont="1" applyNumberFormat="1">
      <alignment readingOrder="0" vertical="bottom"/>
    </xf>
    <xf borderId="0" fillId="3" fontId="28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29" numFmtId="0" xfId="0" applyAlignment="1" applyFont="1">
      <alignment readingOrder="0"/>
    </xf>
    <xf borderId="0" fillId="3" fontId="30" numFmtId="0" xfId="0" applyAlignment="1" applyFont="1">
      <alignment readingOrder="0"/>
    </xf>
    <xf borderId="0" fillId="3" fontId="31" numFmtId="0" xfId="0" applyAlignment="1" applyFont="1">
      <alignment readingOrder="0"/>
    </xf>
    <xf borderId="0" fillId="3" fontId="15" numFmtId="0" xfId="0" applyAlignment="1" applyFont="1">
      <alignment horizontal="left" readingOrder="0" shrinkToFit="0" vertical="top" wrapText="1"/>
    </xf>
    <xf borderId="0" fillId="3" fontId="32" numFmtId="0" xfId="0" applyAlignment="1" applyFont="1">
      <alignment horizontal="left" readingOrder="0"/>
    </xf>
    <xf borderId="0" fillId="3" fontId="33" numFmtId="0" xfId="0" applyAlignment="1" applyFont="1">
      <alignment readingOrder="0"/>
    </xf>
    <xf borderId="0" fillId="3" fontId="34" numFmtId="0" xfId="0" applyAlignment="1" applyFont="1">
      <alignment vertical="bottom"/>
    </xf>
    <xf borderId="0" fillId="3" fontId="35" numFmtId="0" xfId="0" applyAlignment="1" applyFont="1">
      <alignment readingOrder="0"/>
    </xf>
    <xf borderId="0" fillId="3" fontId="32" numFmtId="166" xfId="0" applyAlignment="1" applyFont="1" applyNumberFormat="1">
      <alignment vertical="bottom"/>
    </xf>
    <xf borderId="0" fillId="0" fontId="32" numFmtId="166" xfId="0" applyAlignment="1" applyFont="1" applyNumberFormat="1">
      <alignment horizontal="right" vertical="bottom"/>
    </xf>
    <xf borderId="0" fillId="3" fontId="36" numFmtId="0" xfId="0" applyAlignment="1" applyFont="1">
      <alignment readingOrder="0"/>
    </xf>
    <xf borderId="0" fillId="3" fontId="2" numFmtId="10" xfId="0" applyAlignment="1" applyFont="1" applyNumberFormat="1">
      <alignment readingOrder="0"/>
    </xf>
    <xf borderId="0" fillId="3" fontId="25" numFmtId="0" xfId="0" applyAlignment="1" applyFont="1">
      <alignment shrinkToFit="0" vertical="top" wrapText="1"/>
    </xf>
    <xf borderId="0" fillId="0" fontId="36" numFmtId="166" xfId="0" applyAlignment="1" applyFont="1" applyNumberFormat="1">
      <alignment vertical="bottom"/>
    </xf>
    <xf borderId="0" fillId="3" fontId="37" numFmtId="0" xfId="0" applyAlignment="1" applyFont="1">
      <alignment readingOrder="0"/>
    </xf>
    <xf borderId="0" fillId="3" fontId="38" numFmtId="166" xfId="0" applyAlignment="1" applyFont="1" applyNumberFormat="1">
      <alignment vertical="bottom"/>
    </xf>
    <xf borderId="0" fillId="3" fontId="39" numFmtId="0" xfId="0" applyAlignment="1" applyFont="1">
      <alignment readingOrder="0"/>
    </xf>
    <xf borderId="0" fillId="0" fontId="6" numFmtId="165" xfId="0" applyAlignment="1" applyFont="1" applyNumberFormat="1">
      <alignment vertical="bottom"/>
    </xf>
    <xf borderId="0" fillId="0" fontId="2" numFmtId="165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8" xfId="0" applyAlignment="1" applyFont="1" applyNumberFormat="1">
      <alignment horizontal="left" readingOrder="0"/>
    </xf>
    <xf borderId="0" fillId="0" fontId="2" numFmtId="21" xfId="0" applyAlignment="1" applyFont="1" applyNumberFormat="1">
      <alignment horizontal="left" readingOrder="0"/>
    </xf>
    <xf borderId="0" fillId="0" fontId="2" numFmtId="3" xfId="0" applyAlignment="1" applyFont="1" applyNumberFormat="1">
      <alignment horizontal="left" readingOrder="0"/>
    </xf>
    <xf borderId="0" fillId="0" fontId="2" numFmtId="169" xfId="0" applyAlignment="1" applyFont="1" applyNumberFormat="1">
      <alignment horizontal="left" readingOrder="0"/>
    </xf>
    <xf borderId="0" fillId="13" fontId="2" numFmtId="168" xfId="0" applyAlignment="1" applyFill="1" applyFont="1" applyNumberFormat="1">
      <alignment horizontal="left" readingOrder="0"/>
    </xf>
    <xf borderId="0" fillId="13" fontId="2" numFmtId="21" xfId="0" applyAlignment="1" applyFont="1" applyNumberFormat="1">
      <alignment horizontal="left" readingOrder="0"/>
    </xf>
    <xf borderId="0" fillId="13" fontId="2" numFmtId="3" xfId="0" applyAlignment="1" applyFont="1" applyNumberFormat="1">
      <alignment horizontal="left" readingOrder="0"/>
    </xf>
    <xf borderId="0" fillId="13" fontId="2" numFmtId="169" xfId="0" applyAlignment="1" applyFont="1" applyNumberFormat="1">
      <alignment horizontal="left" readingOrder="0"/>
    </xf>
    <xf borderId="0" fillId="13" fontId="2" numFmtId="0" xfId="0" applyAlignment="1" applyFont="1">
      <alignment horizontal="left" readingOrder="0"/>
    </xf>
    <xf borderId="0" fillId="13" fontId="2" numFmtId="0" xfId="0" applyAlignment="1" applyFont="1">
      <alignment horizontal="left"/>
    </xf>
    <xf borderId="0" fillId="0" fontId="2" numFmtId="170" xfId="0" applyAlignment="1" applyFont="1" applyNumberFormat="1">
      <alignment horizontal="left" readingOrder="0"/>
    </xf>
    <xf borderId="0" fillId="0" fontId="2" numFmtId="171" xfId="0" applyAlignment="1" applyFont="1" applyNumberFormat="1">
      <alignment horizontal="left" readingOrder="0"/>
    </xf>
    <xf borderId="0" fillId="0" fontId="2" numFmtId="3" xfId="0" applyAlignment="1" applyFont="1" applyNumberFormat="1">
      <alignment horizontal="left"/>
    </xf>
    <xf borderId="0" fillId="13" fontId="6" numFmtId="165" xfId="0" applyAlignment="1" applyFont="1" applyNumberFormat="1">
      <alignment vertical="bottom"/>
    </xf>
    <xf borderId="0" fillId="13" fontId="6" numFmtId="0" xfId="0" applyAlignment="1" applyFont="1">
      <alignment readingOrder="0" vertical="bottom"/>
    </xf>
    <xf borderId="0" fillId="13" fontId="6" numFmtId="166" xfId="0" applyAlignment="1" applyFont="1" applyNumberFormat="1">
      <alignment vertical="bottom"/>
    </xf>
    <xf borderId="0" fillId="14" fontId="6" numFmtId="166" xfId="0" applyAlignment="1" applyFill="1" applyFont="1" applyNumberFormat="1">
      <alignment vertical="bottom"/>
    </xf>
    <xf borderId="0" fillId="0" fontId="2" numFmtId="0" xfId="0" applyFont="1"/>
    <xf borderId="0" fillId="0" fontId="19" numFmtId="0" xfId="0" applyAlignment="1" applyFont="1">
      <alignment readingOrder="0"/>
    </xf>
    <xf borderId="0" fillId="15" fontId="2" numFmtId="0" xfId="0" applyAlignment="1" applyFill="1" applyFont="1">
      <alignment readingOrder="0"/>
    </xf>
    <xf borderId="0" fillId="0" fontId="15" numFmtId="0" xfId="0" applyAlignment="1" applyFont="1">
      <alignment horizontal="left" readingOrder="0" shrinkToFit="0" wrapText="1"/>
    </xf>
    <xf borderId="0" fillId="3" fontId="40" numFmtId="0" xfId="0" applyAlignment="1" applyFont="1">
      <alignment readingOrder="0"/>
    </xf>
    <xf borderId="0" fillId="0" fontId="41" numFmtId="0" xfId="0" applyAlignment="1" applyFont="1">
      <alignment horizontal="left" readingOrder="0"/>
    </xf>
    <xf borderId="11" fillId="0" fontId="27" numFmtId="166" xfId="0" applyAlignment="1" applyBorder="1" applyFont="1" applyNumberFormat="1">
      <alignment vertical="bottom"/>
    </xf>
    <xf borderId="0" fillId="0" fontId="27" numFmtId="166" xfId="0" applyAlignment="1" applyFont="1" applyNumberFormat="1">
      <alignment vertical="bottom"/>
    </xf>
    <xf borderId="0" fillId="0" fontId="42" numFmtId="166" xfId="0" applyAlignment="1" applyFont="1" applyNumberFormat="1">
      <alignment horizontal="left" readingOrder="0" shrinkToFit="0" vertical="bottom" wrapText="0"/>
    </xf>
    <xf borderId="12" fillId="0" fontId="8" numFmtId="166" xfId="0" applyAlignment="1" applyBorder="1" applyFont="1" applyNumberFormat="1">
      <alignment shrinkToFit="0" vertical="bottom" wrapText="0"/>
    </xf>
    <xf borderId="0" fillId="13" fontId="2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5" fillId="16" fontId="3" numFmtId="0" xfId="0" applyBorder="1" applyFill="1" applyFont="1"/>
    <xf borderId="0" fillId="3" fontId="43" numFmtId="0" xfId="0" applyAlignment="1" applyFont="1">
      <alignment horizontal="left" readingOrder="0" shrinkToFit="0" vertical="top" wrapText="1"/>
    </xf>
    <xf borderId="0" fillId="17" fontId="6" numFmtId="165" xfId="0" applyAlignment="1" applyFill="1" applyFont="1" applyNumberFormat="1">
      <alignment vertical="bottom"/>
    </xf>
    <xf borderId="0" fillId="17" fontId="6" numFmtId="0" xfId="0" applyAlignment="1" applyFont="1">
      <alignment readingOrder="0" vertical="bottom"/>
    </xf>
    <xf borderId="0" fillId="17" fontId="6" numFmtId="166" xfId="0" applyAlignment="1" applyFont="1" applyNumberFormat="1">
      <alignment vertical="bottom"/>
    </xf>
    <xf borderId="0" fillId="10" fontId="6" numFmtId="165" xfId="0" applyAlignment="1" applyFont="1" applyNumberFormat="1">
      <alignment vertical="bottom"/>
    </xf>
    <xf borderId="0" fillId="0" fontId="44" numFmtId="0" xfId="0" applyAlignment="1" applyFont="1">
      <alignment readingOrder="0"/>
    </xf>
    <xf borderId="0" fillId="3" fontId="27" numFmtId="166" xfId="0" applyAlignment="1" applyFont="1" applyNumberFormat="1">
      <alignment vertical="bottom"/>
    </xf>
    <xf borderId="0" fillId="0" fontId="27" numFmtId="166" xfId="0" applyAlignment="1" applyFont="1" applyNumberFormat="1">
      <alignment horizontal="right" vertical="bottom"/>
    </xf>
    <xf borderId="0" fillId="0" fontId="2" numFmtId="10" xfId="0" applyAlignment="1" applyFont="1" applyNumberFormat="1">
      <alignment readingOrder="0"/>
    </xf>
    <xf borderId="0" fillId="0" fontId="15" numFmtId="0" xfId="0" applyAlignment="1" applyFont="1">
      <alignment horizontal="left" readingOrder="0" shrinkToFit="0" vertical="top" wrapText="1"/>
    </xf>
    <xf borderId="0" fillId="0" fontId="25" numFmtId="0" xfId="0" applyAlignment="1" applyFont="1">
      <alignment shrinkToFit="0" vertical="top" wrapText="1"/>
    </xf>
    <xf borderId="0" fillId="18" fontId="6" numFmtId="166" xfId="0" applyAlignment="1" applyFill="1" applyFont="1" applyNumberFormat="1">
      <alignment vertical="bottom"/>
    </xf>
    <xf borderId="0" fillId="0" fontId="6" numFmtId="21" xfId="0" applyAlignment="1" applyFont="1" applyNumberFormat="1">
      <alignment vertical="bottom"/>
    </xf>
    <xf borderId="0" fillId="0" fontId="45" numFmtId="166" xfId="0" applyAlignment="1" applyFont="1" applyNumberFormat="1">
      <alignment vertical="bottom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vertical="bottom"/>
    </xf>
    <xf borderId="0" fillId="0" fontId="8" numFmtId="14" xfId="0" applyAlignment="1" applyFont="1" applyNumberFormat="1">
      <alignment horizontal="left" shrinkToFit="0" vertical="bottom" wrapText="0"/>
    </xf>
    <xf borderId="0" fillId="0" fontId="8" numFmtId="172" xfId="0" applyAlignment="1" applyFont="1" applyNumberFormat="1">
      <alignment shrinkToFit="0" vertical="bottom" wrapText="0"/>
    </xf>
    <xf borderId="0" fillId="0" fontId="8" numFmtId="172" xfId="0" applyAlignment="1" applyFont="1" applyNumberFormat="1">
      <alignment horizontal="left" vertical="bottom"/>
    </xf>
    <xf borderId="0" fillId="0" fontId="46" numFmtId="14" xfId="0" applyAlignment="1" applyFont="1" applyNumberFormat="1">
      <alignment vertical="bottom"/>
    </xf>
    <xf borderId="0" fillId="0" fontId="46" numFmtId="0" xfId="0" applyAlignment="1" applyFont="1">
      <alignment vertical="bottom"/>
    </xf>
    <xf borderId="0" fillId="2" fontId="1" numFmtId="0" xfId="0" applyAlignment="1" applyFont="1">
      <alignment readingOrder="0"/>
    </xf>
    <xf borderId="0" fillId="9" fontId="6" numFmtId="173" xfId="0" applyAlignment="1" applyFont="1" applyNumberFormat="1">
      <alignment vertical="bottom"/>
    </xf>
    <xf borderId="0" fillId="0" fontId="6" numFmtId="173" xfId="0" applyAlignment="1" applyFont="1" applyNumberFormat="1">
      <alignment vertical="bottom"/>
    </xf>
    <xf borderId="0" fillId="0" fontId="8" numFmtId="166" xfId="0" applyAlignment="1" applyFont="1" applyNumberFormat="1">
      <alignment vertical="bottom"/>
    </xf>
    <xf borderId="0" fillId="0" fontId="6" numFmtId="173" xfId="0" applyAlignment="1" applyFont="1" applyNumberFormat="1">
      <alignment vertical="bottom"/>
    </xf>
    <xf borderId="0" fillId="0" fontId="6" numFmtId="20" xfId="0" applyAlignment="1" applyFont="1" applyNumberFormat="1">
      <alignment vertical="bottom"/>
    </xf>
    <xf borderId="0" fillId="3" fontId="47" numFmtId="166" xfId="0" applyAlignment="1" applyFont="1" applyNumberFormat="1">
      <alignment vertical="bottom"/>
    </xf>
    <xf borderId="0" fillId="12" fontId="6" numFmtId="173" xfId="0" applyAlignment="1" applyFont="1" applyNumberFormat="1">
      <alignment vertical="bottom"/>
    </xf>
    <xf borderId="0" fillId="12" fontId="8" numFmtId="166" xfId="0" applyAlignment="1" applyFont="1" applyNumberFormat="1">
      <alignment vertical="bottom"/>
    </xf>
    <xf borderId="0" fillId="12" fontId="6" numFmtId="166" xfId="0" applyAlignment="1" applyFont="1" applyNumberFormat="1">
      <alignment vertical="bottom"/>
    </xf>
    <xf borderId="0" fillId="0" fontId="2" numFmtId="174" xfId="0" applyAlignment="1" applyFont="1" applyNumberFormat="1">
      <alignment horizontal="left" readingOrder="0"/>
    </xf>
    <xf borderId="0" fillId="0" fontId="2" numFmtId="175" xfId="0" applyAlignment="1" applyFont="1" applyNumberFormat="1">
      <alignment horizontal="left" readingOrder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pivotCacheDefinition" Target="pivotCache/pivotCacheDefinition3.xml"/><Relationship Id="rId6" Type="http://schemas.openxmlformats.org/officeDocument/2006/relationships/worksheet" Target="worksheets/sheet4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'2LIS_06_INV  - Runtime &gt; 10 min'!$C$1</c:f>
            </c:strRef>
          </c:tx>
          <c:marker>
            <c:symbol val="none"/>
          </c:marker>
          <c:cat>
            <c:strRef>
              <c:f>'2LIS_06_INV  - Runtime &gt; 10 min'!$A$2:$A$980</c:f>
            </c:strRef>
          </c:cat>
          <c:val>
            <c:numRef>
              <c:f>'2LIS_06_INV  - Runtime &gt; 10 min'!$C$2:$C$980</c:f>
              <c:numCache/>
            </c:numRef>
          </c:val>
          <c:smooth val="0"/>
        </c:ser>
        <c:axId val="829867289"/>
        <c:axId val="1853558293"/>
      </c:lineChart>
      <c:catAx>
        <c:axId val="829867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3558293"/>
      </c:catAx>
      <c:valAx>
        <c:axId val="185355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9867289"/>
      </c:valAx>
      <c:barChart>
        <c:barDir val="col"/>
        <c:ser>
          <c:idx val="0"/>
          <c:order val="0"/>
          <c:tx>
            <c:strRef>
              <c:f>'2LIS_06_INV  - Runtime &gt; 10 min'!$B$1</c:f>
            </c:strRef>
          </c:tx>
          <c:spPr>
            <a:solidFill>
              <a:srgbClr val="4285F4"/>
            </a:solidFill>
          </c:spPr>
          <c:cat>
            <c:strRef>
              <c:f>'2LIS_06_INV  - Runtime &gt; 10 min'!$A$2:$A$980</c:f>
            </c:strRef>
          </c:cat>
          <c:val>
            <c:numRef>
              <c:f>'2LIS_06_INV  - Runtime &gt; 10 min'!$B$2:$B$980</c:f>
              <c:numCache/>
            </c:numRef>
          </c:val>
        </c:ser>
        <c:axId val="367050605"/>
        <c:axId val="829011217"/>
      </c:barChart>
      <c:catAx>
        <c:axId val="36705060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9011217"/>
      </c:catAx>
      <c:valAx>
        <c:axId val="8290112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70506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BI Finance Report - 6:30 SLA Met - FY18 vs FY19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'YOY Comparison'!$B$40</c:f>
            </c:strRef>
          </c:tx>
          <c:spPr>
            <a:solidFill>
              <a:srgbClr val="4285F4"/>
            </a:solidFill>
          </c:spPr>
          <c:cat>
            <c:strRef>
              <c:f>'YOY Comparison'!$A$41:$A$53</c:f>
            </c:strRef>
          </c:cat>
          <c:val>
            <c:numRef>
              <c:f>'YOY Comparison'!$B$41:$B$53</c:f>
              <c:numCache/>
            </c:numRef>
          </c:val>
        </c:ser>
        <c:ser>
          <c:idx val="1"/>
          <c:order val="1"/>
          <c:tx>
            <c:strRef>
              <c:f>'YOY Comparison'!$C$40</c:f>
            </c:strRef>
          </c:tx>
          <c:spPr>
            <a:solidFill>
              <a:srgbClr val="DB4437"/>
            </a:solidFill>
          </c:spPr>
          <c:cat>
            <c:strRef>
              <c:f>'YOY Comparison'!$A$41:$A$53</c:f>
            </c:strRef>
          </c:cat>
          <c:val>
            <c:numRef>
              <c:f>'YOY Comparison'!$C$41:$C$53</c:f>
              <c:numCache/>
            </c:numRef>
          </c:val>
        </c:ser>
        <c:axId val="1789508143"/>
        <c:axId val="1458796646"/>
      </c:barChart>
      <c:catAx>
        <c:axId val="178950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8796646"/>
      </c:catAx>
      <c:valAx>
        <c:axId val="1458796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9508143"/>
      </c:valAx>
      <c:lineChart>
        <c:varyColors val="0"/>
        <c:ser>
          <c:idx val="2"/>
          <c:order val="2"/>
          <c:tx>
            <c:strRef>
              <c:f>'YOY Comparison'!$D$40</c:f>
            </c:strRef>
          </c:tx>
          <c:marker>
            <c:symbol val="none"/>
          </c:marker>
          <c:cat>
            <c:strRef>
              <c:f>'YOY Comparison'!$A$41:$A$53</c:f>
            </c:strRef>
          </c:cat>
          <c:val>
            <c:numRef>
              <c:f>'YOY Comparison'!$D$41:$D$53</c:f>
              <c:numCache/>
            </c:numRef>
          </c:val>
          <c:smooth val="0"/>
        </c:ser>
        <c:axId val="988470482"/>
        <c:axId val="145652585"/>
      </c:lineChart>
      <c:catAx>
        <c:axId val="98847048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652585"/>
      </c:catAx>
      <c:valAx>
        <c:axId val="14565258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84704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BI Finance Report - 6:30 SLA Met - FY19 vs FY20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'YOY Comparison'!$B$20:$B$21</c:f>
            </c:strRef>
          </c:tx>
          <c:spPr>
            <a:solidFill>
              <a:srgbClr val="4285F4"/>
            </a:solidFill>
          </c:spPr>
          <c:cat>
            <c:strRef>
              <c:f>'YOY Comparison'!$A$22:$A$34</c:f>
            </c:strRef>
          </c:cat>
          <c:val>
            <c:numRef>
              <c:f>'YOY Comparison'!$B$22:$B$34</c:f>
              <c:numCache/>
            </c:numRef>
          </c:val>
        </c:ser>
        <c:ser>
          <c:idx val="1"/>
          <c:order val="1"/>
          <c:tx>
            <c:strRef>
              <c:f>'YOY Comparison'!$C$20:$C$21</c:f>
            </c:strRef>
          </c:tx>
          <c:spPr>
            <a:solidFill>
              <a:srgbClr val="DB4437"/>
            </a:solidFill>
          </c:spPr>
          <c:cat>
            <c:strRef>
              <c:f>'YOY Comparison'!$A$22:$A$34</c:f>
            </c:strRef>
          </c:cat>
          <c:val>
            <c:numRef>
              <c:f>'YOY Comparison'!$C$22:$C$34</c:f>
              <c:numCache/>
            </c:numRef>
          </c:val>
        </c:ser>
        <c:axId val="1934794639"/>
        <c:axId val="1015627269"/>
      </c:barChart>
      <c:catAx>
        <c:axId val="193479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5627269"/>
      </c:catAx>
      <c:valAx>
        <c:axId val="1015627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4794639"/>
      </c:valAx>
      <c:lineChart>
        <c:varyColors val="0"/>
        <c:ser>
          <c:idx val="2"/>
          <c:order val="2"/>
          <c:tx>
            <c:strRef>
              <c:f>'YOY Comparison'!$D$20:$D$21</c:f>
            </c:strRef>
          </c:tx>
          <c:marker>
            <c:symbol val="none"/>
          </c:marker>
          <c:cat>
            <c:strRef>
              <c:f>'YOY Comparison'!$A$22:$A$34</c:f>
            </c:strRef>
          </c:cat>
          <c:val>
            <c:numRef>
              <c:f>'YOY Comparison'!$D$22:$D$34</c:f>
              <c:numCache/>
            </c:numRef>
          </c:val>
          <c:smooth val="0"/>
        </c:ser>
        <c:axId val="1459212838"/>
        <c:axId val="114513116"/>
      </c:lineChart>
      <c:catAx>
        <c:axId val="145921283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513116"/>
      </c:catAx>
      <c:valAx>
        <c:axId val="1145131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92128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BI Finance Report - 6:30 SLA Met - FY20 vs FY21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'YOY Comparison'!$B$2</c:f>
            </c:strRef>
          </c:tx>
          <c:spPr>
            <a:solidFill>
              <a:srgbClr val="4285F4"/>
            </a:solidFill>
          </c:spPr>
          <c:cat>
            <c:strRef>
              <c:f>'YOY Comparison'!$A$3:$A$15</c:f>
            </c:strRef>
          </c:cat>
          <c:val>
            <c:numRef>
              <c:f>'YOY Comparison'!$B$3:$B$15</c:f>
              <c:numCache/>
            </c:numRef>
          </c:val>
        </c:ser>
        <c:ser>
          <c:idx val="1"/>
          <c:order val="1"/>
          <c:tx>
            <c:strRef>
              <c:f>'YOY Comparison'!$C$2</c:f>
            </c:strRef>
          </c:tx>
          <c:spPr>
            <a:solidFill>
              <a:srgbClr val="DB4437"/>
            </a:solidFill>
          </c:spPr>
          <c:cat>
            <c:strRef>
              <c:f>'YOY Comparison'!$A$3:$A$15</c:f>
            </c:strRef>
          </c:cat>
          <c:val>
            <c:numRef>
              <c:f>'YOY Comparison'!$C$3:$C$15</c:f>
              <c:numCache/>
            </c:numRef>
          </c:val>
        </c:ser>
        <c:axId val="411066142"/>
        <c:axId val="1703215185"/>
      </c:barChart>
      <c:catAx>
        <c:axId val="411066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3215185"/>
      </c:catAx>
      <c:valAx>
        <c:axId val="1703215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1066142"/>
      </c:valAx>
      <c:lineChart>
        <c:varyColors val="0"/>
        <c:ser>
          <c:idx val="2"/>
          <c:order val="2"/>
          <c:tx>
            <c:strRef>
              <c:f>'YOY Comparison'!$D$2</c:f>
            </c:strRef>
          </c:tx>
          <c:marker>
            <c:symbol val="none"/>
          </c:marker>
          <c:cat>
            <c:strRef>
              <c:f>'YOY Comparison'!$A$3:$A$15</c:f>
            </c:strRef>
          </c:cat>
          <c:val>
            <c:numRef>
              <c:f>'YOY Comparison'!$D$3:$D$15</c:f>
              <c:numCache/>
            </c:numRef>
          </c:val>
          <c:smooth val="0"/>
        </c:ser>
        <c:axId val="1872875412"/>
        <c:axId val="1875871126"/>
      </c:lineChart>
      <c:catAx>
        <c:axId val="18728754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5871126"/>
      </c:catAx>
      <c:valAx>
        <c:axId val="187587112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28754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'Copy of Runtime &gt; 10 min'!$C$1</c:f>
            </c:strRef>
          </c:tx>
          <c:marker>
            <c:symbol val="none"/>
          </c:marker>
          <c:cat>
            <c:strRef>
              <c:f>'Copy of Runtime &gt; 10 min'!$A$2:$A$980</c:f>
            </c:strRef>
          </c:cat>
          <c:val>
            <c:numRef>
              <c:f>'Copy of Runtime &gt; 10 min'!$C$2:$C$980</c:f>
              <c:numCache/>
            </c:numRef>
          </c:val>
          <c:smooth val="0"/>
        </c:ser>
        <c:axId val="1346936240"/>
        <c:axId val="2131270496"/>
      </c:lineChart>
      <c:catAx>
        <c:axId val="134693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1270496"/>
      </c:catAx>
      <c:valAx>
        <c:axId val="2131270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6936240"/>
      </c:valAx>
      <c:barChart>
        <c:barDir val="col"/>
        <c:ser>
          <c:idx val="0"/>
          <c:order val="0"/>
          <c:tx>
            <c:strRef>
              <c:f>'Copy of Runtime &gt; 10 min'!$B$1</c:f>
            </c:strRef>
          </c:tx>
          <c:spPr>
            <a:solidFill>
              <a:srgbClr val="4285F4"/>
            </a:solidFill>
          </c:spPr>
          <c:cat>
            <c:strRef>
              <c:f>'Copy of Runtime &gt; 10 min'!$A$2:$A$980</c:f>
            </c:strRef>
          </c:cat>
          <c:val>
            <c:numRef>
              <c:f>'Copy of Runtime &gt; 10 min'!$B$2:$B$980</c:f>
              <c:numCache/>
            </c:numRef>
          </c:val>
        </c:ser>
        <c:axId val="680695335"/>
        <c:axId val="1475765858"/>
      </c:barChart>
      <c:catAx>
        <c:axId val="680695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5765858"/>
      </c:catAx>
      <c:valAx>
        <c:axId val="147576585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06953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'2LIS_06_INV  - Runtime &gt; 10 min'!$C$1</c:f>
            </c:strRef>
          </c:tx>
          <c:marker>
            <c:symbol val="none"/>
          </c:marker>
          <c:cat>
            <c:strRef>
              <c:f>'2LIS_06_INV  - Runtime &gt; 10 min'!$A$2:$A$980</c:f>
            </c:strRef>
          </c:cat>
          <c:val>
            <c:numRef>
              <c:f>'2LIS_06_INV  - Runtime &gt; 10 min'!$C$2:$C$980</c:f>
              <c:numCache/>
            </c:numRef>
          </c:val>
          <c:smooth val="0"/>
        </c:ser>
        <c:axId val="256714885"/>
        <c:axId val="1529003640"/>
      </c:lineChart>
      <c:catAx>
        <c:axId val="256714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9003640"/>
      </c:catAx>
      <c:valAx>
        <c:axId val="1529003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6714885"/>
      </c:valAx>
      <c:barChart>
        <c:barDir val="col"/>
        <c:ser>
          <c:idx val="0"/>
          <c:order val="0"/>
          <c:tx>
            <c:strRef>
              <c:f>'2LIS_06_INV  - Runtime &gt; 10 min'!$B$1</c:f>
            </c:strRef>
          </c:tx>
          <c:spPr>
            <a:solidFill>
              <a:srgbClr val="4285F4"/>
            </a:solidFill>
          </c:spPr>
          <c:cat>
            <c:strRef>
              <c:f>'2LIS_06_INV  - Runtime &gt; 10 min'!$A$2:$A$980</c:f>
            </c:strRef>
          </c:cat>
          <c:val>
            <c:numRef>
              <c:f>'2LIS_06_INV  - Runtime &gt; 10 min'!$B$2:$B$980</c:f>
              <c:numCache/>
            </c:numRef>
          </c:val>
        </c:ser>
        <c:axId val="855322702"/>
        <c:axId val="2080919038"/>
      </c:barChart>
      <c:catAx>
        <c:axId val="85532270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0919038"/>
      </c:catAx>
      <c:valAx>
        <c:axId val="208091903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53227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1"/>
          <c:order val="1"/>
          <c:tx>
            <c:strRef>
              <c:f>'2LIS_06_INV  - Runtime &gt; 10 min'!$D$1</c:f>
            </c:strRef>
          </c:tx>
          <c:marker>
            <c:symbol val="none"/>
          </c:marker>
          <c:cat>
            <c:strRef>
              <c:f>'2LIS_06_INV  - Runtime &gt; 10 min'!$A$2:$A$980</c:f>
            </c:strRef>
          </c:cat>
          <c:val>
            <c:numRef>
              <c:f>'2LIS_06_INV  - Runtime &gt; 10 min'!$D$2:$D$980</c:f>
              <c:numCache/>
            </c:numRef>
          </c:val>
          <c:smooth val="0"/>
        </c:ser>
        <c:axId val="1481503059"/>
        <c:axId val="543586599"/>
      </c:lineChart>
      <c:catAx>
        <c:axId val="1481503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3586599"/>
      </c:catAx>
      <c:valAx>
        <c:axId val="543586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1503059"/>
      </c:valAx>
      <c:barChart>
        <c:barDir val="col"/>
        <c:ser>
          <c:idx val="0"/>
          <c:order val="0"/>
          <c:tx>
            <c:strRef>
              <c:f>'2LIS_06_INV  - Runtime &gt; 10 min'!$B$1</c:f>
            </c:strRef>
          </c:tx>
          <c:spPr>
            <a:solidFill>
              <a:srgbClr val="4285F4"/>
            </a:solidFill>
          </c:spPr>
          <c:cat>
            <c:strRef>
              <c:f>'2LIS_06_INV  - Runtime &gt; 10 min'!$A$2:$A$980</c:f>
            </c:strRef>
          </c:cat>
          <c:val>
            <c:numRef>
              <c:f>'2LIS_06_INV  - Runtime &gt; 10 min'!$B$2:$B$980</c:f>
              <c:numCache/>
            </c:numRef>
          </c:val>
        </c:ser>
        <c:axId val="1015268772"/>
        <c:axId val="1174547286"/>
      </c:barChart>
      <c:catAx>
        <c:axId val="10152687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4547286"/>
      </c:catAx>
      <c:valAx>
        <c:axId val="117454728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52687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0</xdr:rowOff>
    </xdr:from>
    <xdr:ext cx="7877175" cy="4867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4</xdr:row>
      <xdr:rowOff>95250</xdr:rowOff>
    </xdr:from>
    <xdr:ext cx="9410700" cy="5819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11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29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38</xdr:row>
      <xdr:rowOff>9525</xdr:rowOff>
    </xdr:from>
    <xdr:ext cx="5715000" cy="2943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190500</xdr:colOff>
      <xdr:row>19</xdr:row>
      <xdr:rowOff>0</xdr:rowOff>
    </xdr:from>
    <xdr:ext cx="5715000" cy="2990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200025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FY21_DATA"/>
  </cacheSource>
  <cacheFields>
    <cacheField name="DATE" numFmtId="165">
      <sharedItems containsDate="1" containsString="0" containsBlank="1"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29T00:00:00Z"/>
        <d v="2020-10-30T00:00:00Z"/>
        <d v="2020-10-31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2T00:00:00Z"/>
        <d v="2020-11-13T00:00:00Z"/>
        <d v="2020-11-14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m/>
      </sharedItems>
    </cacheField>
    <cacheField name="Day" numFmtId="0">
      <sharedItems containsBlank="1">
        <s v="Monday"/>
        <s v="Tuesday"/>
        <s v="Wednesday"/>
        <s v="Thursday"/>
        <s v="Friday"/>
        <s v="Saturday"/>
        <s v="Sunday"/>
        <m/>
      </sharedItems>
    </cacheField>
    <cacheField name="P/W" numFmtId="166">
      <sharedItems containsBlank="1">
        <s v="P1 W1"/>
        <s v="P1 W2"/>
        <s v="P1 W3"/>
        <s v="P1 W4"/>
        <s v="P2 W1"/>
        <s v="P2 W2"/>
        <s v="P2 W3"/>
        <s v="P2 W4"/>
        <s v="P3 W1"/>
        <s v="P3 W2"/>
        <s v="P3 W3"/>
        <s v="P3 W4"/>
        <s v="P4 W1"/>
        <s v="P4 W2"/>
        <s v="P4 W3"/>
        <s v="P4 W4"/>
        <s v="P5 W1"/>
        <s v="P5 W2"/>
        <s v="P5 W3"/>
        <s v="P5 W4"/>
        <s v="P6 W1"/>
        <s v="P6 W2"/>
        <s v="P6 W3"/>
        <s v="P6 W4"/>
        <s v="P7 W1"/>
        <s v="P7 W2"/>
        <s v="P7 W3"/>
        <s v="P7 W4"/>
        <s v="P8 W1"/>
        <s v="P8 W2"/>
        <s v="P8 W3"/>
        <s v="P8 W4"/>
        <s v="P9 W1"/>
        <s v="P9 W2"/>
        <s v="P9 W3"/>
        <s v="P9 W4"/>
        <s v="P10 W1"/>
        <s v="P10 W2"/>
        <s v="P10 W3"/>
        <s v="P10 W4"/>
        <s v="P11 W1"/>
        <s v="P11 W2"/>
        <s v="P11 W3"/>
        <s v="P11 W4"/>
        <s v="P12 W1"/>
        <s v="P12 W2"/>
        <s v="P12 W3"/>
        <s v="P12 W4"/>
        <s v="P13 W1"/>
        <s v="P13 W2"/>
        <s v="P13 W3"/>
        <s v="P13 W4"/>
        <m/>
      </sharedItems>
    </cacheField>
    <cacheField name="Period" numFmtId="166">
      <sharedItems containsBlank="1">
        <s v="Period 1"/>
        <s v="Period 2"/>
        <s v="Period 3"/>
        <s v="Period 4"/>
        <s v="Period 5"/>
        <s v="Period 6"/>
        <s v="Period 7"/>
        <s v="Period 8"/>
        <s v="Period 9"/>
        <s v="Period 10"/>
        <s v="Period 11"/>
        <s v="Period 12"/>
        <s v="Period 13"/>
        <m/>
      </sharedItems>
    </cacheField>
    <cacheField name="Week" numFmtId="0">
      <sharedItems containsBlank="1">
        <s v="Week 1"/>
        <s v="Week 2"/>
        <s v="Week 3"/>
        <s v="Week 4"/>
        <m/>
      </sharedItems>
    </cacheField>
    <cacheField name="Expected Start Time" numFmtId="166">
      <sharedItems containsDate="1" containsString="0" containsBlank="1">
        <d v="1899-12-30T22:00:00Z"/>
        <d v="1899-12-30T22:20:00Z"/>
        <m/>
      </sharedItems>
    </cacheField>
    <cacheField name="Period Lock" numFmtId="166">
      <sharedItems containsDate="1" containsString="0" containsBlank="1">
        <d v="1899-12-30T04:00:00Z"/>
        <d v="1899-12-30T03:14:00Z"/>
        <d v="1899-12-30T02:39:00Z"/>
        <d v="1899-12-30T02:52:00Z"/>
        <d v="1899-12-30T02:44:00Z"/>
        <d v="1899-12-30T03:26:00Z"/>
        <d v="1899-12-30T02:09:00Z"/>
        <d v="1899-12-30T03:34:00Z"/>
        <d v="1899-12-30T03:12:00Z"/>
        <d v="1899-12-30T03:10:00Z"/>
        <d v="1899-12-30T02:51:00Z"/>
        <d v="1899-12-30T02:48:00Z"/>
        <d v="1899-12-30T04:08:00Z"/>
        <d v="1899-12-30T04:11:00Z"/>
        <d v="1899-12-30T02:56:00Z"/>
        <d v="1899-12-30T02:45:00Z"/>
        <d v="1899-12-30T03:02:00Z"/>
        <d v="1899-12-30T03:45:00Z"/>
        <d v="1899-12-30T03:36:00Z"/>
        <d v="1899-12-30T03:05:00Z"/>
        <d v="1899-12-30T03:39:00Z"/>
        <d v="1899-12-30T03:50:00Z"/>
        <d v="1899-12-30T04:42:00Z"/>
        <d v="1899-12-30T05:01:00Z"/>
        <m/>
      </sharedItems>
    </cacheField>
    <cacheField name="Period Unlock" numFmtId="166">
      <sharedItems containsDate="1" containsString="0" containsBlank="1">
        <d v="1899-12-30T06:49:00Z"/>
        <d v="1899-12-30T03:43:00Z"/>
        <d v="1899-12-30T03:05:00Z"/>
        <d v="1899-12-30T03:19:00Z"/>
        <d v="1899-12-30T03:10:00Z"/>
        <d v="1899-12-30T03:03:00Z"/>
        <d v="1899-12-30T03:47:00Z"/>
        <d v="1899-12-30T02:34:00Z"/>
        <d v="1899-12-30T04:01:00Z"/>
        <d v="1899-12-30T06:08:00Z"/>
        <d v="1899-12-30T03:12:00Z"/>
        <d v="1899-12-30T05:00:00Z"/>
        <d v="1899-12-30T05:03:00Z"/>
        <d v="1899-12-30T03:26:00Z"/>
        <d v="1899-12-30T03:27:00Z"/>
        <d v="1899-12-30T03:09:00Z"/>
        <d v="1899-12-30T03:29:00Z"/>
        <d v="1899-12-30T05:07:00Z"/>
        <d v="1899-12-30T04:37:00Z"/>
        <d v="1899-12-30T04:28:00Z"/>
        <d v="1899-12-30T03:57:00Z"/>
        <d v="1899-12-30T04:31:00Z"/>
        <d v="1899-12-30T04:53:00Z"/>
        <d v="1899-12-30T04:50:00Z"/>
        <d v="1899-12-30T04:14:00Z"/>
        <d v="1899-12-30T05:40:00Z"/>
        <d v="1899-12-30T05:53:00Z"/>
        <m/>
      </sharedItems>
    </cacheField>
    <cacheField name="Report Delivery" numFmtId="166">
      <sharedItems containsDate="1" containsString="0" containsBlank="1">
        <d v="1899-12-30T06:44:00Z"/>
        <d v="1899-12-30T06:04:00Z"/>
        <d v="1899-12-30T06:23:00Z"/>
        <d v="1899-12-30T05:39:00Z"/>
        <d v="1899-12-30T05:14:00Z"/>
        <d v="1899-12-30T05:29:00Z"/>
        <d v="1899-12-30T05:49:00Z"/>
        <d v="1899-12-30T04:46:00Z"/>
        <d v="1899-12-30T06:24:00Z"/>
        <d v="1899-12-30T09:42:00Z"/>
        <d v="1899-12-30T13:50:00Z"/>
        <d v="1899-12-30T18:00:00Z"/>
        <d v="1899-12-30T05:28:00Z"/>
        <d v="1899-12-30T06:19:00Z"/>
        <d v="1899-12-30T06:03:00Z"/>
        <d v="1899-12-30T05:54:00Z"/>
        <d v="1899-12-30T06:39:00Z"/>
        <d v="1899-12-30T05:56:00Z"/>
        <d v="1899-12-30T08:25:00Z"/>
        <d v="1899-12-30T06:00:00Z"/>
        <d v="1899-12-30T05:37:00Z"/>
        <d v="1899-12-30T06:35:00Z"/>
        <d v="1899-12-30T06:38:00Z"/>
        <d v="1899-12-30T06:30:00Z"/>
        <d v="1899-12-30T07:07:00Z"/>
        <d v="1899-12-30T12:12:00Z"/>
        <d v="1899-12-30T06:51:00Z"/>
        <d v="1899-12-30T07:08:00Z"/>
        <m/>
      </sharedItems>
    </cacheField>
    <cacheField name="RUNTIME (MINUTES)">
      <sharedItems containsBlank="1" containsMixedTypes="1" containsNumber="1">
        <n v="524.0"/>
        <n v="484.0"/>
        <n v="503.0"/>
        <n v="459.0000000000001"/>
        <n v="434.00000000000006"/>
        <n v="449.0"/>
        <n v="469.0000000000001"/>
        <n v="406.0"/>
        <n v="504.0000000000001"/>
        <n v="702.0000000000001"/>
        <n v="949.9999999999999"/>
        <n v="1200.0"/>
        <n v="448.0"/>
        <n v="499.0"/>
        <n v="483.00000000000006"/>
        <n v="474.00000000000006"/>
        <n v="519.0000000000001"/>
        <n v="476.00000000000006"/>
        <n v="625.0000000000001"/>
        <n v="480.0"/>
        <n v="457.0000000000001"/>
        <n v="515.0000000000001"/>
        <n v="518.0000000000001"/>
        <n v="510.0000000000001"/>
        <n v="547.0000000000001"/>
        <n v="852.0"/>
        <n v="531.0000000000001"/>
        <n v="548.0"/>
        <b v="0"/>
        <m/>
      </sharedItems>
    </cacheField>
    <cacheField name="Inaccurate Data?" numFmtId="0">
      <sharedItems containsBlank="1">
        <m/>
        <s v="Yes"/>
      </sharedItems>
    </cacheField>
    <cacheField name="Morning of" numFmtId="0">
      <sharedItems containsBlank="1">
        <s v="Tuesday"/>
        <s v="Wednesday"/>
        <s v="Thursday"/>
        <s v="Friday"/>
        <s v="Saturday"/>
        <s v="Sunday"/>
        <s v="Monday"/>
        <m/>
      </sharedItems>
    </cacheField>
    <cacheField name="Reason for being late" numFmtId="0">
      <sharedItems containsBlank="1">
        <s v="INC3739308 - Unable to connect Informatica 10.2 HF2 - EDW"/>
        <m/>
        <s v="INC3754396 - Max. runtime of task ' WS_1000_MSTR_DATA_0100 (0127688029)' has been exceeded"/>
        <s v="INC3756258 - Max. runtime of task ' WS_1000_MSTR_DATA_0100 (0127827567)' has been exceeded"/>
        <s v="INC3758080 - SAP_Master Has Not Completed.FYE - Carry Forward process"/>
        <s v="INC3759579 - Task ' SAP138_ARPOST_CHECK_BATCH/0128194301' in 'JOBP.SAPINTG.FICA.CHK_BATCH/0128192319' has aborted."/>
        <s v="INC3761851 - 'SAP936_SALES_ABAP (128385788)' in  'JOBP.SAPINTG.APAR.SAP936_SALES' extremely long running "/>
        <s v="INC3767814 JOBS.SQL.ETL.EDW.WS.EXE_JOB_FAIR Queue CLIENT_QUEUE RunID 128849612 running long"/>
        <s v="CHG2045088 : Linux migration of the CP1systems 6.x to 7.6 - 9/19 now"/>
        <s v="INC3776004 - WS_8300_IMM_KF_1 (129468740) Running long"/>
        <s v="INC3780192 - EFR/FAIR GL12 / GL14 Discrepancy"/>
        <s v="INC3781780 - Task ' WF_PROCESS_2LIS_02_ITM/0129893465' in 'JOBP.ETL.SAP_MASTER/0129895046' has aborted."/>
        <s v="INC3783725 - Missing all FQ-NLC (FuelQuest) Files"/>
        <s v="INC3786139 - 'SAP936_SALES_ABAP (130305293)' in 'SAP936_SALES (130239771)' Running extremely long. Please investigate. "/>
      </sharedItems>
    </cacheField>
    <cacheField name="Category" numFmtId="0">
      <sharedItems containsBlank="1">
        <s v="Data Integration Admin"/>
        <m/>
        <s v="Oracle - DB Administration"/>
        <s v="Business - FYE"/>
        <s v="Finance Merchandise Accounting Solutions AP/AR"/>
        <s v="Finance Materials Management"/>
        <s v="Wherescape"/>
        <s v="SAP Basis"/>
        <s v="Data Integration Services"/>
        <s v="EDI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FY20_DATA"/>
  </cacheSource>
  <cacheFields>
    <cacheField name="DATE" numFmtId="165">
      <sharedItems containsDate="1" containsString="0" containsBlank="1"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09T00:00:00Z"/>
        <d v="2019-09-10T00:00:00Z"/>
        <d v="2019-09-11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3T00:00:00Z"/>
        <d v="2019-09-24T00:00:00Z"/>
        <d v="2019-09-25T00:00:00Z"/>
        <d v="2019-09-26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6T00:00:00Z"/>
        <d v="2019-10-27T00:00:00Z"/>
        <d v="2019-10-28T00:00:00Z"/>
        <d v="2019-10-29T00:00:00Z"/>
        <d v="2019-10-30T00:00:00Z"/>
        <d v="2019-10-31T00:00:00Z"/>
        <d v="2019-11-01T00:00:00Z"/>
        <d v="2019-11-02T00:00:00Z"/>
        <d v="2019-11-03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4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1-30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8T00:00:00Z"/>
        <d v="2019-12-29T00:00:00Z"/>
        <d v="2019-12-30T00:00:00Z"/>
        <d v="2019-12-31T00:00:00Z"/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m/>
      </sharedItems>
    </cacheField>
    <cacheField name="Day" numFmtId="0">
      <sharedItems containsBlank="1">
        <s v="Monday"/>
        <s v="Tuesday"/>
        <s v="Wednesday"/>
        <s v="Thursday"/>
        <s v="Friday"/>
        <s v="Saturday"/>
        <s v="Sunday"/>
        <m/>
      </sharedItems>
    </cacheField>
    <cacheField name="P/W" numFmtId="166">
      <sharedItems containsBlank="1">
        <s v="P1 W1"/>
        <s v="P1 W2"/>
        <s v="P1 W3"/>
        <s v="P1 W4"/>
        <s v="P2 W1"/>
        <s v="P2 W2"/>
        <s v="P2 W3"/>
        <s v="P2 W4"/>
        <s v="P3 W1"/>
        <s v="P3 W2"/>
        <s v="P3 W3"/>
        <s v="P3 W4"/>
        <s v="P4 W1"/>
        <s v="P4 W2"/>
        <s v="P4 W3"/>
        <s v="P4 W4"/>
        <s v="P5 W1"/>
        <s v="P5 W2"/>
        <s v="P5 W3"/>
        <s v="P5 W4"/>
        <s v="P6 W1"/>
        <s v="P6 W2"/>
        <s v="P6 W3"/>
        <s v="P6 W4"/>
        <s v="P7 W1"/>
        <s v="P7 W2"/>
        <s v="P7 W3"/>
        <s v="P7 W4"/>
        <s v="P8 W1"/>
        <s v="P8 W2"/>
        <s v="P8 W3"/>
        <s v="P8 W4"/>
        <s v="P9 W1"/>
        <s v="P9 W2"/>
        <s v="P9 W3"/>
        <s v="P9 W4"/>
        <s v="P10 W1"/>
        <s v="P10 W2"/>
        <s v="P10 W3"/>
        <s v="P10 W4"/>
        <s v="P11 W1"/>
        <s v="P11 W2"/>
        <s v="P11 W3"/>
        <s v="P11 W4"/>
        <s v="P12 W1"/>
        <s v="P12 W2"/>
        <s v="P12 W3"/>
        <s v="P12 W4"/>
        <s v="P13 W1"/>
        <s v="P13 W2"/>
        <s v="P13 W3"/>
        <s v="P13 W4"/>
        <m/>
      </sharedItems>
    </cacheField>
    <cacheField name="Period" numFmtId="166">
      <sharedItems containsBlank="1">
        <s v="Period 1"/>
        <s v="Period 2"/>
        <s v="Period 3"/>
        <s v="Period 4"/>
        <s v="Period 5"/>
        <s v="Period 6"/>
        <s v="Period 7"/>
        <s v="Period 8"/>
        <s v="Period 9"/>
        <s v="Period 10"/>
        <s v="Period 11"/>
        <s v="Period 12"/>
        <s v="Period 13"/>
        <m/>
      </sharedItems>
    </cacheField>
    <cacheField name="Week" numFmtId="0">
      <sharedItems containsBlank="1">
        <s v="Week 1"/>
        <s v="Week 2"/>
        <s v="Week 3"/>
        <s v="Week 4"/>
        <m/>
      </sharedItems>
    </cacheField>
    <cacheField name="Expected Start Time" numFmtId="166">
      <sharedItems containsDate="1" containsString="0" containsBlank="1">
        <d v="1899-12-30T22:00:00Z"/>
        <d v="1899-12-30T22:20:00Z"/>
        <m/>
      </sharedItems>
    </cacheField>
    <cacheField name="Period Lock" numFmtId="166">
      <sharedItems containsDate="1" containsString="0" containsBlank="1">
        <d v="1899-12-30T03:25:00Z"/>
        <d v="1899-12-30T03:28:00Z"/>
        <d v="1899-12-30T02:38:00Z"/>
        <d v="1899-12-30T02:45:00Z"/>
        <d v="1899-12-30T02:47:00Z"/>
        <d v="1899-12-30T03:26:00Z"/>
        <d v="1899-12-30T03:27:00Z"/>
        <d v="1899-12-30T03:09:00Z"/>
        <d v="1899-12-30T03:01:02Z"/>
        <d v="1899-12-30T02:46:00Z"/>
        <d v="1899-12-30T02:43:00Z"/>
        <d v="1899-12-30T02:45:52Z"/>
        <d v="1899-12-30T03:34:00Z"/>
        <d v="1899-12-30T02:50:00Z"/>
        <d v="1899-12-30T03:15:00Z"/>
        <d v="1899-12-30T02:48:29Z"/>
        <d v="1899-12-30T02:45:36Z"/>
        <d v="1899-12-30T02:44:00Z"/>
        <d v="1899-12-30T02:42:00Z"/>
        <d v="1899-12-30T03:43:00Z"/>
        <d v="1899-12-30T03:39:00Z"/>
        <d v="1899-12-30T02:44:51Z"/>
        <d v="1899-12-30T04:26:00Z"/>
        <d v="1899-12-30T04:21:25Z"/>
        <d v="1899-12-30T04:20:00Z"/>
        <d v="1899-12-30T03:42:00Z"/>
        <d v="1899-12-30T03:02:00Z"/>
        <d v="1899-12-30T02:40:58Z"/>
        <d v="1899-12-30T02:42:17Z"/>
        <d v="1899-12-30T02:59:00Z"/>
        <d v="1899-12-30T02:41:04Z"/>
        <d v="1899-12-30T03:32:00Z"/>
        <d v="1899-12-30T03:08:00Z"/>
        <d v="1899-12-30T03:05:00Z"/>
        <d v="1899-12-30T03:09:02Z"/>
        <d v="1899-12-30T02:45:07Z"/>
        <d v="1899-12-30T03:09:10Z"/>
        <d v="1899-12-30T02:42:56Z"/>
        <d v="1899-12-30T03:35:00Z"/>
        <d v="1899-12-30T03:13:00Z"/>
        <d v="1899-12-30T03:19:00Z"/>
        <d v="1899-12-30T03:06:00Z"/>
        <d v="1899-12-30T03:11:00Z"/>
        <d v="1899-12-30T03:37:00Z"/>
        <d v="1899-12-30T02:48:00Z"/>
        <d v="1899-12-30T03:36:00Z"/>
        <d v="1899-12-30T03:16:00Z"/>
        <d v="1899-12-30T04:09:00Z"/>
        <d v="1899-12-30T04:27:00Z"/>
        <d v="1899-12-30T03:22:00Z"/>
        <d v="1899-12-30T03:04:00Z"/>
        <d v="1899-12-30T02:26:00Z"/>
        <d v="1899-12-30T02:28:00Z"/>
        <d v="1899-12-30T02:03:00Z"/>
        <d v="1899-12-30T02:41:32Z"/>
        <d v="1899-12-30T03:47:00Z"/>
        <d v="1899-12-30T02:49:00Z"/>
        <d v="1899-12-30T02:54:00Z"/>
        <d v="1899-12-30T03:45:00Z"/>
        <d v="1899-12-30T04:04:00Z"/>
        <d v="1899-12-30T02:37:00Z"/>
        <d v="1899-12-30T03:10:00Z"/>
        <d v="1899-12-30T03:23:00Z"/>
        <d v="1899-12-30T04:40:00Z"/>
        <d v="1899-12-30T04:36:00Z"/>
        <d v="1899-12-30T04:39:00Z"/>
        <d v="1899-12-30T03:07:00Z"/>
        <d v="1899-12-30T02:36:00Z"/>
        <d v="1899-12-30T04:07:00Z"/>
        <d v="1899-12-30T03:24:00Z"/>
        <d v="1899-12-30T04:32:00Z"/>
        <d v="1899-12-30T03:30:00Z"/>
        <d v="1899-12-30T06:21:00Z"/>
        <d v="1899-12-30T05:45:00Z"/>
        <d v="1899-12-30T04:10:00Z"/>
        <d v="1899-12-30T03:57:00Z"/>
        <d v="1899-12-30T03:17:00Z"/>
        <d v="1899-12-30T04:47:00Z"/>
        <d v="1899-12-30T03:41:00Z"/>
        <d v="1899-12-30T04:46:00Z"/>
        <d v="1899-12-30T02:01:00Z"/>
        <d v="1899-12-30T03:46:00Z"/>
        <d v="1899-12-30T05:23:00Z"/>
        <d v="1899-12-30T04:53:00Z"/>
        <d v="1899-12-30T03:48:00Z"/>
        <d v="1899-12-30T04:00:00Z"/>
        <d v="1899-12-30T03:50:00Z"/>
        <d v="1899-12-30T04:30:00Z"/>
        <d v="1899-12-30T02:04:00Z"/>
        <d v="1899-12-30T02:55:00Z"/>
        <d v="1899-12-30T02:34:00Z"/>
        <d v="1899-12-30T01:53:00Z"/>
        <d v="1899-12-30T02:02:00Z"/>
        <d v="1899-12-30T02:18:00Z"/>
        <d v="1899-12-30T02:32:00Z"/>
        <d v="1899-12-30T04:12:00Z"/>
        <d v="1899-12-30T03:20:00Z"/>
        <d v="1899-12-30T03:01:00Z"/>
        <d v="1899-12-30T03:40:00Z"/>
        <d v="1899-12-30T02:20:00Z"/>
        <d v="1899-12-30T02:57:00Z"/>
        <d v="1899-12-30T02:07:00Z"/>
        <d v="1899-12-30T04:06:00Z"/>
        <d v="1899-12-30T03:55:00Z"/>
        <d v="1899-12-30T02:29:00Z"/>
        <d v="1899-12-30T02:10:00Z"/>
        <d v="1899-12-30T03:03:00Z"/>
        <d v="1899-12-30T02:40:00Z"/>
        <d v="1899-12-30T01:54:00Z"/>
        <d v="1899-12-30T04:34:00Z"/>
        <d v="1899-12-30T01:57:00Z"/>
        <d v="1899-12-30T02:08:00Z"/>
        <d v="1899-12-30T03:31:00Z"/>
        <d v="1899-12-30T01:52:00Z"/>
        <d v="1899-12-30T02:05:00Z"/>
        <d v="1899-12-30T02:13:00Z"/>
        <d v="1899-12-30T01:50:00Z"/>
        <d v="1899-12-30T03:54:00Z"/>
        <d v="1899-12-30T02:39:00Z"/>
        <d v="1899-12-30T04:57:00Z"/>
        <d v="1899-12-30T01:59:00Z"/>
        <d v="1899-12-30T02:51:00Z"/>
        <d v="1899-12-30T01:49:00Z"/>
        <d v="1899-12-30T02:25:00Z"/>
        <d v="1899-12-30T03:51:00Z"/>
        <d v="1899-12-30T05:30:00Z"/>
        <d v="1899-12-30T03:44:00Z"/>
        <d v="1899-12-30T03:52:00Z"/>
        <d v="1899-12-30T02:52:00Z"/>
        <d v="1899-12-30T05:10:00Z"/>
        <d v="1899-12-30T09:49:00Z"/>
        <d v="1899-12-30T04:08:00Z"/>
        <d v="1899-12-30T04:22:00Z"/>
        <d v="1899-12-30T05:03:00Z"/>
        <d v="1899-12-30T05:18:00Z"/>
        <d v="1899-12-30T06:40:00Z"/>
        <d v="1899-12-30T05:41:00Z"/>
        <d v="1899-12-30T08:29:00Z"/>
        <d v="1899-12-30T04:56:00Z"/>
        <d v="1899-12-30T03:49:00Z"/>
        <d v="1899-12-30T05:28:00Z"/>
        <d v="1899-12-30T06:10:00Z"/>
        <d v="1899-12-30T05:59:00Z"/>
        <d v="1899-12-30T04:03:00Z"/>
        <d v="1899-12-30T04:33:00Z"/>
        <d v="1899-12-30T05:24:00Z"/>
        <d v="1899-12-30T04:43:00Z"/>
        <d v="1899-12-30T06:46:00Z"/>
        <d v="1899-12-30T06:26:00Z"/>
        <d v="1899-12-30T05:11:00Z"/>
        <d v="1899-12-30T05:01:00Z"/>
        <d v="1899-12-30T06:37:00Z"/>
        <d v="1899-12-30T03:14:00Z"/>
        <d v="1899-12-30T03:29:00Z"/>
        <d v="1899-12-30T03:53:00Z"/>
        <d v="1899-12-30T04:51:00Z"/>
        <d v="1899-12-30T08:03:00Z"/>
        <d v="1899-12-30T02:41:00Z"/>
        <d v="1899-12-30T03:38:00Z"/>
        <d v="1899-12-30T04:01:00Z"/>
        <d v="1899-12-30T02:58:00Z"/>
        <d v="1899-12-30T03:18:00Z"/>
        <d v="1899-12-30T03:00:00Z"/>
        <d v="1899-12-30T05:29:00Z"/>
        <d v="1899-12-30T03:33:00Z"/>
        <d v="1899-12-30T02:56:00Z"/>
        <d v="1899-12-30T05:08:00Z"/>
        <d v="1899-12-30T04:44:00Z"/>
        <d v="1899-12-30T05:14:00Z"/>
        <d v="1899-12-30T06:06:00Z"/>
        <d v="1899-12-30T03:12:00Z"/>
        <d v="1899-12-30T05:02:00Z"/>
        <m/>
      </sharedItems>
    </cacheField>
    <cacheField name="Period Unlock" numFmtId="166">
      <sharedItems containsDate="1" containsString="0" containsBlank="1">
        <d v="1899-12-30T04:04:00Z"/>
        <d v="1899-12-30T07:08:00Z"/>
        <d v="1899-12-30T03:14:00Z"/>
        <d v="1899-12-30T03:21:00Z"/>
        <d v="1899-12-30T03:17:00Z"/>
        <d v="1899-12-30T03:57:00Z"/>
        <d v="1899-12-30T03:51:00Z"/>
        <d v="1899-12-30T03:15:00Z"/>
        <d v="1899-12-30T03:39:00Z"/>
        <d v="1899-12-30T03:42:41Z"/>
        <d v="1899-12-30T06:37:00Z"/>
        <d v="1899-12-30T06:32:00Z"/>
        <d v="1899-12-30T03:10:13Z"/>
        <d v="1899-12-30T04:20:00Z"/>
        <d v="1899-12-30T03:36:00Z"/>
        <d v="1899-12-30T03:45:00Z"/>
        <d v="1899-12-30T03:30:43Z"/>
        <d v="1899-12-30T03:16:03Z"/>
        <d v="1899-12-30T03:06:00Z"/>
        <d v="1899-12-30T04:26:00Z"/>
        <d v="1899-12-30T03:28:00Z"/>
        <d v="1899-12-30T03:25:00Z"/>
        <d v="1899-12-30T04:25:00Z"/>
        <d v="1899-12-30T03:56:15Z"/>
        <d v="1899-12-30T05:02:00Z"/>
        <d v="1899-12-30T04:52:00Z"/>
        <d v="1899-12-30T05:06:00Z"/>
        <d v="1899-12-30T04:28:00Z"/>
        <d v="1899-12-30T03:33:00Z"/>
        <d v="1899-12-30T03:11:23Z"/>
        <d v="1899-12-30T03:19:06Z"/>
        <d v="1899-12-30T03:45:11Z"/>
        <d v="1899-12-30T03:05:35Z"/>
        <d v="1899-12-30T04:21:00Z"/>
        <d v="1899-12-30T03:32:00Z"/>
        <d v="1899-12-30T03:42:18Z"/>
        <d v="1899-12-30T03:18:44Z"/>
        <d v="1899-12-30T03:39:17Z"/>
        <d v="1899-12-30T03:10:08Z"/>
        <d v="1899-12-30T04:18:00Z"/>
        <d v="1899-12-30T03:58:00Z"/>
        <d v="1899-12-30T03:35:00Z"/>
        <d v="1899-12-30T03:42:00Z"/>
        <d v="1899-12-30T03:34:00Z"/>
        <d v="1899-12-30T03:46:00Z"/>
        <d v="1899-12-30T04:36:00Z"/>
        <d v="1899-12-30T05:08:00Z"/>
        <d v="1899-12-30T04:10:00Z"/>
        <d v="1899-12-30T03:43:00Z"/>
        <d v="1899-12-30T03:40:00Z"/>
        <d v="1899-12-30T03:19:00Z"/>
        <d v="1899-12-30T04:50:00Z"/>
        <d v="1899-12-30T04:57:00Z"/>
        <d v="1899-12-30T03:00:00Z"/>
        <d v="1899-12-30T03:18:00Z"/>
        <d v="1899-12-30T03:01:00Z"/>
        <d v="1899-12-30T03:56:00Z"/>
        <d v="1899-12-30T03:08:49Z"/>
        <d v="1899-12-30T04:33:00Z"/>
        <d v="1899-12-30T03:55:00Z"/>
        <d v="1899-12-30T04:06:00Z"/>
        <d v="1899-12-30T04:05:00Z"/>
        <m/>
        <d v="1899-12-30T03:03:00Z"/>
        <d v="1899-12-30T04:53:00Z"/>
        <d v="1899-12-30T03:23:00Z"/>
        <d v="1899-12-30T04:17:00Z"/>
        <d v="1899-12-30T04:16:00Z"/>
        <d v="1899-12-30T07:28:00Z"/>
        <d v="1899-12-30T05:33:00Z"/>
        <d v="1899-12-30T05:43:00Z"/>
        <d v="1899-12-30T04:46:00Z"/>
        <d v="1899-12-30T04:15:00Z"/>
        <d v="1899-12-30T07:39:00Z"/>
        <d v="1899-12-30T06:58:00Z"/>
        <d v="1899-12-30T06:17:00Z"/>
        <d v="1899-12-30T04:08:00Z"/>
        <d v="1899-12-30T05:56:00Z"/>
        <d v="1899-12-30T04:35:00Z"/>
        <d v="1899-12-30T05:52:00Z"/>
        <d v="1899-12-30T02:23:00Z"/>
        <d v="1899-12-30T04:00:00Z"/>
        <d v="1899-12-30T06:36:00Z"/>
        <d v="1899-12-30T06:03:00Z"/>
        <d v="1899-12-30T04:58:00Z"/>
        <d v="1899-12-30T05:12:00Z"/>
        <d v="1899-12-30T04:24:00Z"/>
        <d v="1899-12-30T05:22:00Z"/>
        <d v="1899-12-30T03:16:00Z"/>
        <d v="1899-12-30T02:59:00Z"/>
        <d v="1899-12-30T02:14:00Z"/>
        <d v="1899-12-30T05:37:00Z"/>
        <d v="1899-12-30T03:30:00Z"/>
        <d v="1899-12-30T03:52:00Z"/>
        <d v="1899-12-30T03:31:00Z"/>
        <d v="1899-12-30T05:15:00Z"/>
        <d v="1899-12-30T04:01:00Z"/>
        <d v="1899-12-30T04:34:00Z"/>
        <d v="1899-12-30T04:14:00Z"/>
        <d v="1899-12-30T04:11:00Z"/>
        <d v="1899-12-30T03:12:00Z"/>
        <d v="1899-12-30T03:09:00Z"/>
        <d v="1899-12-30T02:52:00Z"/>
        <d v="1899-12-30T04:40:00Z"/>
        <d v="1899-12-30T04:27:00Z"/>
        <d v="1899-12-30T05:20:00Z"/>
        <d v="1899-12-30T04:55:00Z"/>
        <d v="1899-12-30T04:54:00Z"/>
        <d v="1899-12-30T03:11:00Z"/>
        <d v="1899-12-30T02:49:00Z"/>
        <d v="1899-12-30T04:03:00Z"/>
        <d v="1899-12-30T02:36:00Z"/>
        <d v="1899-12-30T04:56:00Z"/>
        <d v="1899-12-30T02:47:00Z"/>
        <d v="1899-12-30T02:29:00Z"/>
        <d v="1899-12-30T06:23:00Z"/>
        <d v="1899-12-30T03:24:00Z"/>
        <d v="1899-12-30T03:53:00Z"/>
        <d v="1899-12-30T02:26:00Z"/>
        <d v="1899-12-30T03:05:00Z"/>
        <d v="1899-12-30T03:38:00Z"/>
        <d v="1899-12-30T02:22:00Z"/>
        <d v="1899-12-30T03:49:00Z"/>
        <d v="1899-12-30T03:44:00Z"/>
        <d v="1899-12-30T02:40:00Z"/>
        <d v="1899-12-30T02:41:00Z"/>
        <d v="1899-12-30T04:39:00Z"/>
        <d v="1899-12-30T08:07:00Z"/>
        <d v="1899-12-30T02:45:00Z"/>
        <d v="1899-12-30T03:08:00Z"/>
        <d v="1899-12-30T03:37:00Z"/>
        <d v="1899-12-30T04:13:00Z"/>
        <d v="1899-12-30T04:43:00Z"/>
        <d v="1899-12-30T06:16:00Z"/>
        <d v="1899-12-30T04:23:00Z"/>
        <d v="1899-12-30T03:07:00Z"/>
        <d v="1899-12-30T04:09:00Z"/>
        <d v="1899-12-30T03:27:00Z"/>
        <d v="1899-12-30T03:59:00Z"/>
        <d v="1899-12-30T05:21:00Z"/>
        <d v="1899-12-30T04:02:00Z"/>
        <d v="1899-12-30T05:47:00Z"/>
        <d v="1899-12-30T10:51:00Z"/>
        <d v="1899-12-30T04:51:00Z"/>
        <d v="1899-12-30T05:40:00Z"/>
        <d v="1899-12-30T05:58:00Z"/>
        <d v="1899-12-30T05:49:00Z"/>
        <d v="1899-12-30T05:00:00Z"/>
        <d v="1899-12-30T07:17:00Z"/>
        <d v="1899-12-30T06:06:00Z"/>
        <d v="1899-12-30T05:57:00Z"/>
        <d v="1899-12-30T06:18:00Z"/>
        <d v="1899-12-30T09:02:00Z"/>
        <d v="1899-12-30T05:39:00Z"/>
        <d v="1899-12-30T06:43:00Z"/>
        <d v="1899-12-30T06:52:00Z"/>
        <d v="1899-12-30T07:03:00Z"/>
        <d v="1899-12-30T04:31:00Z"/>
        <d v="1899-12-30T06:33:00Z"/>
        <d v="1899-12-30T05:03:00Z"/>
        <d v="1899-12-30T06:12:00Z"/>
        <d v="1899-12-30T05:29:00Z"/>
        <d v="1899-12-30T06:45:00Z"/>
        <d v="1899-12-30T07:37:00Z"/>
        <d v="1899-12-30T07:15:00Z"/>
        <d v="1899-12-30T09:00:00Z"/>
        <d v="1899-12-30T07:23:00Z"/>
        <d v="1899-12-30T05:35:00Z"/>
        <d v="1899-12-30T03:22:00Z"/>
        <d v="1899-12-30T03:54:00Z"/>
        <d v="1899-12-30T04:44:00Z"/>
        <d v="1899-12-30T04:22:00Z"/>
        <d v="1899-12-30T04:41:00Z"/>
        <d v="1899-12-30T08:05:00Z"/>
        <d v="1899-12-30T04:07:00Z"/>
        <d v="1899-12-30T06:56:00Z"/>
        <d v="1899-12-30T07:32:00Z"/>
        <d v="1899-12-30T04:29:00Z"/>
        <d v="1899-12-30T05:48:00Z"/>
        <d v="1899-12-30T05:55:00Z"/>
        <d v="1899-12-30T03:41:00Z"/>
        <d v="1899-12-30T16:50:00Z"/>
        <d v="1899-12-30T05:50:00Z"/>
        <d v="1899-12-30T05:24:00Z"/>
        <d v="1899-12-30T03:50:00Z"/>
        <d v="1899-12-30T05:11:00Z"/>
        <d v="1899-12-30T03:20:00Z"/>
        <d v="1899-12-30T03:13:00Z"/>
        <d v="1899-12-30T05:51:00Z"/>
        <d v="1899-12-30T06:49:00Z"/>
        <d v="1899-12-30T04:42:00Z"/>
        <d v="1899-12-30T05:13:00Z"/>
      </sharedItems>
    </cacheField>
    <cacheField name="Report Delivery" numFmtId="166">
      <sharedItems containsDate="1" containsString="0" containsBlank="1">
        <d v="1899-12-30T07:39:00Z"/>
        <d v="1899-12-30T06:12:00Z"/>
        <d v="1899-12-30T05:50:00Z"/>
        <d v="1899-12-30T06:08:00Z"/>
        <d v="1899-12-30T06:21:00Z"/>
        <d v="1899-12-30T06:41:00Z"/>
        <d v="1899-12-30T06:23:00Z"/>
        <d v="1899-12-30T05:39:00Z"/>
        <d v="1899-12-30T14:16:00Z"/>
        <d v="1899-12-30T19:58:12Z"/>
        <d v="1899-12-30T05:46:51Z"/>
        <d v="1899-12-30T06:04:00Z"/>
        <d v="1899-12-30T05:54:00Z"/>
        <d v="1899-12-30T06:04:22Z"/>
        <d v="1899-12-30T05:41:32Z"/>
        <d v="1899-12-30T05:59:00Z"/>
        <d v="1899-12-30T06:00:00Z"/>
        <d v="1899-12-30T06:27:00Z"/>
        <d v="1899-12-30T06:05:00Z"/>
        <d v="1899-12-30T06:39:00Z"/>
        <d v="1899-12-30T05:54:39Z"/>
        <d v="1899-12-30T08:32:00Z"/>
        <d v="1899-12-30T06:42:00Z"/>
        <d v="1899-12-30T07:02:00Z"/>
        <d v="1899-12-30T09:23:00Z"/>
        <d v="1899-12-30T06:15:00Z"/>
        <d v="1899-12-30T06:50:00Z"/>
        <d v="1899-12-30T06:14:54Z"/>
        <d v="1899-12-30T06:17:09Z"/>
        <d v="1899-12-30T05:54:07Z"/>
        <d v="1899-12-30T06:54:00Z"/>
        <d v="1899-12-30T06:14:00Z"/>
        <d v="1899-12-30T06:30:00Z"/>
        <d v="1899-12-30T06:38:00Z"/>
        <d v="1899-12-30T06:33:00Z"/>
        <d v="1899-12-30T06:51:00Z"/>
        <d v="1899-12-30T06:34:00Z"/>
        <d v="1899-12-30T08:18:00Z"/>
        <d v="1899-12-30T07:45:00Z"/>
        <d v="1899-12-30T09:01:00Z"/>
        <d v="1899-12-30T06:44:00Z"/>
        <d v="1899-12-30T06:31:00Z"/>
        <d v="1899-12-30T07:29:00Z"/>
        <d v="1899-12-30T07:07:00Z"/>
        <d v="1899-12-30T07:33:00Z"/>
        <d v="1899-12-30T07:32:00Z"/>
        <d v="1899-12-30T07:12:00Z"/>
        <d v="1899-12-30T06:56:00Z"/>
        <d v="1899-12-30T07:34:00Z"/>
        <d v="1899-12-30T07:19:00Z"/>
        <d v="1899-12-30T05:44:00Z"/>
        <d v="1899-12-30T07:54:00Z"/>
        <d v="1899-12-30T04:51:00Z"/>
        <d v="1899-12-30T05:02:00Z"/>
        <d v="1899-12-30T05:18:00Z"/>
        <d v="1899-12-30T04:42:00Z"/>
        <d v="1899-12-30T05:32:00Z"/>
        <d v="1899-12-30T04:53:01Z"/>
        <d v="1899-12-30T05:33:00Z"/>
        <d v="1899-12-30T05:05:00Z"/>
        <d v="1899-12-30T05:37:00Z"/>
        <d v="1899-12-30T05:25:00Z"/>
        <d v="1899-12-30T05:29:00Z"/>
        <d v="1899-12-30T06:22:00Z"/>
        <d v="1899-12-30T05:53:00Z"/>
        <d v="1899-12-30T04:57:00Z"/>
        <d v="1899-12-30T05:03:00Z"/>
        <d v="1899-12-30T08:54:00Z"/>
        <d v="1899-12-30T05:31:00Z"/>
        <d v="1899-12-30T06:19:00Z"/>
        <d v="1899-12-30T06:58:00Z"/>
        <d v="1899-12-30T05:35:00Z"/>
        <d v="1899-12-30T04:50:00Z"/>
        <d v="1899-12-30T06:28:00Z"/>
        <d v="1899-12-30T06:03:00Z"/>
        <d v="1899-12-30T07:52:00Z"/>
        <d v="1899-12-30T06:09:00Z"/>
        <d v="1899-12-30T08:53:00Z"/>
        <d v="1899-12-30T08:15:00Z"/>
        <d v="1899-12-30T06:35:00Z"/>
        <d v="1899-12-30T06:46:00Z"/>
        <d v="1899-12-30T06:45:00Z"/>
        <d v="1899-12-30T07:30:00Z"/>
        <d v="1899-12-30T07:21:00Z"/>
        <d v="1899-12-30T04:40:00Z"/>
        <d v="1899-12-30T06:40:00Z"/>
        <d v="1899-12-30T07:50:00Z"/>
        <d v="1899-12-30T07:27:00Z"/>
        <d v="1899-12-30T06:26:00Z"/>
        <d v="1899-12-30T06:37:00Z"/>
        <d v="1899-12-30T05:40:00Z"/>
        <d v="1899-12-30T06:32:00Z"/>
        <d v="1899-12-30T05:22:00Z"/>
        <d v="1899-12-30T05:20:00Z"/>
        <d v="1899-12-30T04:56:00Z"/>
        <d v="1899-12-30T05:07:00Z"/>
        <d v="1899-12-30T04:14:00Z"/>
        <d v="1899-12-30T04:46:00Z"/>
        <d v="1899-12-30T04:44:00Z"/>
        <d v="1899-12-30T05:30:00Z"/>
        <d v="1899-12-30T05:17:00Z"/>
        <d v="1899-12-30T06:55:00Z"/>
        <d v="1899-12-30T06:17:00Z"/>
        <d v="1899-12-30T06:24:00Z"/>
        <d v="1899-12-30T05:46:00Z"/>
        <d v="1899-12-30T06:16:00Z"/>
        <d v="1899-12-30T06:20:00Z"/>
        <d v="1899-12-30T05:04:00Z"/>
        <d v="1899-12-30T05:43:00Z"/>
        <d v="1899-12-30T05:00:00Z"/>
        <d v="1899-12-30T04:35:00Z"/>
        <d v="1899-12-30T04:26:00Z"/>
        <d v="1899-12-30T04:52:00Z"/>
        <d v="1899-12-30T06:48:00Z"/>
        <d v="1899-12-30T04:28:00Z"/>
        <d v="1899-12-30T04:27:00Z"/>
        <d v="1899-12-30T08:13:00Z"/>
        <d v="1899-12-30T05:15:00Z"/>
        <d v="1899-12-30T04:30:00Z"/>
        <d v="1899-12-30T05:34:00Z"/>
        <d v="1899-12-30T04:45:00Z"/>
        <d v="1899-12-30T05:10:00Z"/>
        <d v="1899-12-30T04:20:00Z"/>
        <d v="1899-12-30T04:55:00Z"/>
        <d v="1899-12-30T04:38:00Z"/>
        <d v="1899-12-30T05:16:00Z"/>
        <d v="1899-12-30T04:48:00Z"/>
        <d v="1899-12-30T05:24:00Z"/>
        <d v="1899-12-30T04:37:00Z"/>
        <d v="1899-12-30T04:34:00Z"/>
        <d v="1899-12-30T05:19:00Z"/>
        <d v="1899-12-30T12:41:00Z"/>
        <d v="1899-12-30T05:26:00Z"/>
        <d v="1899-12-30T05:56:00Z"/>
        <d v="1899-12-30T05:57:00Z"/>
        <d v="1899-12-30T08:17:00Z"/>
        <d v="1899-12-30T06:13:00Z"/>
        <d v="1899-12-30T05:08:00Z"/>
        <d v="1899-12-30T05:51:00Z"/>
        <d v="1899-12-30T05:06:00Z"/>
        <d v="1899-12-30T06:01:00Z"/>
        <d v="1899-12-30T05:52:00Z"/>
        <d v="1899-12-30T05:58:00Z"/>
        <d v="1899-12-30T07:51:00Z"/>
        <d v="1899-12-30T12:37:00Z"/>
        <d v="1899-12-30T07:43:00Z"/>
        <d v="1899-12-30T08:04:00Z"/>
        <d v="1899-12-30T07:20:00Z"/>
        <d v="1899-12-30T06:10:00Z"/>
        <d v="1899-12-30T09:26:00Z"/>
        <d v="1899-12-30T08:09:00Z"/>
        <d v="1899-12-30T08:27:00Z"/>
        <d v="1899-12-30T11:02:00Z"/>
        <d v="1899-12-30T07:22:00Z"/>
        <d v="1899-12-30T06:18:00Z"/>
        <d v="1899-12-30T08:55:00Z"/>
        <d v="1899-12-30T08:26:00Z"/>
        <d v="1899-12-30T07:14:00Z"/>
        <d v="1899-12-30T08:57:00Z"/>
        <d v="1899-12-30T09:03:00Z"/>
        <d v="1899-12-30T09:33:00Z"/>
        <d v="1899-12-30T12:11:00Z"/>
        <d v="1899-12-30T17:39:00Z"/>
        <d v="1899-12-30T09:22:00Z"/>
        <d v="1899-12-30T08:39:00Z"/>
        <d v="1899-12-30T11:41:00Z"/>
        <d v="1899-12-30T06:52:00Z"/>
        <d v="1899-12-30T07:41:00Z"/>
        <d v="1899-12-30T05:45:00Z"/>
        <d v="1899-12-30T08:50:00Z"/>
        <d v="1899-12-30T05:27:00Z"/>
        <d v="1899-12-30T06:25:00Z"/>
        <d v="1899-12-30T05:13:00Z"/>
        <d v="1899-12-30T07:15:00Z"/>
        <d v="1899-12-30T10:35:00Z"/>
        <d v="1899-12-30T04:21:00Z"/>
        <d v="1899-12-30T05:14:00Z"/>
        <d v="1899-12-30T09:07:00Z"/>
        <d v="1899-12-30T08:10:00Z"/>
        <d v="1899-12-30T05:48:00Z"/>
        <d v="1899-12-30T10:03:00Z"/>
        <d v="1899-12-30T05:41:00Z"/>
        <d v="1899-12-30T06:47:00Z"/>
        <d v="1899-12-30T08:12:00Z"/>
        <d v="1899-12-30T05:55:00Z"/>
        <d v="1899-12-30T05:36:00Z"/>
        <d v="1899-12-30T06:02:00Z"/>
        <d v="1899-12-30T05:28:00Z"/>
        <d v="1899-12-30T05:42:00Z"/>
        <d v="1899-12-30T07:06:00Z"/>
        <d v="1899-12-30T05:49:00Z"/>
        <d v="1899-12-30T06:11:00Z"/>
        <d v="1899-12-30T05:47:00Z"/>
        <d v="1899-12-30T16:17:00Z"/>
        <d v="1899-12-30T09:54:00Z"/>
        <d v="1899-12-30T08:00:00Z"/>
        <d v="1899-12-30T07:01:00Z"/>
        <d v="1899-12-30T07:09:00Z"/>
        <d v="1899-12-30T05:38:00Z"/>
        <d v="1899-12-30T08:16:00Z"/>
        <d v="1899-12-30T09:47:00Z"/>
        <d v="1899-12-30T06:53:00Z"/>
        <d v="1899-12-30T07:25:00Z"/>
        <d v="1899-12-30T13:14:00Z"/>
        <m/>
      </sharedItems>
    </cacheField>
    <cacheField name="RUNTIME (MINUTES)" numFmtId="3">
      <sharedItems containsString="0" containsBlank="1" containsNumber="1">
        <n v="579.0"/>
        <n v="492.00000000000017"/>
        <n v="470.0000000000001"/>
        <n v="488.0"/>
        <n v="501.0"/>
        <n v="521.0"/>
        <n v="503.0"/>
        <n v="459.0000000000001"/>
        <n v="976.0"/>
        <n v="1318.1999999999998"/>
        <n v="466.8500000000001"/>
        <n v="484.0"/>
        <n v="474.00000000000006"/>
        <n v="484.36666666666673"/>
        <n v="461.5333333333334"/>
        <n v="479.00000000000006"/>
        <n v="480.0"/>
        <n v="506.99999999999994"/>
        <n v="485.00000000000006"/>
        <n v="519.0000000000001"/>
        <n v="474.65000000000003"/>
        <n v="632.0"/>
        <n v="522.0000000000001"/>
        <n v="542.0"/>
        <n v="683.0"/>
        <n v="495.0"/>
        <n v="530.0"/>
        <n v="474.90000000000003"/>
        <n v="497.15"/>
        <n v="474.11666666666673"/>
        <n v="534.0"/>
        <n v="494.00000000000017"/>
        <n v="510.0000000000001"/>
        <n v="518.0000000000001"/>
        <n v="512.9999999999999"/>
        <n v="531.0000000000001"/>
        <n v="514.0000000000001"/>
        <n v="618.0"/>
        <n v="585.0"/>
        <n v="661.0"/>
        <n v="524.0"/>
        <n v="510.99999999999994"/>
        <n v="569.0"/>
        <n v="547.0000000000001"/>
        <n v="573.0"/>
        <n v="572.0000000000001"/>
        <n v="552.0"/>
        <n v="536.0"/>
        <n v="574.0"/>
        <n v="559.0000000000001"/>
        <n v="464.0000000000001"/>
        <n v="594.0000000000001"/>
        <n v="411.0"/>
        <n v="422.0000000000001"/>
        <n v="438.00000000000006"/>
        <n v="402.0"/>
        <n v="452.0"/>
        <n v="413.01666666666677"/>
        <n v="453.00000000000017"/>
        <n v="425.0000000000001"/>
        <n v="457.0000000000001"/>
        <n v="445.0"/>
        <n v="449.0"/>
        <n v="502.0000000000001"/>
        <n v="473.00000000000006"/>
        <n v="416.99999999999994"/>
        <n v="423.0000000000001"/>
        <n v="654.0000000000001"/>
        <n v="451.0"/>
        <n v="499.0"/>
        <n v="538.0"/>
        <n v="455.0000000000001"/>
        <n v="410.0000000000001"/>
        <n v="508.0000000000001"/>
        <n v="483.00000000000006"/>
        <n v="592.0000000000001"/>
        <n v="489.0"/>
        <n v="653.0000000000001"/>
        <n v="615.0"/>
        <n v="515.0000000000001"/>
        <n v="526.0"/>
        <n v="525.0"/>
        <n v="570.0"/>
        <n v="561.0000000000001"/>
        <n v="400.0"/>
        <n v="520.0000000000001"/>
        <n v="590.0000000000001"/>
        <n v="567.0000000000001"/>
        <n v="506.0000000000001"/>
        <n v="517.0"/>
        <n v="459.99999999999994"/>
        <n v="512.0000000000001"/>
        <n v="442.0"/>
        <n v="440.00000000000006"/>
        <n v="416.0000000000001"/>
        <n v="427.00000000000006"/>
        <n v="374.0000000000001"/>
        <n v="406.0"/>
        <n v="404.0"/>
        <n v="450.0"/>
        <n v="437.00000000000006"/>
        <n v="535.0000000000001"/>
        <n v="497.0"/>
        <n v="504.0000000000001"/>
        <n v="466.0000000000001"/>
        <n v="496.00000000000017"/>
        <n v="500.0000000000001"/>
        <n v="424.0000000000001"/>
        <n v="463.0000000000001"/>
        <n v="420.0000000000001"/>
        <n v="395.00000000000006"/>
        <n v="386.00000000000006"/>
        <n v="412.0000000000001"/>
        <n v="528.0"/>
        <n v="388.00000000000006"/>
        <n v="387.00000000000006"/>
        <n v="613.0000000000001"/>
        <n v="435.00000000000006"/>
        <n v="390.00000000000006"/>
        <n v="454.0"/>
        <n v="405.0"/>
        <n v="430.00000000000006"/>
        <n v="380.0000000000001"/>
        <n v="414.99999999999994"/>
        <n v="398.0"/>
        <n v="436.00000000000006"/>
        <n v="408.00000000000017"/>
        <n v="444.0"/>
        <n v="397.0"/>
        <n v="394.00000000000006"/>
        <n v="439.00000000000006"/>
        <n v="881.0"/>
        <n v="446.0"/>
        <n v="476.00000000000006"/>
        <n v="477.00000000000006"/>
        <n v="617.0000000000001"/>
        <n v="493.0"/>
        <n v="428.00000000000006"/>
        <n v="471.0000000000001"/>
        <n v="426.0000000000001"/>
        <n v="481.00000000000006"/>
        <n v="472.00000000000006"/>
        <n v="478.00000000000006"/>
        <n v="591.0"/>
        <n v="877.0"/>
        <n v="583.0"/>
        <n v="604.0000000000001"/>
        <n v="560.0000000000001"/>
        <n v="490.00000000000006"/>
        <n v="686.0000000000001"/>
        <n v="609.0000000000001"/>
        <n v="627.0000000000002"/>
        <n v="782.0000000000001"/>
        <n v="562.0"/>
        <n v="498.00000000000017"/>
        <n v="655.0000000000001"/>
        <n v="626.0"/>
        <n v="554.0"/>
        <n v="657.0000000000001"/>
        <n v="663.0"/>
        <n v="692.9999999999999"/>
        <n v="851.0"/>
        <n v="1179.0000000000002"/>
        <n v="682.0000000000001"/>
        <n v="639.0000000000001"/>
        <n v="821.0000000000001"/>
        <n v="532.0"/>
        <n v="581.0"/>
        <n v="465.0000000000001"/>
        <n v="650.0000000000001"/>
        <n v="447.0"/>
        <n v="504.99999999999994"/>
        <n v="433.00000000000006"/>
        <n v="555.0000000000001"/>
        <n v="755.0"/>
        <n v="381.0000000000001"/>
        <n v="434.00000000000006"/>
        <n v="667.0"/>
        <n v="610.0000000000001"/>
        <n v="468.0000000000001"/>
        <n v="723.0000000000001"/>
        <n v="461.0000000000001"/>
        <n v="527.0000000000001"/>
        <n v="612.0000000000001"/>
        <n v="475.00000000000006"/>
        <n v="456.0"/>
        <n v="482.0000000000001"/>
        <n v="448.0"/>
        <n v="461.99999999999994"/>
        <n v="546.0"/>
        <n v="469.0000000000001"/>
        <n v="491.0"/>
        <n v="467.0000000000001"/>
        <n v="1097.0"/>
        <n v="714.0"/>
        <n v="600.0000000000001"/>
        <n v="541.0000000000001"/>
        <n v="549.0000000000001"/>
        <n v="458.0"/>
        <n v="616.0"/>
        <n v="707.0000000000001"/>
        <n v="533.0"/>
        <n v="565.0000000000001"/>
        <n v="914.0"/>
        <m/>
      </sharedItems>
    </cacheField>
    <cacheField name="Inaccurate Data?" numFmtId="0">
      <sharedItems containsBlank="1">
        <m/>
        <s v="Yes"/>
      </sharedItems>
    </cacheField>
    <cacheField name="Morning of" numFmtId="0">
      <sharedItems containsBlank="1">
        <s v="tue"/>
        <s v="wed"/>
        <s v="thu"/>
        <s v="fri"/>
        <s v="sat"/>
        <s v="sun"/>
        <s v="mon"/>
        <m/>
      </sharedItems>
    </cacheField>
    <cacheField name="Reason for being late" numFmtId="0">
      <sharedItems containsBlank="1">
        <s v="INC3237926, INC3237927, INC3237925, INC3237909, INC3237906 - WS jobs failed - ORA-00600:[ktfs_upd_range-1] Can occur During Truncate Table (Doc ID 2247478.1)"/>
        <s v="HFM for late lock release"/>
        <m/>
        <s v="INC3248987 - Max. runtime of task 'ACJ_A_SLS (0081010098)' has been exceeded"/>
        <s v="Business ran Balance Carry Forward for company 1  job last night - high GL12 volume"/>
        <s v="Business ran Balance Carry Forward for all other companies job last night - high GL12 volume "/>
        <s v="INC3265377 - Task'1230_MASTER_DATA_DS/0082624754' in 'JOBP.ETL.EDW.WS_MD_1230_DS' has aborted."/>
        <s v="INC3267816 - INA: Job 092114/QSYSOPR/ECOMM_EOD has halted caused delay to daily main and sap master ecomm triggers"/>
        <s v="INC3269025 - Max. runtime of task 'ACJ_A_SLS (0083034022)' has been exceeded - Historically this job runs long on wk4 sunday"/>
        <s v="INC3270698 - Task 'N_8_INV_PRD/0083208083' in 'JOBP.ETL.EDW.WS.N_8_INV_PRD' has aborted. - CHG2030761"/>
        <s v="Unknown - table space issue?"/>
        <s v="PRB2002992 - INC3293451 - Item Profitability tables are running very long due to increase in volume."/>
        <s v="INC3286283 - Max. runtime of task 'JOBP.SAPINTG.FICA.SAP934_GOODS_MVMNT (0084795567)' has been excee"/>
        <s v="PRB2002558 (BCI Listener / Informatica issue)"/>
        <s v="INC3309010 - GL12 Discrepancy"/>
        <s v="INC3335112 - JOBS.SQL.ETL.EDW.WS.EXE_JOB_FAIR running long"/>
        <s v="INC3336332 - Unable to Complete Fresh Food Inventory"/>
        <s v="INC3337659 - Task 'ACJ_COGS_EXECUTE_ABAP/0090015575' in 'JOBP.SAPINTG.FICA.ACJ.EXECUTE/0090011232' has aborted."/>
        <s v="INC3338976 - EP1~ABAP : ABAP System not available"/>
        <s v="INC3343071 - Max. runtime of task 'INFA_VISTEX_FINAL (0090692759)' has been exceeded"/>
        <s v="INC3346136 - Sales and Inventory Delayed"/>
        <s v="Locks are late due to high number of idocs from SAP155_PO_CRT. This lead to a downstream of jobs starting and completing late. Also, there will be a HFM load which will cause locks to run longer, pushing past our 6AM SLA"/>
        <s v="Locks still on due to long running GL14 job."/>
        <s v="INC3432436 - Max. runtime of task 'INFA_GL_0100 (0099448952)' has been exceeded"/>
        <s v="INC3467053 - Multiple HR &amp; Finance Systems Unavailable // EP1 Database Offline"/>
        <s v="INC3472550 - Max. runtime of task ' INFA_AA_0230 (0102957303)' has been exceeded"/>
        <s v="Ecom High Volume"/>
        <s v="Ecom High Volume &amp; INC3524000"/>
      </sharedItems>
    </cacheField>
    <cacheField name="Category" numFmtId="0">
      <sharedItems containsBlank="1">
        <s v="DBA"/>
        <m/>
        <s v="FYE"/>
        <s v="WS"/>
        <s v="Solution Support - Depot"/>
        <s v="DC Ops"/>
        <s v="WS - Item Profitability - On going issue"/>
        <s v="SAP Integration."/>
        <s v="BCI Listner - On going issue"/>
        <s v="DIS"/>
        <s v="iSeries Administration"/>
        <s v="Finance Accounting Solutions GL/AA"/>
        <s v="EP1"/>
        <s v="Data Integration Services - High Volume"/>
        <s v="iSeries Administration - High Volume"/>
        <s v="Data Integration"/>
        <s v="Ecom High Volume PRB2003425 - On going issue"/>
        <s v="Ecom High Volume - On going issu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FY19_DATA"/>
  </cacheSource>
  <cacheFields>
    <cacheField name="DATE" numFmtId="165">
      <sharedItems containsDate="1" containsString="0" containsBlank="1"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1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3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6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  <d v="2018-11-30T00:00:00Z"/>
        <d v="2018-12-01T00:00:00Z"/>
        <d v="2018-12-02T00:00:00Z"/>
        <d v="2018-12-03T00:00:00Z"/>
        <d v="2018-12-04T00:00:00Z"/>
        <d v="2018-12-05T00:00:00Z"/>
        <d v="2018-12-06T00:00:00Z"/>
        <d v="2018-12-07T00:00:00Z"/>
        <d v="2018-12-08T00:00:00Z"/>
        <d v="2018-12-09T00:00:00Z"/>
        <d v="2018-12-10T00:00:00Z"/>
        <d v="2018-12-11T00:00:00Z"/>
        <d v="2018-12-12T00:00:00Z"/>
        <d v="2018-12-13T00:00:00Z"/>
        <d v="2018-12-14T00:00:00Z"/>
        <d v="2018-12-15T00:00:00Z"/>
        <d v="2018-12-16T00:00:00Z"/>
        <d v="2018-12-17T00:00:00Z"/>
        <d v="2018-12-18T00:00:00Z"/>
        <d v="2018-12-19T00:00:00Z"/>
        <d v="2018-12-20T00:00:00Z"/>
        <d v="2018-12-21T00:00:00Z"/>
        <d v="2018-12-22T00:00:00Z"/>
        <d v="2018-12-23T00:00:00Z"/>
        <d v="2018-12-24T00:00:00Z"/>
        <d v="2018-12-25T00:00:00Z"/>
        <d v="2018-12-26T00:00:00Z"/>
        <d v="2018-12-27T00:00:00Z"/>
        <d v="2018-12-28T00:00:00Z"/>
        <d v="2018-12-29T00:00:00Z"/>
        <d v="2018-12-30T00:00:00Z"/>
        <d v="2018-12-31T00:00:00Z"/>
        <d v="2019-01-01T00:00:00Z"/>
        <d v="2019-01-02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5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8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09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1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5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5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6T00:00:00Z"/>
        <d v="2019-06-07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2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8-31T00:00:00Z"/>
        <d v="2019-09-01T00:00:00Z"/>
        <m/>
      </sharedItems>
    </cacheField>
    <cacheField name="Day" numFmtId="0">
      <sharedItems containsBlank="1">
        <s v="Monday"/>
        <s v="Tuesday"/>
        <s v="Wednesday"/>
        <s v="Thursday"/>
        <s v="Friday"/>
        <s v="Saturday"/>
        <s v="Sunday"/>
        <m/>
      </sharedItems>
    </cacheField>
    <cacheField name="P/W" numFmtId="166">
      <sharedItems containsBlank="1">
        <s v="P1 W1"/>
        <s v="P1 W2"/>
        <s v="P1 W3"/>
        <s v="P1 W4"/>
        <s v="P2 W1"/>
        <s v="P2 W2"/>
        <s v="P2 W3"/>
        <s v="P2 W4"/>
        <s v="P3 W1"/>
        <s v="P3 W2"/>
        <s v="P3 W3"/>
        <s v="P3 W4"/>
        <s v="P4 W1"/>
        <s v="P4 W2"/>
        <s v="P4 W3"/>
        <s v="P4 W4"/>
        <s v="P5 W1"/>
        <s v="P5 W2"/>
        <s v="P5 W3"/>
        <s v="P5 W4"/>
        <s v="P6 W1"/>
        <s v="P6 W2"/>
        <s v="P6 W3"/>
        <s v="P6 W4"/>
        <s v="P7 W1"/>
        <s v="P7 W2"/>
        <s v="P7 W3"/>
        <s v="P7 W4"/>
        <s v="P8 W1"/>
        <s v="P8 W2"/>
        <s v="P8 W3"/>
        <s v="P8 W4"/>
        <s v="P9 W1"/>
        <s v="P9 W2"/>
        <s v="P9 W3"/>
        <s v="P9 W4"/>
        <s v="P10 W1"/>
        <s v="P10 W2"/>
        <s v="P10 W3"/>
        <s v="P10 W4"/>
        <s v="P11 W1"/>
        <s v="P11 W2"/>
        <s v="P11 W3"/>
        <s v="P11 W4"/>
        <s v="P12 W1"/>
        <s v="P12 W2"/>
        <s v="P12 W3"/>
        <s v="P12 W4"/>
        <s v="P13 W1"/>
        <s v="P13 W2"/>
        <s v="P13 W3"/>
        <s v="P13 W4"/>
        <m/>
      </sharedItems>
    </cacheField>
    <cacheField name="Period" numFmtId="166">
      <sharedItems containsBlank="1">
        <s v="Period 1"/>
        <s v="Period 2"/>
        <s v="Period 3"/>
        <s v="Period 4"/>
        <s v="Period 5"/>
        <s v="Period 6"/>
        <s v="Period 7"/>
        <s v="Period 8"/>
        <s v="Period 9"/>
        <s v="Period 10"/>
        <s v="Period 11"/>
        <s v="Period 12"/>
        <s v="Period 13"/>
        <m/>
      </sharedItems>
    </cacheField>
    <cacheField name="Week" numFmtId="0">
      <sharedItems containsBlank="1">
        <s v="Week 1"/>
        <s v="Week 2"/>
        <s v="Week 3"/>
        <s v="Week 4"/>
        <m/>
      </sharedItems>
    </cacheField>
    <cacheField name="Expected Start Time" numFmtId="166">
      <sharedItems containsDate="1" containsString="0" containsBlank="1">
        <d v="1899-12-30T22:00:00Z"/>
        <d v="1899-12-30T22:20:00Z"/>
        <m/>
      </sharedItems>
    </cacheField>
    <cacheField name="Period Lock">
      <sharedItems containsDate="1" containsBlank="1" containsMixedTypes="1">
        <d v="1899-12-30T03:20:00Z"/>
        <d v="1899-12-30T04:47:00Z"/>
        <d v="1899-12-30T02:37:00Z"/>
        <d v="1899-12-30T02:39:58Z"/>
        <d v="1899-12-30T02:40:00Z"/>
        <d v="1899-12-30T03:00:00Z"/>
        <d v="1899-12-30T03:04:00Z"/>
        <d v="1899-12-30T02:57:00Z"/>
        <d v="1899-12-30T02:43:00Z"/>
        <d v="1899-12-30T02:59:00Z"/>
        <d v="1899-12-30T03:02:00Z"/>
        <d v="1899-12-30T02:44:40Z"/>
        <d v="1899-12-30T03:07:00Z"/>
        <d v="1899-12-30T02:58:00Z"/>
        <d v="1899-12-30T02:47:00Z"/>
        <d v="1899-12-30T04:25:00Z"/>
        <d v="1899-12-30T02:44:00Z"/>
        <d v="1899-12-30T02:49:00Z"/>
        <d v="1899-12-30T04:57:37Z"/>
        <d v="1899-12-30T03:25:00Z"/>
        <d v="1899-12-30T02:54:50Z"/>
        <d v="1899-12-30T03:40:56Z"/>
        <d v="1899-12-30T03:55:00Z"/>
        <d v="1899-12-30T03:01:00Z"/>
        <d v="1899-12-30T02:39:00Z"/>
        <d v="1899-12-30T02:41:00Z"/>
        <d v="1899-12-30T02:43:15Z"/>
        <d v="1899-12-30T03:17:20Z"/>
        <d v="1899-12-30T03:03:00Z"/>
        <d v="1899-12-30T02:45:11Z"/>
        <d v="1899-12-30T03:04:16Z"/>
        <d v="1899-12-30T03:01:18Z"/>
        <d v="1899-12-30T03:12:20Z"/>
        <d v="1899-12-30T03:09:00Z"/>
        <d v="1899-12-30T02:52:36Z"/>
        <d v="1899-12-30T03:12:22Z"/>
        <d v="1899-12-30T02:45:00Z"/>
        <d v="1899-12-30T03:10:53Z"/>
        <d v="1899-12-30T04:34:10Z"/>
        <d v="1899-12-30T04:04:00Z"/>
        <d v="1899-12-30T03:14:00Z"/>
        <d v="1899-12-30T02:41:31Z"/>
        <d v="1899-12-30T03:01:34Z"/>
        <d v="1899-12-30T02:07:00Z"/>
        <d v="1899-12-30T03:12:00Z"/>
        <d v="1899-12-30T02:05:00Z"/>
        <d v="1899-12-30T03:10:00Z"/>
        <d v="1899-12-30T02:37:34Z"/>
        <d v="1899-12-30T04:17:00Z"/>
        <d v="1899-12-30T02:08:00Z"/>
        <d v="1899-12-30T03:10:25Z"/>
        <d v="1899-12-30T02:04:13Z"/>
        <d v="1899-12-30T02:24:00Z"/>
        <d v="1899-12-30T02:32:00Z"/>
        <d v="1899-12-30T03:10:30Z"/>
        <d v="1899-12-30T02:22:29Z"/>
        <d v="1899-12-30T02:13:00Z"/>
        <d v="1899-12-30T03:17:00Z"/>
        <d v="1899-12-30T02:25:00Z"/>
        <d v="1899-12-30T02:35:00Z"/>
        <d v="1899-12-30T01:47:14Z"/>
        <d v="1899-12-30T03:56:16Z"/>
        <d v="1899-12-30T04:13:50Z"/>
        <d v="1899-12-30T04:51:24Z"/>
        <d v="1899-12-30T03:45:00Z"/>
        <d v="1899-12-30T04:31:11Z"/>
        <d v="1899-12-30T03:55:31Z"/>
        <d v="1899-12-30T03:06:56Z"/>
        <d v="1899-12-30T03:11:00Z"/>
        <d v="1899-12-30T06:33:00Z"/>
        <d v="1899-12-30T03:16:00Z"/>
        <d v="1899-12-30T03:28:00Z"/>
        <d v="1899-12-30T02:46:00Z"/>
        <d v="1899-12-30T02:29:19Z"/>
        <d v="1899-12-30T02:52:24Z"/>
        <d v="1899-12-30T03:13:00Z"/>
        <d v="1899-12-30T04:26:00Z"/>
        <d v="1899-12-30T02:55:00Z"/>
        <d v="1899-12-30T02:21:00Z"/>
        <d v="1899-12-30T03:33:40Z"/>
        <d v="1899-12-30T02:52:00Z"/>
        <d v="1899-12-30T05:58:00Z"/>
        <d v="1899-12-30T03:44:00Z"/>
        <d v="1899-12-30T02:56:00Z"/>
        <d v="1899-12-30T04:20:00Z"/>
        <d v="1899-12-30T03:47:37Z"/>
        <d v="1899-12-30T03:27:37Z"/>
        <d v="1899-12-30T03:36:00Z"/>
        <d v="1899-12-30T02:02:00Z"/>
        <d v="1899-12-30T05:48:09Z"/>
        <d v="1899-12-30T02:04:06Z"/>
        <d v="1899-12-30T05:22:00Z"/>
        <d v="1899-12-30T03:05:00Z"/>
        <d v="1899-12-30T03:15:00Z"/>
        <d v="1899-12-30T06:11:00Z"/>
        <e v="#ERROR!"/>
        <d v="1899-12-30T02:44:57Z"/>
        <d v="1899-12-30T04:21:00Z"/>
        <d v="1899-12-30T03:12:19Z"/>
        <d v="1899-12-30T02:17:00Z"/>
        <d v="1899-12-30T03:08:00Z"/>
        <d v="1899-12-30T03:40:45Z"/>
        <d v="1899-12-30T03:23:00Z"/>
        <d v="1899-12-30T03:21:00Z"/>
        <d v="1899-12-30T03:24:00Z"/>
        <d v="1899-12-30T03:39:14Z"/>
        <d v="1899-12-30T04:07:00Z"/>
        <d v="1899-12-30T02:33:00Z"/>
        <d v="1899-12-30T03:06:00Z"/>
        <d v="1899-12-30T03:05:58Z"/>
        <d v="1899-12-30T02:03:00Z"/>
        <d v="1899-12-30T03:11:54Z"/>
        <d v="1899-12-30T02:19:08Z"/>
        <d v="1899-12-30T02:06:59Z"/>
        <d v="1899-12-30T02:18:37Z"/>
        <d v="1899-12-30T03:12:11Z"/>
        <d v="1899-12-30T04:09:00Z"/>
        <d v="1899-12-30T04:41:00Z"/>
        <d v="1899-12-30T03:10:01Z"/>
        <d v="1899-12-30T02:39:19Z"/>
        <d v="1899-12-30T02:33:47Z"/>
        <d v="1899-12-30T03:18:05Z"/>
        <d v="1899-12-30T02:37:37Z"/>
        <d v="1899-12-30T02:09:00Z"/>
        <d v="1899-12-30T03:30:00Z"/>
        <d v="1899-12-30T02:32:20Z"/>
        <d v="1899-12-30T02:14:38Z"/>
        <d v="1899-12-30T03:32:36Z"/>
        <d v="1899-12-30T02:54:00Z"/>
        <d v="1899-12-30T02:38:17Z"/>
        <d v="1899-12-30T02:27:25Z"/>
        <d v="1899-12-30T02:07:02Z"/>
        <d v="1899-12-30T02:37:03Z"/>
        <d v="1899-12-30T02:01:00Z"/>
        <d v="1899-12-30T02:06:01Z"/>
        <d v="1899-12-30T02:29:00Z"/>
        <d v="1899-12-30T02:51:00Z"/>
        <d v="1899-12-30T03:18:00Z"/>
        <d v="1899-12-30T02:18:00Z"/>
        <d v="1899-12-30T02:11:00Z"/>
        <d v="1899-12-30T02:03:43Z"/>
        <d v="1899-12-30T02:13:40Z"/>
        <d v="1899-12-30T04:02:16Z"/>
        <d v="1899-12-30T06:29:00Z"/>
        <d v="1899-12-30T02:47:30Z"/>
        <d v="1899-12-30T03:30:20Z"/>
        <d v="1899-12-30T04:12:00Z"/>
        <d v="1899-12-30T02:41:11Z"/>
        <d v="1899-12-30T02:40:12Z"/>
        <d v="1899-12-30T02:42:02Z"/>
        <d v="1899-12-30T02:40:17Z"/>
        <d v="1899-12-30T02:40:16Z"/>
        <d v="1899-12-30T03:47:24Z"/>
        <d v="1899-12-30T05:12:00Z"/>
        <d v="1899-12-30T02:56:12Z"/>
        <d v="1899-12-30T03:12:44Z"/>
        <d v="1899-12-30T03:51:00Z"/>
        <d v="1899-12-30T03:39:00Z"/>
        <d v="1899-12-30T03:17:28Z"/>
        <d v="1899-12-30T03:32:47Z"/>
        <d v="1899-12-30T04:31:00Z"/>
        <d v="1899-12-30T03:27:00Z"/>
        <d v="1899-12-30T03:02:50Z"/>
        <d v="1899-12-30T02:44:31Z"/>
        <d v="1899-12-30T03:33:47Z"/>
        <d v="1899-12-30T02:46:46Z"/>
        <d v="1899-12-30T03:42:00Z"/>
        <d v="1899-12-30T02:48:00Z"/>
        <d v="1899-12-30T03:04:18Z"/>
        <d v="1899-12-30T03:53:00Z"/>
        <d v="1899-12-30T03:26:00Z"/>
        <d v="1899-12-30T03:02:46Z"/>
        <d v="1899-12-30T03:43:45Z"/>
        <d v="1899-12-30T05:04:27Z"/>
        <d v="1899-12-30T02:53:00Z"/>
        <d v="1899-12-30T03:01:52Z"/>
        <d v="1899-12-30T03:09:57Z"/>
        <d v="1899-12-30T03:08:39Z"/>
        <d v="1899-12-30T02:47:43Z"/>
        <d v="1899-12-30T03:34:36Z"/>
        <d v="1899-12-30T02:57:03Z"/>
        <d v="1899-12-30T02:44:28Z"/>
        <d v="1899-12-30T03:11:02Z"/>
        <d v="1899-12-30T04:11:00Z"/>
        <d v="1899-12-30T02:50:07Z"/>
        <d v="1899-12-30T03:39:53Z"/>
        <d v="1899-12-30T04:22:01Z"/>
        <d v="1899-12-30T03:40:00Z"/>
        <d v="1899-12-30T03:29:00Z"/>
        <d v="1899-12-30T04:11:17Z"/>
        <d v="1899-12-30T01:40:39Z"/>
        <d v="1899-12-30T02:49:51Z"/>
        <d v="1899-12-30T02:45:09Z"/>
        <d v="1899-12-30T03:37:00Z"/>
        <d v="1899-12-30T03:16:27Z"/>
        <d v="1899-12-30T03:08:12Z"/>
        <d v="1899-12-30T05:36:00Z"/>
        <d v="1899-12-30T03:48:28Z"/>
        <d v="1899-12-30T04:53:00Z"/>
        <d v="1899-12-30T05:01:00Z"/>
        <d v="1899-12-30T02:44:17Z"/>
        <d v="1899-12-30T02:42:29Z"/>
        <d v="1899-12-30T02:47:31Z"/>
        <d v="1899-12-30T03:08:52Z"/>
        <d v="1899-12-30T02:53:44Z"/>
        <d v="1899-12-30T02:42:00Z"/>
        <d v="1899-12-30T02:51:45Z"/>
        <d v="1899-12-30T02:47:11Z"/>
        <d v="1899-12-30T02:48:51Z"/>
        <d v="1899-12-30T03:47:00Z"/>
        <d v="1899-12-30T03:48:00Z"/>
        <d v="1899-12-30T02:43:06Z"/>
        <d v="1899-12-30T03:19:50Z"/>
        <d v="1899-12-30T03:07:56Z"/>
        <d v="1899-12-30T02:45:38Z"/>
        <d v="1899-12-30T02:46:17Z"/>
        <d v="1899-12-30T03:38:00Z"/>
        <d v="1899-12-30T02:49:28Z"/>
        <d v="1899-12-30T04:07:53Z"/>
        <d v="1899-12-30T03:16:15Z"/>
        <d v="1899-12-30T02:50:00Z"/>
        <d v="1899-12-30T03:58:21Z"/>
        <d v="1899-12-30T04:45:00Z"/>
        <m/>
      </sharedItems>
    </cacheField>
    <cacheField name="Period Unlock" numFmtId="166">
      <sharedItems containsDate="1" containsString="0" containsBlank="1">
        <d v="1899-12-30T03:54:00Z"/>
        <d v="1899-12-30T05:32:00Z"/>
        <d v="1899-12-30T03:07:00Z"/>
        <d v="1899-12-30T03:01:13Z"/>
        <d v="1899-12-30T03:04:00Z"/>
        <d v="1899-12-30T03:22:00Z"/>
        <d v="1899-12-30T03:16:00Z"/>
        <d v="1899-12-30T03:28:00Z"/>
        <d v="1899-12-30T05:35:00Z"/>
        <d v="1899-12-30T03:26:00Z"/>
        <d v="1899-12-30T03:05:44Z"/>
        <d v="1899-12-30T03:21:00Z"/>
        <d v="1899-12-30T03:19:00Z"/>
        <d v="1899-12-30T03:24:00Z"/>
        <d v="1899-12-30T03:05:00Z"/>
        <d v="1899-12-30T04:46:00Z"/>
        <d v="1899-12-30T03:02:00Z"/>
        <d v="1899-12-30T03:10:00Z"/>
        <d v="1899-12-30T05:40:35Z"/>
        <d v="1899-12-30T03:06:00Z"/>
        <d v="1899-12-30T03:13:00Z"/>
        <d v="1899-12-30T04:13:00Z"/>
        <d v="1899-12-30T04:46:14Z"/>
        <d v="1899-12-30T03:11:00Z"/>
        <d v="1899-12-30T04:11:39Z"/>
        <d v="1899-12-30T04:40:00Z"/>
        <d v="1899-12-30T03:44:00Z"/>
        <d v="1899-12-30T03:19:35Z"/>
        <d v="1899-12-30T03:35:37Z"/>
        <d v="1899-12-30T03:23:00Z"/>
        <d v="1899-12-30T03:30:00Z"/>
        <d v="1899-12-30T05:11:00Z"/>
        <d v="1899-12-30T04:47:41Z"/>
        <d v="1899-12-30T04:07:33Z"/>
        <d v="1899-12-30T08:55:46Z"/>
        <d v="1899-12-30T05:27:41Z"/>
        <d v="1899-12-30T06:15:00Z"/>
        <d v="1899-12-30T03:37:00Z"/>
        <d v="1899-12-30T03:12:00Z"/>
        <d v="1899-12-30T03:16:52Z"/>
        <d v="1899-12-30T03:58:00Z"/>
        <d v="1899-12-30T03:27:00Z"/>
        <d v="1899-12-30T04:03:00Z"/>
        <d v="1899-12-30T03:35:10Z"/>
        <d v="1899-12-30T03:33:00Z"/>
        <d v="1899-12-30T05:01:47Z"/>
        <d v="1899-12-30T06:50:00Z"/>
        <d v="1899-12-30T04:00:00Z"/>
        <d v="1899-12-30T03:31:00Z"/>
        <d v="1899-12-30T03:38:00Z"/>
        <d v="1899-12-30T03:11:48Z"/>
        <d v="1899-12-30T03:34:16Z"/>
        <d v="1899-12-30T06:31:00Z"/>
        <d v="1899-12-30T03:28:40Z"/>
        <d v="1899-12-30T04:47:00Z"/>
        <d v="1899-12-30T04:26:00Z"/>
        <d v="1899-12-30T03:50:12Z"/>
        <d v="1899-12-30T02:37:39Z"/>
        <d v="1899-12-30T03:01:00Z"/>
        <d v="1899-12-30T03:43:56Z"/>
        <d v="1899-12-30T02:50:07Z"/>
        <d v="1899-12-30T09:39:00Z"/>
        <d v="1899-12-30T04:09:00Z"/>
        <d v="1899-12-30T03:52:00Z"/>
        <d v="1899-12-30T06:41:58Z"/>
        <d v="1899-12-30T04:14:18Z"/>
        <d v="1899-12-30T04:29:43Z"/>
        <d v="1899-12-30T05:35:14Z"/>
        <d v="1899-12-30T05:43:09Z"/>
        <d v="1899-12-30T04:28:00Z"/>
        <d v="1899-12-30T05:31:54Z"/>
        <d v="1899-12-30T04:55:49Z"/>
        <d v="1899-12-30T04:25:13Z"/>
        <d v="1899-12-30T03:59:00Z"/>
        <d v="1899-12-30T07:00:00Z"/>
        <d v="1899-12-30T03:41:00Z"/>
        <d v="1899-12-30T04:19:00Z"/>
        <d v="1899-12-30T03:12:22Z"/>
        <d v="1899-12-30T03:37:41Z"/>
        <d v="1899-12-30T03:42:00Z"/>
        <d v="1899-12-30T05:59:00Z"/>
        <d v="1899-12-30T03:00:00Z"/>
        <d v="1899-12-30T04:25:04Z"/>
        <d v="1899-12-30T09:22:00Z"/>
        <d v="1899-12-30T06:38:00Z"/>
        <d v="1899-12-30T04:39:00Z"/>
        <d v="1899-12-30T03:56:00Z"/>
        <d v="1899-12-30T05:25:00Z"/>
        <d v="1899-12-30T04:18:11Z"/>
        <d v="1899-12-30T10:03:00Z"/>
        <d v="1899-12-30T05:15:00Z"/>
        <d v="1899-12-30T04:08:00Z"/>
        <d v="1899-12-30T02:33:00Z"/>
        <d v="1899-12-30T02:46:37Z"/>
        <d v="1899-12-30T06:57:42Z"/>
        <d v="1899-12-30T09:46:30Z"/>
        <d v="1899-12-30T06:05:00Z"/>
        <d v="1899-12-30T03:35:00Z"/>
        <d v="1899-12-30T03:40:00Z"/>
        <d v="1899-12-30T06:36:00Z"/>
        <d v="1899-12-30T03:30:14Z"/>
        <d v="1899-12-30T09:43:16Z"/>
        <d v="1899-12-30T04:07:21Z"/>
        <d v="1899-12-30T03:18:00Z"/>
        <d v="1899-12-30T03:08:00Z"/>
        <d v="1899-12-30T03:43:00Z"/>
        <d v="1899-12-30T04:11:15Z"/>
        <d v="1899-12-30T03:47:00Z"/>
        <d v="1899-12-30T02:50:00Z"/>
        <d v="1899-12-30T04:01:00Z"/>
        <d v="1899-12-30T03:48:52Z"/>
        <d v="1899-12-30T06:24:08Z"/>
        <d v="1899-12-30T03:57:37Z"/>
        <d v="1899-12-30T04:35:00Z"/>
        <d v="1899-12-30T02:43:00Z"/>
        <d v="1899-12-30T03:57:26Z"/>
        <d v="1899-12-30T04:12:00Z"/>
        <d v="1899-12-30T03:51:07Z"/>
        <d v="1899-12-30T03:15:00Z"/>
        <d v="1899-12-30T02:52:43Z"/>
        <d v="1899-12-30T02:57:43Z"/>
        <d v="1899-12-30T02:39:50Z"/>
        <d v="1899-12-30T04:00:40Z"/>
        <d v="1899-12-30T04:29:00Z"/>
        <d v="1899-12-30T05:09:00Z"/>
        <d v="1899-12-30T04:57:00Z"/>
        <d v="1899-12-30T03:53:26Z"/>
        <d v="1899-12-30T03:06:35Z"/>
        <d v="1899-12-30T02:52:10Z"/>
        <d v="1899-12-30T04:00:43Z"/>
        <d v="1899-12-30T03:20:30Z"/>
        <d v="1899-12-30T02:52:00Z"/>
        <d v="1899-12-30T04:37:00Z"/>
        <d v="1899-12-30T03:24:15Z"/>
        <d v="1899-12-30T02:41:46Z"/>
        <d v="1899-12-30T03:59:46Z"/>
        <d v="1899-12-30T05:01:00Z"/>
        <d v="1899-12-30T03:51:00Z"/>
        <d v="1899-12-30T02:30:00Z"/>
        <d v="1899-12-30T03:34:13Z"/>
        <d v="1899-12-30T03:10:28Z"/>
        <d v="1899-12-30T03:08:14Z"/>
        <d v="1899-12-30T05:16:27Z"/>
        <d v="1899-12-30T02:29:00Z"/>
        <d v="1899-12-30T03:57:00Z"/>
        <d v="1899-12-30T04:01:03Z"/>
        <d v="1899-12-30T02:56:00Z"/>
        <d v="1899-12-30T02:41:00Z"/>
        <d v="1899-12-30T02:45:00Z"/>
        <d v="1899-12-30T02:57:00Z"/>
        <d v="1899-12-30T03:06:52Z"/>
        <d v="1899-12-30T02:37:52Z"/>
        <d v="1899-12-30T04:23:34Z"/>
        <d v="1899-12-30T07:20:00Z"/>
        <d v="1899-12-30T05:40:00Z"/>
        <d v="1899-12-30T05:14:00Z"/>
        <d v="1899-12-30T03:17:47Z"/>
        <d v="1899-12-30T04:51:00Z"/>
        <d v="1899-12-30T03:46:00Z"/>
        <d v="1899-12-30T03:23:48Z"/>
        <d v="1899-12-30T02:57:34Z"/>
        <d v="1899-12-30T03:55:00Z"/>
        <d v="1899-12-30T03:17:00Z"/>
        <d v="1899-12-30T03:34:00Z"/>
        <d v="1899-12-30T03:07:36Z"/>
        <d v="1899-12-30T03:04:59Z"/>
        <d v="1899-12-30T04:24:18Z"/>
        <d v="1899-12-30T05:49:00Z"/>
        <d v="1899-12-30T03:44:23Z"/>
        <d v="1899-12-30T03:37:12Z"/>
        <d v="1899-12-30T06:27:00Z"/>
        <d v="1899-12-30T03:45:07Z"/>
        <d v="1899-12-30T04:00:03Z"/>
        <d v="1899-12-30T05:08:00Z"/>
        <d v="1899-12-30T04:16:00Z"/>
        <d v="1899-12-30T03:41:14Z"/>
        <d v="1899-12-30T03:12:33Z"/>
        <d v="1899-12-30T04:10:41Z"/>
        <d v="1899-12-30T03:36:00Z"/>
        <d v="1899-12-30T03:20:00Z"/>
        <d v="1899-12-30T03:29:04Z"/>
        <d v="1899-12-30T04:18:00Z"/>
        <d v="1899-12-30T03:25:00Z"/>
        <d v="1899-12-30T03:45:00Z"/>
        <d v="1899-12-30T03:28:29Z"/>
        <d v="1899-12-30T04:36:00Z"/>
        <d v="1899-12-30T04:06:00Z"/>
        <d v="1899-12-30T05:16:00Z"/>
        <d v="1899-12-30T03:36:04Z"/>
        <d v="1899-12-30T04:13:58Z"/>
        <d v="1899-12-30T05:44:26Z"/>
        <d v="1899-12-30T03:49:00Z"/>
        <d v="1899-12-30T05:12:00Z"/>
        <d v="1899-12-30T03:39:00Z"/>
        <d v="1899-12-30T03:23:28Z"/>
        <d v="1899-12-30T03:53:00Z"/>
        <d v="1899-12-30T03:52:37Z"/>
        <d v="1899-12-30T03:39:13Z"/>
        <d v="1899-12-30T03:15:01Z"/>
        <d v="1899-12-30T03:52:52Z"/>
        <d v="1899-12-30T03:29:00Z"/>
        <d v="1899-12-30T04:45:21Z"/>
        <d v="1899-12-30T03:15:08Z"/>
        <d v="1899-12-30T03:35:36Z"/>
        <d v="1899-12-30T04:25:00Z"/>
        <d v="1899-12-30T04:50:00Z"/>
        <d v="1899-12-30T03:23:40Z"/>
        <d v="1899-12-30T04:10:04Z"/>
        <d v="1899-12-30T05:04:37Z"/>
        <d v="1899-12-30T04:53:00Z"/>
        <d v="1899-12-30T05:35:43Z"/>
        <d v="1899-12-30T05:28:00Z"/>
        <d v="1899-12-30T04:21:00Z"/>
        <d v="1899-12-30T02:28:53Z"/>
        <d v="1899-12-30T03:23:32Z"/>
        <d v="1899-12-30T03:09:41Z"/>
        <d v="1899-12-30T04:17:00Z"/>
        <d v="1899-12-30T04:41:00Z"/>
        <d v="1899-12-30T03:46:36Z"/>
        <d v="1899-12-30T03:48:10Z"/>
        <d v="1899-12-30T06:40:00Z"/>
        <d v="1899-12-30T04:48:44Z"/>
        <d v="1899-12-30T05:36:00Z"/>
        <d v="1899-12-30T05:50:00Z"/>
        <d v="1899-12-30T03:24:50Z"/>
        <d v="1899-12-30T03:18:41Z"/>
        <d v="1899-12-30T03:26:11Z"/>
        <d v="1899-12-30T03:29:57Z"/>
        <d v="1899-12-30T03:50:00Z"/>
        <d v="1899-12-30T06:43:00Z"/>
        <d v="1899-12-30T03:30:30Z"/>
        <d v="1899-12-30T04:20:00Z"/>
        <d v="1899-12-30T03:35:15Z"/>
        <d v="1899-12-30T03:29:35Z"/>
        <d v="1899-12-30T03:16:35Z"/>
        <d v="1899-12-30T04:27:00Z"/>
        <d v="1899-12-30T04:02:26Z"/>
        <d v="1899-12-30T03:44:30Z"/>
        <d v="1899-12-30T03:41:30Z"/>
        <d v="1899-12-30T03:51:29Z"/>
        <d v="1899-12-30T03:04:54Z"/>
        <d v="1899-12-30T04:07:00Z"/>
        <d v="1899-12-30T03:38:07Z"/>
        <d v="1899-12-30T04:35:21Z"/>
        <d v="1899-12-30T04:24:00Z"/>
        <d v="1899-12-30T03:59:15Z"/>
        <d v="1899-12-30T03:38:15Z"/>
        <d v="1899-12-30T04:28:51Z"/>
        <d v="1899-12-30T04:04:00Z"/>
        <m/>
      </sharedItems>
    </cacheField>
    <cacheField name="Report Delivery" numFmtId="166">
      <sharedItems containsDate="1" containsString="0" containsBlank="1">
        <d v="1899-12-30T06:10:00Z"/>
        <d v="1899-12-30T07:51:00Z"/>
        <d v="1899-12-30T06:18:00Z"/>
        <d v="1899-12-30T05:47:57Z"/>
        <d v="1899-12-30T09:30:00Z"/>
        <d v="1899-12-30T06:15:00Z"/>
        <d v="1899-12-30T06:14:00Z"/>
        <d v="1899-12-30T05:49:00Z"/>
        <d v="1899-12-30T07:10:00Z"/>
        <d v="1899-12-30T09:20:00Z"/>
        <d v="1899-12-30T07:38:00Z"/>
        <d v="1899-12-30T06:27:45Z"/>
        <d v="1899-12-30T06:07:00Z"/>
        <d v="1899-12-30T06:27:00Z"/>
        <d v="1899-12-30T05:52:00Z"/>
        <d v="1899-12-30T06:01:00Z"/>
        <d v="1899-12-30T07:22:00Z"/>
        <d v="1899-12-30T07:37:00Z"/>
        <d v="1899-12-30T07:06:00Z"/>
        <d v="1899-12-30T06:01:41Z"/>
        <d v="1899-12-30T08:22:00Z"/>
        <d v="1899-12-30T06:08:00Z"/>
        <d v="1899-12-30T09:25:00Z"/>
        <d v="1899-12-30T06:07:59Z"/>
        <d v="1899-12-30T08:35:29Z"/>
        <d v="1899-12-30T06:11:00Z"/>
        <d v="1899-12-30T06:55:00Z"/>
        <d v="1899-12-30T07:11:35Z"/>
        <d v="1899-12-30T07:31:00Z"/>
        <d v="1899-12-30T08:57:00Z"/>
        <d v="1899-12-30T06:04:42Z"/>
        <d v="1899-12-30T06:12:28Z"/>
        <d v="1899-12-30T05:53:00Z"/>
        <d v="1899-12-30T06:40:00Z"/>
        <d v="1899-12-30T17:19:09Z"/>
        <d v="1899-12-30T07:05:00Z"/>
        <d v="1899-12-30T08:00:00Z"/>
        <d v="1899-12-30T12:13:00Z"/>
        <d v="1899-12-30T11:44:00Z"/>
        <d v="1899-12-30T15:04:00Z"/>
        <d v="1899-12-30T06:56:00Z"/>
        <d v="1899-12-30T06:20:00Z"/>
        <d v="1899-12-30T05:54:00Z"/>
        <d v="1899-12-30T07:00:00Z"/>
        <d v="1899-12-30T05:35:38Z"/>
        <d v="1899-12-30T05:57:00Z"/>
        <d v="1899-12-30T06:22:00Z"/>
        <d v="1899-12-30T05:51:00Z"/>
        <d v="1899-12-30T06:42:51Z"/>
        <d v="1899-12-30T07:15:00Z"/>
        <d v="1899-12-30T05:45:00Z"/>
        <d v="1899-12-30T06:30:00Z"/>
        <d v="1899-12-30T06:01:06Z"/>
        <d v="1899-12-30T06:25:00Z"/>
        <d v="1899-12-30T08:33:00Z"/>
        <d v="1899-12-30T06:46:00Z"/>
        <d v="1899-12-30T05:41:00Z"/>
        <d v="1899-12-30T06:06:00Z"/>
        <d v="1899-12-30T06:12:00Z"/>
        <d v="1899-12-30T05:56:23Z"/>
        <d v="1899-12-30T06:29:58Z"/>
        <d v="1899-12-30T05:42:14Z"/>
        <d v="1899-12-30T04:43:35Z"/>
        <d v="1899-12-30T08:50:00Z"/>
        <d v="1899-12-30T07:24:00Z"/>
        <d v="1899-12-30T07:33:00Z"/>
        <d v="1899-12-30T07:49:00Z"/>
        <d v="1899-12-30T17:44:00Z"/>
        <d v="1899-12-30T05:42:00Z"/>
        <d v="1899-12-30T05:30:00Z"/>
        <d v="1899-12-30T08:51:38Z"/>
        <d v="1899-12-30T06:48:00Z"/>
        <d v="1899-12-30T06:48:53Z"/>
        <d v="1899-12-30T07:32:38Z"/>
        <d v="1899-12-30T06:28:00Z"/>
        <d v="1899-12-30T08:46:06Z"/>
        <d v="1899-12-30T10:49:00Z"/>
        <d v="1899-12-30T10:26:00Z"/>
        <d v="1899-12-30T10:07:41Z"/>
        <d v="1899-12-30T12:23:00Z"/>
        <d v="1899-12-30T07:46:00Z"/>
        <d v="1899-12-30T06:23:00Z"/>
        <d v="1899-12-30T11:40:00Z"/>
        <d v="1899-12-30T07:07:00Z"/>
        <d v="1899-12-30T11:22:55Z"/>
        <d v="1899-12-30T10:27:43Z"/>
        <d v="1899-12-30T08:32:00Z"/>
        <d v="1899-12-30T17:51:00Z"/>
        <d v="1899-12-30T11:35:00Z"/>
        <d v="1899-12-30T11:13:00Z"/>
        <d v="1899-12-30T12:01:00Z"/>
        <d v="1899-12-30T11:21:00Z"/>
        <d v="1899-12-30T09:48:00Z"/>
        <d v="1899-12-30T09:00:00Z"/>
        <d v="1899-12-30T12:45:00Z"/>
        <d v="1899-12-30T21:01:00Z"/>
        <d v="1899-12-30T12:09:00Z"/>
        <d v="1899-12-30T07:23:50Z"/>
        <d v="1899-12-30T06:32:29Z"/>
        <d v="1899-12-30T05:01:00Z"/>
        <d v="1899-12-30T05:37:00Z"/>
        <d v="1899-12-30T12:14:00Z"/>
        <d v="1899-12-30T21:01:35Z"/>
        <d v="1899-12-30T14:07:05Z"/>
        <d v="1899-12-30T07:39:17Z"/>
        <d v="1899-12-30T05:30:27Z"/>
        <d v="1899-12-30T05:43:00Z"/>
        <d v="1899-12-30T12:35:00Z"/>
        <d v="1899-12-30T10:49:39Z"/>
        <d v="1899-12-30T15:39:00Z"/>
        <d v="1899-12-30T11:29:32Z"/>
        <d v="1899-12-30T05:55:10Z"/>
        <d v="1899-12-30T06:17:00Z"/>
        <d v="1899-12-30T10:36:00Z"/>
        <d v="1899-12-30T08:40:00Z"/>
        <d v="1899-12-30T20:47:00Z"/>
        <d v="1899-12-30T23:44:00Z"/>
        <d v="1899-12-30T06:39:46Z"/>
        <d v="1899-12-30T06:29:00Z"/>
        <d v="1899-12-30T22:31:00Z"/>
        <d v="1899-12-30T11:30:00Z"/>
        <d v="1899-12-30T06:21:00Z"/>
        <d v="1899-12-30T07:15:54Z"/>
        <d v="1899-12-30T06:13:53Z"/>
        <d v="1899-12-30T06:34:00Z"/>
        <d v="1899-12-30T06:37:00Z"/>
        <d v="1899-12-30T06:32:00Z"/>
        <d v="1899-12-30T06:19:42Z"/>
        <d v="1899-12-30T07:14:00Z"/>
        <d v="1899-12-30T08:00:34Z"/>
        <d v="1899-12-30T06:17:01Z"/>
        <d v="1899-12-30T06:50:00Z"/>
        <d v="1899-12-30T05:35:57Z"/>
        <d v="1899-12-30T05:46:24Z"/>
        <d v="1899-12-30T05:09:33Z"/>
        <d v="1899-12-30T05:09:00Z"/>
        <d v="1899-12-30T05:51:59Z"/>
        <d v="1899-12-30T07:04:00Z"/>
        <d v="1899-12-30T07:02:00Z"/>
        <d v="1899-12-30T05:39:54Z"/>
        <d v="1899-12-30T05:32:16Z"/>
        <d v="1899-12-30T05:50:46Z"/>
        <d v="1899-12-30T05:44:00Z"/>
        <d v="1899-12-30T06:42:09Z"/>
        <d v="1899-12-30T06:06:05Z"/>
        <d v="1899-12-30T05:59:03Z"/>
        <d v="1899-12-30T06:29:04Z"/>
        <d v="1899-12-30T06:36:00Z"/>
        <d v="1899-12-30T06:41:00Z"/>
        <d v="1899-12-30T06:43:00Z"/>
        <d v="1899-12-30T09:18:00Z"/>
        <d v="1899-12-30T05:41:40Z"/>
        <d v="1899-12-30T07:27:00Z"/>
        <d v="1899-12-30T05:59:00Z"/>
        <d v="1899-12-30T08:18:00Z"/>
        <d v="1899-12-30T05:04:32Z"/>
        <d v="1899-12-30T05:13:00Z"/>
        <d v="1899-12-30T05:38:00Z"/>
        <d v="1899-12-30T05:40:00Z"/>
        <d v="1899-12-30T05:14:00Z"/>
        <d v="1899-12-30T04:56:06Z"/>
        <d v="1899-12-30T05:12:23Z"/>
        <d v="1899-12-30T04:38:57Z"/>
        <d v="1899-12-30T06:14:56Z"/>
        <d v="1899-12-30T05:47:00Z"/>
        <d v="1899-12-30T05:34:00Z"/>
        <d v="1899-12-30T09:03:00Z"/>
        <d v="1899-12-30T08:31:00Z"/>
        <d v="1899-12-30T05:19:39Z"/>
        <d v="1899-12-30T05:33:00Z"/>
        <d v="1899-12-30T05:29:00Z"/>
        <d v="1899-12-30T05:27:00Z"/>
        <d v="1899-12-30T06:06:21Z"/>
        <d v="1899-12-30T05:28:11Z"/>
        <d v="1899-12-30T05:10:01Z"/>
        <d v="1899-12-30T05:05:00Z"/>
        <d v="1899-12-30T05:46:00Z"/>
        <d v="1899-12-30T05:24:00Z"/>
        <d v="1899-12-30T05:26:00Z"/>
        <d v="1899-12-30T05:31:00Z"/>
        <d v="1899-12-30T05:14:22Z"/>
        <d v="1899-12-30T05:49:32Z"/>
        <d v="1899-12-30T06:00:50Z"/>
        <d v="1899-12-30T07:28:00Z"/>
        <d v="1899-12-30T05:48:00Z"/>
        <d v="1899-12-30T05:35:00Z"/>
        <d v="1899-12-30T05:42:30Z"/>
        <d v="1899-12-30T07:51:01Z"/>
        <d v="1899-12-30T05:28:00Z"/>
        <d v="1899-12-30T05:23:00Z"/>
        <d v="1899-12-30T05:25:00Z"/>
        <d v="1899-12-30T05:52:23Z"/>
        <d v="1899-12-30T05:33:31Z"/>
        <d v="1899-12-30T07:00:25Z"/>
        <d v="1899-12-30T06:04:00Z"/>
        <d v="1899-12-30T08:07:00Z"/>
        <d v="1899-12-30T11:24:00Z"/>
        <d v="1899-12-30T05:36:33Z"/>
        <d v="1899-12-30T05:15:01Z"/>
        <d v="1899-12-30T07:44:00Z"/>
        <d v="1899-12-30T05:50:00Z"/>
        <d v="1899-12-30T05:31:07Z"/>
        <d v="1899-12-30T05:36:22Z"/>
        <d v="1899-12-30T05:58:00Z"/>
        <d v="1899-12-30T05:30:45Z"/>
        <d v="1899-12-30T05:39:00Z"/>
        <d v="1899-12-30T06:49:00Z"/>
        <d v="1899-12-30T05:52:53Z"/>
        <d v="1899-12-30T08:48:00Z"/>
        <d v="1899-12-30T07:16:00Z"/>
        <d v="1899-12-30T07:48:00Z"/>
        <d v="1899-12-30T07:19:00Z"/>
        <d v="1899-12-30T06:15:34Z"/>
        <d v="1899-12-30T06:02:00Z"/>
        <d v="1899-12-30T05:26:27Z"/>
        <d v="1899-12-30T05:49:45Z"/>
        <d v="1899-12-30T05:57:59Z"/>
        <d v="1899-12-30T05:19:23Z"/>
        <d v="1899-12-30T06:03:58Z"/>
        <d v="1899-12-30T05:32:00Z"/>
        <d v="1899-12-30T06:57:00Z"/>
        <d v="1899-12-30T05:42:35Z"/>
        <d v="1899-12-30T05:52:24Z"/>
        <d v="1899-12-30T06:31:00Z"/>
        <d v="1899-12-30T05:52:42Z"/>
        <d v="1899-12-30T05:51:43Z"/>
        <d v="1899-12-30T06:39:00Z"/>
        <d v="1899-12-30T07:17:00Z"/>
        <d v="1899-12-30T05:22:00Z"/>
        <d v="1899-12-30T06:44:00Z"/>
        <d v="1899-12-30T06:56:17Z"/>
        <d v="1899-12-30T08:17:00Z"/>
        <d v="1899-12-30T08:23:00Z"/>
        <d v="1899-12-30T06:04:50Z"/>
        <d v="1899-12-30T04:59:24Z"/>
        <d v="1899-12-30T05:36:44Z"/>
        <d v="1899-12-30T05:26:05Z"/>
        <d v="1899-12-30T05:54:40Z"/>
        <d v="1899-12-30T05:52:30Z"/>
        <d v="1899-12-30T05:45:43Z"/>
        <d v="1899-12-30T05:45:11Z"/>
        <d v="1899-12-30T05:40:41Z"/>
        <d v="1899-12-30T05:56:04Z"/>
        <d v="1899-12-30T06:03:00Z"/>
        <d v="1899-12-30T08:53:00Z"/>
        <d v="1899-12-30T05:36:00Z"/>
        <d v="1899-12-30T05:37:57Z"/>
        <d v="1899-12-30T05:36:18Z"/>
        <d v="1899-12-30T05:39:53Z"/>
        <d v="1899-12-30T08:46:00Z"/>
        <d v="1899-12-30T05:56:00Z"/>
        <d v="1899-12-30T08:02:00Z"/>
        <d v="1899-12-30T05:55:00Z"/>
        <d v="1899-12-30T07:20:00Z"/>
        <d v="1899-12-30T06:13:00Z"/>
        <d v="1899-12-30T06:12:54Z"/>
        <d v="1899-12-30T05:51:24Z"/>
        <d v="1899-12-30T12:36:00Z"/>
        <d v="1899-12-30T05:30:49Z"/>
        <d v="1899-12-30T06:54:00Z"/>
        <d v="1899-12-30T06:42:00Z"/>
        <d v="1899-12-30T06:16:00Z"/>
        <d v="1899-12-30T06:09:00Z"/>
        <d v="1899-12-30T05:59:53Z"/>
        <d v="1899-12-30T07:10:33Z"/>
        <d v="1899-12-30T07:12:00Z"/>
        <d v="1899-12-30T05:57:27Z"/>
        <d v="1899-12-30T06:35:00Z"/>
        <d v="1899-12-30T07:39:00Z"/>
        <m/>
      </sharedItems>
    </cacheField>
    <cacheField name="RUNTIME (MINUTES)" numFmtId="3">
      <sharedItems containsString="0" containsBlank="1" containsNumber="1">
        <n v="490.00000000000006"/>
        <n v="591.0"/>
        <n v="498.00000000000017"/>
        <n v="467.9500000000001"/>
        <n v="690.0000000000001"/>
        <n v="495.0"/>
        <n v="494.00000000000017"/>
        <n v="469.0000000000001"/>
        <n v="550.0"/>
        <n v="680.0000000000001"/>
        <n v="578.0"/>
        <n v="507.7500000000001"/>
        <n v="487.0"/>
        <n v="506.99999999999994"/>
        <n v="472.00000000000006"/>
        <n v="481.00000000000006"/>
        <n v="562.0"/>
        <n v="577.0"/>
        <n v="546.0"/>
        <n v="481.68333333333345"/>
        <n v="622.0"/>
        <n v="488.0"/>
        <n v="685.0"/>
        <n v="487.98333333333346"/>
        <n v="635.4833333333332"/>
        <n v="491.0"/>
        <n v="535.0000000000001"/>
        <n v="551.5833333333333"/>
        <n v="551.0"/>
        <n v="657.0000000000001"/>
        <n v="484.7"/>
        <n v="492.4666666666667"/>
        <n v="473.00000000000006"/>
        <n v="520.0000000000001"/>
        <n v="1159.15"/>
        <n v="545.0000000000001"/>
        <n v="600.0000000000001"/>
        <n v="853.0"/>
        <n v="824.0"/>
        <n v="1024.0"/>
        <n v="536.0"/>
        <n v="500.0000000000001"/>
        <n v="474.00000000000006"/>
        <n v="540.0"/>
        <n v="455.63333333333344"/>
        <n v="477.00000000000006"/>
        <n v="502.0000000000001"/>
        <n v="471.0000000000001"/>
        <n v="522.85"/>
        <n v="555.0000000000001"/>
        <n v="465.0000000000001"/>
        <n v="510.0000000000001"/>
        <n v="481.1000000000001"/>
        <n v="504.99999999999994"/>
        <n v="633.0000000000001"/>
        <n v="526.0"/>
        <n v="461.0000000000001"/>
        <n v="486.0000000000001"/>
        <n v="492.00000000000017"/>
        <n v="476.3833333333333"/>
        <n v="509.96666666666675"/>
        <n v="462.2333333333334"/>
        <n v="403.5833333333335"/>
        <n v="650.0000000000001"/>
        <n v="564.0000000000001"/>
        <n v="573.0"/>
        <n v="589.0"/>
        <n v="1184.0"/>
        <n v="461.99999999999994"/>
        <n v="450.0"/>
        <n v="651.6333333333334"/>
        <n v="528.0"/>
        <n v="528.8833333333333"/>
        <n v="572.6333333333334"/>
        <n v="508.0000000000001"/>
        <n v="646.0999999999999"/>
        <n v="769.0"/>
        <n v="746.0"/>
        <n v="727.6833333333333"/>
        <n v="863.0000000000002"/>
        <n v="586.0000000000001"/>
        <n v="503.0"/>
        <n v="820.0"/>
        <n v="547.0000000000001"/>
        <n v="802.9166666666667"/>
        <n v="747.7166666666668"/>
        <n v="632.0"/>
        <n v="1191.0"/>
        <n v="793.0000000000001"/>
        <n v="841.0"/>
        <n v="801.0000000000001"/>
        <n v="708.0"/>
        <n v="660.0"/>
        <n v="885.0"/>
        <n v="1381.0"/>
        <n v="849.0"/>
        <n v="563.8333333333335"/>
        <n v="512.4833333333333"/>
        <n v="421.0000000000001"/>
        <n v="457.0000000000001"/>
        <n v="854.0"/>
        <n v="1381.5833333333333"/>
        <n v="967.0833333333335"/>
        <n v="579.2833333333334"/>
        <n v="450.45000000000005"/>
        <n v="463.0000000000001"/>
        <n v="875.0000000000001"/>
        <n v="769.6500000000001"/>
        <n v="1059.0000000000002"/>
        <n v="809.5333333333335"/>
        <n v="475.1666666666667"/>
        <n v="497.0"/>
        <n v="756.0000000000001"/>
        <n v="640.0"/>
        <n v="1367.0"/>
        <n v="104.00000000000011"/>
        <n v="519.7666666666668"/>
        <n v="508.99999999999994"/>
        <n v="31.00000000000005"/>
        <n v="810.0"/>
        <n v="501.0"/>
        <n v="555.9000000000001"/>
        <n v="493.88333333333344"/>
        <n v="514.0000000000001"/>
        <n v="517.0"/>
        <n v="512.0000000000001"/>
        <n v="499.7000000000001"/>
        <n v="554.0"/>
        <n v="600.5666666666666"/>
        <n v="497.0166666666666"/>
        <n v="530.0"/>
        <n v="455.95000000000016"/>
        <n v="466.4"/>
        <n v="429.55"/>
        <n v="429.00000000000006"/>
        <n v="471.9833333333333"/>
        <n v="544.0"/>
        <n v="542.0"/>
        <n v="459.9000000000001"/>
        <n v="452.2666666666668"/>
        <n v="470.76666666666665"/>
        <n v="464.0000000000001"/>
        <n v="522.1500000000001"/>
        <n v="486.08333333333326"/>
        <n v="479.05000000000007"/>
        <n v="509.0666666666667"/>
        <n v="516.0000000000001"/>
        <n v="521.0"/>
        <n v="523.0000000000001"/>
        <n v="678.0000000000001"/>
        <n v="461.6666666666667"/>
        <n v="567.0000000000001"/>
        <n v="479.00000000000006"/>
        <n v="618.0"/>
        <n v="424.5333333333334"/>
        <n v="433.00000000000006"/>
        <n v="458.0"/>
        <n v="459.99999999999994"/>
        <n v="434.00000000000006"/>
        <n v="416.10000000000014"/>
        <n v="432.3833333333333"/>
        <n v="398.95"/>
        <n v="494.93333333333334"/>
        <n v="467.0000000000001"/>
        <n v="454.0"/>
        <n v="663.0"/>
        <n v="631.0000000000001"/>
        <n v="439.65000000000015"/>
        <n v="453.00000000000017"/>
        <n v="449.0"/>
        <n v="447.0"/>
        <n v="486.3500000000001"/>
        <n v="448.1833333333334"/>
        <n v="430.0166666666667"/>
        <n v="425.0000000000001"/>
        <n v="466.0000000000001"/>
        <n v="444.0"/>
        <n v="446.0"/>
        <n v="451.0"/>
        <n v="434.36666666666673"/>
        <n v="469.5333333333334"/>
        <n v="480.83333333333337"/>
        <n v="568.0000000000001"/>
        <n v="468.0000000000001"/>
        <n v="455.0000000000001"/>
        <n v="462.50000000000006"/>
        <n v="591.0166666666668"/>
        <n v="448.0"/>
        <n v="443.0"/>
        <n v="445.0"/>
        <n v="472.3833333333334"/>
        <n v="453.5166666666667"/>
        <n v="540.4166666666666"/>
        <n v="484.0"/>
        <n v="607.0"/>
        <n v="804.0"/>
        <n v="456.55000000000007"/>
        <n v="435.01666666666665"/>
        <n v="584.0000000000001"/>
        <n v="470.0000000000001"/>
        <n v="451.1166666666668"/>
        <n v="456.3666666666668"/>
        <n v="478.00000000000006"/>
        <n v="450.74999999999994"/>
        <n v="459.0000000000001"/>
        <n v="529.0"/>
        <n v="472.88333333333344"/>
        <n v="647.9999999999999"/>
        <n v="556.0"/>
        <n v="588.0000000000001"/>
        <n v="559.0000000000001"/>
        <n v="495.56666666666666"/>
        <n v="482.0000000000001"/>
        <n v="446.4500000000001"/>
        <n v="469.75000000000006"/>
        <n v="477.98333333333346"/>
        <n v="439.3833333333333"/>
        <n v="483.96666666666664"/>
        <n v="452.0"/>
        <n v="537.0000000000002"/>
        <n v="462.5833333333334"/>
        <n v="472.4"/>
        <n v="510.99999999999994"/>
        <n v="472.70000000000005"/>
        <n v="471.7166666666668"/>
        <n v="519.0000000000001"/>
        <n v="557.0000000000001"/>
        <n v="442.0"/>
        <n v="524.0"/>
        <n v="536.2833333333334"/>
        <n v="617.0000000000001"/>
        <n v="623.0"/>
        <n v="484.83333333333337"/>
        <n v="419.40000000000003"/>
        <n v="456.73333333333335"/>
        <n v="446.0833333333334"/>
        <n v="474.6666666666668"/>
        <n v="472.5"/>
        <n v="465.7166666666667"/>
        <n v="465.18333333333334"/>
        <n v="460.68333333333345"/>
        <n v="476.0666666666667"/>
        <n v="483.00000000000006"/>
        <n v="653.0000000000001"/>
        <n v="456.0"/>
        <n v="457.9500000000001"/>
        <n v="456.3"/>
        <n v="459.8833333333333"/>
        <n v="646.0"/>
        <n v="476.00000000000006"/>
        <n v="602.0000000000001"/>
        <n v="475.00000000000006"/>
        <n v="560.0000000000001"/>
        <n v="493.0"/>
        <n v="492.9"/>
        <n v="471.40000000000015"/>
        <n v="876.0000000000001"/>
        <n v="450.8166666666667"/>
        <n v="534.0"/>
        <n v="522.0000000000001"/>
        <n v="496.00000000000017"/>
        <n v="489.0"/>
        <n v="479.88333333333344"/>
        <n v="550.55"/>
        <n v="552.0"/>
        <n v="477.45"/>
        <n v="515.0000000000001"/>
        <n v="458.99999999999994"/>
        <m/>
      </sharedItems>
    </cacheField>
    <cacheField name="Inaccurate Data?" numFmtId="0">
      <sharedItems containsBlank="1">
        <m/>
        <s v="Inaccurate Data"/>
        <s v="Yes"/>
      </sharedItems>
    </cacheField>
    <cacheField name="Morning of" numFmtId="0">
      <sharedItems containsBlank="1">
        <s v="tue"/>
        <s v="wed"/>
        <s v="thu"/>
        <s v="fri"/>
        <s v="sat"/>
        <s v="sun"/>
        <s v="mon"/>
        <m/>
      </sharedItems>
    </cacheField>
    <cacheField name="Reason for being late">
      <sharedItems containsBlank="1" containsMixedTypes="1" containsNumber="1">
        <m/>
        <s v="Holiday moved checklists INC2855233 - ACJ_PAYRL in UC4 has not kicked off - Finance Accounting Solutions GL/AA"/>
        <s v="BOD144_GL_EXTR_CUPR is still running, haven't received trigger"/>
        <s v="Multiple ETL.EDW job failures - BCI listener"/>
        <s v="N_6010_apar landing appears to be hung up"/>
        <s v="Topworkflow: JOBP.SAPINTG.APAR.SAP2023_ECOM_SLS //  JOBP.SAPINTG.FICA.IDOC_POST  Type:       JOBP  Run#:       0042376883 "/>
        <s v="Alarm:'JOBP.SAPINTG.APAR.SAP575 and 571_AXWAY' are running long"/>
        <s v="N_8300_IMM_Key_Figures_0001 running long"/>
        <s v="Locks are going to be delayed due to an issue with the scheduling of a new job running in DLY_MAIN. Should expect them on in hopefully &lt;30min"/>
        <s v="JOBP.ETL.EDW.0ARTICLE_ATTR ENDED_NOT_OK "/>
        <s v="JOBP.SAPINTG.APAR.SAP141_RBC  Type:       JOBP  Run#:       0043670349  //  halted"/>
        <s v="Long running job - JOBP.ETL.SAP_MM_IM_PUR"/>
        <s v="Long running job - Alarm:'JOBS.UNIX.ETL.EDW.WS.WHERESCAPE' RunID:'0043843702' Client:'7000'"/>
        <s v="Long running job - UC4-JOBP.ETL.EDW.WS_IMM_8300_KEY_FIG_1-running long"/>
        <s v="CHG2020799 - Enhancement of extractor 0FI_GL_14 to add field ZZKSL (Group Currency)  "/>
        <s v="Long running job - 2LIS_06_INV"/>
        <s v="Long running job - WF_PROCESS_2LIS_06_INV "/>
        <s v="INA-DCRLSJBQOA did not run after the Switch and Stay causing the OAGLPRD02 - &gt; jobq to remain on hold resulting in INC2912405"/>
        <s v="Missing Fuel quest files  - Multiple GL_14 job failures"/>
        <s v="CHG2021933 SAP: VBLOCK VMware"/>
        <s v="Finance Merchandise Accounting Solutions AP/AR was SAP Integration"/>
        <s v="EP1 Issue"/>
        <s v="Long Running Job - 2LIS_06_INV "/>
        <s v="INC2939152 - Alarm:'JOBP.ETL.SAP_MM_IM_PUR' RunID:'0048841604' Has run longer than expected on Client:'7000'"/>
        <s v="INC2940247 - Multiple jobs ended not ok within Sap_master"/>
        <s v="INC2940565 = WF_PROCESS_2LIS_06_INV long running in SAP_MASTER"/>
        <s v="INC2941632 - JOBP.ETL.EDW.ATHENA_DW.BATCH_LOAD  ENDED_NOT_OK "/>
        <s v="INC2939681 - Parent: Incorrect Bill Codes for Coupon Transactions Tuesday 11/20 on West Coast locations and Wed 11/21 for all US"/>
        <s v="INC2946920 - Alarm:'JOBP.ETL.SAP_MM_IM_PUR' RunID:'0049688972' Has run longer than expected on Client:'7000'"/>
        <s v="INC2948101 - Multiple GL Extract failures in SAP_MASTER"/>
        <s v="INC2949350 - UC4-JOBP.ETL.SAP_MM_IM_PUR' RunID:'0049914310' Has run longer than expected on Client:'7000'"/>
        <s v="INC2949853 - INA- A very large amount of halted/locked jobs/ stopping SAP, Wave queues and ecom processes and INC2949866 - OMS_INVENTORY_MAINTENANCE scheduler was stopped"/>
        <s v="Oracle patching - WS Delete Procsess running long"/>
        <s v="INC2951664 - JOBP.SAPINTG.FICA.IDOC_POST  Type:       JOBP  Run#:       0050245429 "/>
        <s v="INC2952892 - JOBP.SAPINTG.APAR.SAP141_RBC_Q  Type:       JOBP  Run#:       0050349908 "/>
        <s v="INC2954140 - JOBP.SAPINTG.APAR.SAP141_RBC_Q  Type:       JOBP  Run#:       0050454281  Top Workflow name: JOBP.SAPINTG.ACCT_DLY_MAIN "/>
        <s v="INC2955431 - JOBP.ETL.SAP_MM_IM_PUR is running too long"/>
        <s v="INC2956609"/>
        <s v="INC2957239 -  Alarm:'JOBP.ETL.SAP_MM_IM_PUR' RunID:'0050759079' Has run longer than expected on Client:'7000'"/>
        <s v="INC2957671 - SAP697_GMIECO_CHK_BATCH - INC2957672 - JOBP.SAPINTG.APAR.SAP141_RBC_Q Type: JOBP Run#: 0050861596"/>
        <s v="INC2960414 JOBP.ETL.SAP.V3_JOBS_IMM - INC2960601 Alarm:'JOBP.ETL.SAP_MM_IM_PUR' RunID:'0051079050' Has run longer than expected on Client:'7000' - The Issue was related to garbage collection which was residing in EP1"/>
        <s v="INC2961553 - Alarm:'JOBP.ETL.SAP_MM_IM_PUR' RunID:'0051190183' Has run longer than expected on Client:'7000'"/>
        <s v="INC2962691 - JOBP.ETL.SAP_MM_IM_PUR is running too long! Please investigate. RunID:'0051299534"/>
        <s v="INC2963769 - SAP_MASTER: JOBP.ETL.SAP_MM_IM_PUR is running too long! Please investigate. "/>
        <s v="INC2964361 - SAP_MASTER: 2LIS_06_INV long running"/>
        <s v="mon"/>
        <s v="INC2965962 - Node failed in ep1hdb01094p02 associated with EP1"/>
        <s v="wed"/>
        <s v="INC2968092 - Alarm:'JOBP.ETL.SAP_MM_IM_PUR' RunID:'0051926314' Has run longer than expected on Client:'7000'"/>
        <s v="INC2969087 - Multiple HR &amp; Finance Systems Unavailable // EP1 Database Offline"/>
        <s v="sat"/>
        <s v="sun"/>
        <s v="tue"/>
        <s v="thur"/>
        <s v="INC2973730 - JOBP.ETL.SAP_MM_IM_PUR is running too long! Please investigate."/>
        <s v="INC2974628 for EP100003: Database Unavailable."/>
        <s v="INC2975177  - SAP_MASTER: 1AM run of 2LIS_06_inv long running"/>
        <s v="INC2975552 - GPFS issue caused multiple delays in DLY_MAIN &amp; SAP_MASTER."/>
        <s v="INC2977803 - Multiple HR &amp; Finance Systems Unavailable // EP1 Database Offline"/>
        <s v="INC2979036 JOBP.ETL.SAP_MM_IM_PUR is running too long!"/>
        <s v="INC2980699 - JOBP.ETL.EDW.2LIS_06_INV RunID 53631064 running long"/>
        <s v="EP1 Maint - INC2986467 - JOBP.ETL.SAP_MM_IM_PUR' RunID:'0054137806' Has run longer than expected on Client:'7000'"/>
        <s v="INC2991238 opened for tracking of long running 2LIS_06_INV"/>
        <s v="INC2992620 - JOBP.SAPINTG.APAR.SAP141_RBC_Q Type: JOBP Run#: 0054798034 // NO PAYMENT FILE CREATED"/>
        <s v="INC2995148- SAP133_EXT_CNTL_HFM_CLOSE_FILE (55035454) still running/no releasing locks in dly_main - 11PM workflow says that HFM was scheduled. HFM has not kicked off which is preventing period from being unlocked."/>
        <s v="SAP487_WFB - Quit filewatcher, because today is MLK holiday."/>
        <s v="INC2998721 - ACJ_PAYRL in UC4 will not kick off due to extended close"/>
        <s v="Last WS extract chuggin away."/>
        <s v="INC3003062 - JOBP.SAPINTG.BODS.BODS_INTERFACES - several workflows ended not ok"/>
        <s v="INC3004794 = SAP141_RBC_U_VALID (RUN ID# 56058752) Running extremely long in PAYMENT workflow in DLY_MAIN."/>
        <s v="WS change made"/>
        <s v="15 days"/>
        <s v="INC3010865 - R3 ACCT - JOBP.SAPINTG.APAR.VTX04_US_ONETM_CHRGBK_SETL ENDED_NOT_OK /// Run#:       0056704733"/>
        <s v="INC3011963 - EP1 Unplanned Outage  "/>
        <s v="INC3013087 - Multiple HR &amp; Finance Systems Unavailable // EP1 Database Offline"/>
        <s v="INC3014450 - Multiple Long Running ETL jobs / INFA_TRUNC has not even started - Monitoring happening on EP1 - Inaccurate data"/>
        <s v="INC3024806 - SAP_MASTER: INFA_CRM load running long. - SAP CRM/BW Database Switch - SAP Jobs Stop/Restart for 2/16"/>
        <s v="INC3025265 - Missing 2  FQ-NLC files"/>
        <s v="INC3026522 - JOBP.SAPINTG.APAR.SAP141_RBC_Q  Type:       JOBP  Run#:       0058290374 "/>
        <s v="INC3027896 - JOBP.SAPINTG.APAR.SAP141_RBC_Q  Type:       JOBP  Run#:       0058399099 //  NO PAYMENT FILE CREATED"/>
        <s v="INC3029204 - SAP_MASTER: JOBP.ETL.EDW.3FI_GL_14_S3 ENDED_NOT_OK  /// Run#:       0058513472"/>
        <s v="INC3030509 - R3 ACCT - JOBP.SAPINTG.APAR.SAP141_RBC_Q ENDED_NOT_OK /// Run#:       0058616661"/>
        <s v="Database Migration"/>
        <s v="INC3046574 - iseries  and CP1 scheduled outage are complete, verify sapintf jobs in uc4"/>
        <s v="INC3049628 - JOBP.SAPINTG.MMAT.SAP155_PO_CRT  Type:       JOBP  Run#:       0060577998 (SAP155 Completed at 3am with all 360601 idocs .Daily main is delayed due to the incoming delay of IDOC.)"/>
        <s v="INC3069587 - JOBP.SAPINTG.FICA.CHK_BATCH ENDED_NOT_OK /// Run#: 0062651851 and INC3069602 - JOBP.SAPINTG.FICA.CHK_BATCH ENDED_NOT_OK /// Run#: 0062680654 &#10;"/>
        <s v="INC3070998 - JOBP.SAPINTG.GLAA.SAP2010_IDOC_DELAY  Type:       JOBP  Run#:       0062752503  Delayed locks from going on. - Multiple Data Integrations INC’s that delayed reports from going out.  (delay in page being accepted"/>
        <s v="INC3082507- JOBP.SAPINTG.FICA.CHK_BATCH Type: JOBP Run#: 0063879622"/>
        <s v="INC3084788 - JOBP.SAPINTG.FICA.CHK_BATCH  Type:       JOBP  Run#:       0064179292  (Some batches of SAP069 were not received)"/>
        <s v="INC3087523 - Max. runtime of task 'WS_1000_MSTR_DATA_0100 (0064392570)' has been exceeded"/>
        <s v="INC3088913 - table  DS_BIC_CCIN2LIS_06_INV000 hung"/>
        <s v="INC3091400 - Task '6030_APAR_DS/0064871507' in 'JOBP.ETL.EDW.WS_APAR_6030_DS' has aborted."/>
        <s v="INC3101225 - Max. runtime of task 'WS_1000_MSTR_DATA_0100 (0065794060)' has been exceeded"/>
        <s v="INC3102696 - DB R3_ODS_DW (faip01us)WHERESCAPE job has hung as it is unable to get lock on object  DS_MST_DATE"/>
        <s v="INC3107916 - WhereScape JOB hung on Server FAIP01US DB R3_ODW_DW"/>
        <s v="WS"/>
        <s v="INC3112646 will the the Parent of all the DIS inc's"/>
        <s v="INC3114278"/>
        <s v="INC3114665 auto generated to DIS for a failed extract."/>
        <s v="INC3116139 - WS_GL14_SKINNY"/>
        <s v="​Multiple Data Integration Services jobs having issues this morning, causing a delay in locks and BI Finance Reports.​"/>
        <s v="INC3118820"/>
        <s v="INC3133262 - Task 'WF_BCI_LISTENER/0069213910' in 'JOBP.ETL.SAP_MASTER' has aborted."/>
        <s v="INC3137039 - Max. runtime of task 'JOBP.SAPINTG.FICA.SAP934_GOODS_MVMNT (0069680111)' has been exceeded"/>
        <s v="INC3139875 - Task '8300_IMM_KEY_FIG_1/0069917888' in 'JOBP.ETL.EDW.WS_IMM_8300_KEY_FIG_1' has aborted."/>
        <s v="INC3143513 - Task 'SAP487_RBC_ABAP/0070407741' in 'JOBP.SAPINTG.GLAA.SAP487_RBC' has aborted - INC3143513 - Task 'SAP487_RBC_ABAP/0070407741' in 'JOBP.SAPINTG.GLAA.SAP487_RBC' has aborted."/>
        <s v="INC3144874 -  Task 'WF_PROCESS_0CRM_SRV_REQ_INCI_H/0070482103' in 'JOBP.ETL.SAP_CRM_MASTER' has aborted"/>
        <s v="INC31448907 - Task 'SAP069_REVENUE_CHECK_BATCH/0070858654' in 'JOBP.SAPINTG.FICA.CHK_BATCH' has aborted."/>
        <s v="INC3156681 - Informatica &amp; UC4 connection issues to LDAP"/>
        <s v="INC3164854 - SAP069 was run incorrectly last night and it caused SAP069 to finish sooner than usual. DCSALESIN instead of DLYINIT"/>
        <n v="0.330188679245283"/>
        <s v="INC3171801 - Please check health of EP1 server"/>
        <s v="INC3172935 - Missing Fuel Quest files (FQ-NLC-CA-02-CT20190707XXXX.CSV and FQ-NLC-US-02-ET20190707XXXX.CSV) INC3173009 - Long running Vistex jobs caused locks to go on later than normal. Not sure why the jobs ran long. "/>
        <s v="INC3171173 - Corporate Users Unable to Connect to Citrix"/>
        <s v="INC3185853 - Task 'SAP133_GLMAIN_ABAP_COR/0074685897' in 'JOBP.SAPINTG.GLHFM.GL_CORP' has aborted."/>
        <s v="INC3187300 - ina- Job 995033/QSYSOPR/ECOMM_EOD halted"/>
        <s v="INC3188591 - INA-Job 485162/UC4INPRD/RCV_PC_HIR Halted - Finance Accounting Solutions GL/AA"/>
        <s v="INC3190008 - Data Missing in BI Reporting"/>
        <s v="INC3192908 - 4020_GL_12 job running extremely long"/>
        <s v="INC3200028 - Task 'WF_PROCESS__IRM_LIS_RM_IPPRITM/0076049932' in 'JOBP.ETL.SAP_VISTEX' has aborted."/>
        <s v="INC3206076 - Task 'SAP146_QPAY_ENCRYPT/0076600656' in 'JOBP.SAPINTG.APAR.SAP146_QPAY' has aborted."/>
        <s v=" INA400 job DSLSMUDWKG - email to Michael Tift"/>
        <s v="INC3210672 - Max. runtime of task 'INFA_VISTEX_FINAL (0077063971)' has been exceeded"/>
        <s v="INC3220598 - Task '1010_MASTER_DATA_LANDING/0078108814' in 'JOBP.ETL.EDW.WS_MD_1010_LND' has aborted. - related to INC3220027 - Need to remove and then re-create the crashed tnsnames.ora file in etlp1x and etlp2x"/>
        <s v="INC3223187 - INA - 077162/QSYSOPR/ECOMM_EOD caused a delay of 2 hours before SAP697 received its trigger, which caused a delay in locks which caused a delay in reports."/>
        <s v="INC3225307 - WhereScape Long running on Server FAIP01US DB R3_ODW_DW for midnight batch date 2019-08-21"/>
        <s v="Iseries Switch and Stay"/>
        <s v="INC3230139 - Task '6030_APAR_DS/0079157078' in 'JOBP.ETL.EDW.WS_APAR_6030_DS' has aborted."/>
        <s v="INC3231545 - Max. runtime of task 'INFA_AA_0230 (0079228675)'"/>
        <s v="INC3237926, INC3237927, INC3237925, INC3237909, INC3237906 - WS jobs failed - ORA-00600:[ktfs_upd_range-1] Can occur During Truncate Table (Doc ID 2247478.1)"/>
      </sharedItems>
    </cacheField>
    <cacheField name="Category" numFmtId="0">
      <sharedItems containsBlank="1">
        <m/>
        <s v="Finance Accounting Solutions GL/AA"/>
        <s v="FYE"/>
        <s v="BCI listener - IN PROGRESS"/>
        <s v="Data Analysis"/>
        <s v="DBA"/>
        <s v="Finance Merchandise Accounting Solutions AP/AR"/>
        <s v="Wherescape - RESOLVED"/>
        <s v="Late Locks"/>
        <s v="Data Integrations"/>
        <s v="Period End"/>
        <s v="BW - 2LIS_06_INV - RESOLVED"/>
        <s v="BW Change - RESOLVED"/>
        <s v="Switch and Stay"/>
        <s v="Fuel Quest"/>
        <s v="Infrastructure Change"/>
        <s v="EP1 - ON GOING ISSUE"/>
        <s v="RFC connection"/>
        <s v="Order Power Support"/>
        <s v="Finance Materials Management"/>
        <s v="GPFS"/>
        <s v="Wherescape"/>
        <s v="SAP CRM/BW Database Switch"/>
        <s v="Data Integration Services"/>
        <s v="Wherescape - Unknown"/>
        <s v="Database Migration"/>
        <s v="Wherescape - User error"/>
        <s v="Solution Support - MBR"/>
        <s v="WS/DBA"/>
        <s v="DI"/>
        <s v="DIS/WS"/>
        <s v="WS"/>
        <s v="BCI Listner"/>
        <s v="DC Ops"/>
        <s v="BW"/>
        <s v="DI Admin"/>
        <s v="EP1 - Volume"/>
        <s v="Storage"/>
        <s v="Solution Support - Depot"/>
        <s v="Wherescape-Dev"/>
        <s v="SAP Integration"/>
        <s v="Solution Support - ACC"/>
        <s v="iSeri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FY21 Overview" cacheId="0" dataCaption="" compact="0" compactData="0">
  <location ref="E1:F12" firstHeaderRow="0" firstDataRow="1" firstDataCol="0"/>
  <pivotFields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/W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erio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ee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xpected Start Time" compact="0" numFmtId="166" outline="0" multipleItemSelectionAllowed="1" showAll="0">
      <items>
        <item x="0"/>
        <item x="1"/>
        <item x="2"/>
        <item t="default"/>
      </items>
    </pivotField>
    <pivotField name="Period Lock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eriod Unlock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Report Delivery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RUNTIME (MINUT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Inaccurate Data?" compact="0" outline="0" multipleItemSelectionAllowed="1" showAll="0">
      <items>
        <item x="0"/>
        <item x="1"/>
        <item t="default"/>
      </items>
    </pivotField>
    <pivotField name="Morning of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ason for being l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3"/>
  </rowFields>
  <dataFields>
    <dataField name="COUNTA of Category" fld="13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FY20 Overview" cacheId="1" dataCaption="" compact="0" compactData="0">
  <location ref="E1:F20" firstHeaderRow="0" firstDataRow="1" firstDataCol="0"/>
  <pivotFields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/W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erio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ee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xpected Start Time" compact="0" numFmtId="166" outline="0" multipleItemSelectionAllowed="1" showAll="0">
      <items>
        <item x="0"/>
        <item x="1"/>
        <item x="2"/>
        <item t="default"/>
      </items>
    </pivotField>
    <pivotField name="Period Lock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Period Unlock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Report Delivery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RUNTIME (MINUTES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Inaccurate Data?" compact="0" outline="0" multipleItemSelectionAllowed="1" showAll="0">
      <items>
        <item x="0"/>
        <item x="1"/>
        <item t="default"/>
      </items>
    </pivotField>
    <pivotField name="Morning of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ason for being l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ategory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3"/>
  </rowFields>
  <dataFields>
    <dataField name="COUNTA of Category" fld="13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FY19 Overview" cacheId="2" dataCaption="" compact="0" compactData="0">
  <location ref="E1:F45" firstHeaderRow="0" firstDataRow="1" firstDataCol="0"/>
  <pivotFields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/W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erio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ee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xpected Start Time" compact="0" numFmtId="166" outline="0" multipleItemSelectionAllowed="1" showAll="0">
      <items>
        <item x="0"/>
        <item x="1"/>
        <item x="2"/>
        <item t="default"/>
      </items>
    </pivotField>
    <pivotField name="Period Lo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Period Unlock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Report Delivery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UNTIME (MINUTES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Inaccurate Data?" compact="0" outline="0" multipleItemSelectionAllowed="1" showAll="0">
      <items>
        <item x="0"/>
        <item x="1"/>
        <item x="2"/>
        <item t="default"/>
      </items>
    </pivotField>
    <pivotField name="Morning of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ason for being l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Category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3"/>
  </rowFields>
  <dataFields>
    <dataField name="COUNTA of Category" fld="13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FY19 Late Summary" cacheId="2" dataCaption="" compact="0" compactData="0">
  <location ref="A1:B45" firstHeaderRow="0" firstDataRow="1" firstDataCol="0"/>
  <pivotFields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/W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erio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ee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xpected Start Time" compact="0" numFmtId="166" outline="0" multipleItemSelectionAllowed="1" showAll="0">
      <items>
        <item x="0"/>
        <item x="1"/>
        <item x="2"/>
        <item t="default"/>
      </items>
    </pivotField>
    <pivotField name="Period Lo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Period Unlock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Report Delivery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RUNTIME (MINUTES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Inaccurate Data?" compact="0" outline="0" multipleItemSelectionAllowed="1" showAll="0">
      <items>
        <item x="0"/>
        <item x="1"/>
        <item x="2"/>
        <item t="default"/>
      </items>
    </pivotField>
    <pivotField name="Morning of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ason for being l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Category" axis="axisRow" dataField="1" compact="0" outline="0" multipleItemSelectionAllowed="1" showAll="0" sortType="ascending">
      <items>
        <item x="0"/>
        <item x="3"/>
        <item x="32"/>
        <item x="34"/>
        <item x="11"/>
        <item x="12"/>
        <item x="4"/>
        <item x="23"/>
        <item x="9"/>
        <item x="25"/>
        <item x="5"/>
        <item x="33"/>
        <item x="29"/>
        <item x="35"/>
        <item x="30"/>
        <item x="16"/>
        <item x="36"/>
        <item x="1"/>
        <item x="19"/>
        <item x="6"/>
        <item x="14"/>
        <item x="2"/>
        <item x="20"/>
        <item x="15"/>
        <item x="42"/>
        <item x="8"/>
        <item x="18"/>
        <item x="10"/>
        <item x="17"/>
        <item x="22"/>
        <item x="40"/>
        <item x="41"/>
        <item x="38"/>
        <item x="27"/>
        <item x="37"/>
        <item x="13"/>
        <item x="21"/>
        <item x="7"/>
        <item x="24"/>
        <item x="26"/>
        <item x="39"/>
        <item x="31"/>
        <item x="28"/>
        <item t="default"/>
      </items>
    </pivotField>
  </pivotFields>
  <rowFields>
    <field x="13"/>
  </rowFields>
  <dataFields>
    <dataField name="COUNTA of Category" fld="13" subtotal="count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FY20 Late Summary" cacheId="1" dataCaption="" compact="0" compactData="0">
  <location ref="A1:B20" firstHeaderRow="0" firstDataRow="1" firstDataCol="0"/>
  <pivotFields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/W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eriod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ee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xpected Start Time" compact="0" numFmtId="166" outline="0" multipleItemSelectionAllowed="1" showAll="0">
      <items>
        <item x="0"/>
        <item x="1"/>
        <item x="2"/>
        <item t="default"/>
      </items>
    </pivotField>
    <pivotField name="Period Lock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Period Unlock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Report Delivery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RUNTIME (MINUTES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Inaccurate Data?" compact="0" outline="0" multipleItemSelectionAllowed="1" showAll="0">
      <items>
        <item x="0"/>
        <item x="1"/>
        <item t="default"/>
      </items>
    </pivotField>
    <pivotField name="Morning of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ason for being l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ategory" axis="axisRow" dataField="1" compact="0" outline="0" multipleItemSelectionAllowed="1" showAll="0" sortType="ascending">
      <items>
        <item x="1"/>
        <item x="8"/>
        <item x="15"/>
        <item x="13"/>
        <item x="0"/>
        <item x="5"/>
        <item x="9"/>
        <item x="17"/>
        <item x="16"/>
        <item x="12"/>
        <item x="11"/>
        <item x="2"/>
        <item x="10"/>
        <item x="14"/>
        <item x="7"/>
        <item x="4"/>
        <item x="3"/>
        <item x="6"/>
        <item t="default"/>
      </items>
    </pivotField>
  </pivotFields>
  <rowFields>
    <field x="13"/>
  </rowFields>
  <dataFields>
    <dataField name="COUNTA of Category" fld="13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urldefense.proofpoint.com/v2/url?u=https-3A__costcocarts.service-2Dnow.com_nav-5Fto.do-3Furi-3Dincident.do-253Fsys-5Fid-3D4d2aa6afdb6e2b4c75ddf209af96193e-2526sysparm-5Fstack-3Dincident-5Flist.do-253Fsysparm-5Fquery-3Dactive-3Dtrue&amp;d=DwMFaQ&amp;c=pApUd0AUA6FmKRo01iR_VA&amp;r=Qw1JAjuYdxsB9Vo2itPX2uLchjz0QtzIGfC6wO3pQJA&amp;m=JrAO4Qoksea5zzRoiW7xwOejgqi9ANpiLy4SHJPRYGw&amp;s=z37LLJHNN4gZuit9iDBAru7-IeXiWLXC9lIwi_a1X0E&amp;e=" TargetMode="External"/><Relationship Id="rId2" Type="http://schemas.openxmlformats.org/officeDocument/2006/relationships/hyperlink" Target="https://urldefense.proofpoint.com/v2/url?u=https-3A__costcocarts.service-2Dnow.com_nav-5Fto.do-3Furi-3D-252Fincident.do-253Fsys-5Fid-253D2da55c58dbfe2b484af17749af961923-2526sysparm-5Fstack-253D-2526sysparm-5Fview-253D&amp;d=DwMFaQ&amp;c=pApUd0AUA6FmKRo01iR_VA&amp;r=aJhFFUIx2brJ_U0mYALNBaAgaoTP9TKV96GQP_JIbdZvax-SYPHt-9crVTA-ALHO&amp;m=fFOaFp6s2JDoxwy-a90aH1EHlwYPfAf5hAF8rV1DtF4&amp;s=_ISvuaDFpi0B3nbMnHchwc2U9B9HNxa63muGjixzcQE&amp;e=" TargetMode="External"/><Relationship Id="rId3" Type="http://schemas.openxmlformats.org/officeDocument/2006/relationships/hyperlink" Target="https://urldefense.proofpoint.com/v2/url?u=https-3A__costcocarts.service-2Dnow.com_nav-5Fto.do-3Furi-3Dincident.do-253Fsys-5Fid-3Db4342a6fdb8f67804becf72aaf9619ba-2526sysparm-5Fstack-3Dincident-5Flist.do-253Fsysparm-5Fquery-3Dactive-3Dtrue&amp;d=DwMCaQ&amp;c=pApUd0AUA6FmKRo01iR_VA&amp;r=636enZoYYPCVvvOaI3-qeg&amp;m=ckWukKEhP-RLYQ3dyoFzNEChwAZjBjJXnGkdAD7ck7w&amp;s=Cwy_qeCvZhebu7717b2aJ5Aubpjb4Nzpkiqf2tCAWZM&amp;e=" TargetMode="External"/><Relationship Id="rId4" Type="http://schemas.openxmlformats.org/officeDocument/2006/relationships/hyperlink" Target="https://plus.google.com/u/0/113123826605096247167/about" TargetMode="External"/><Relationship Id="rId9" Type="http://schemas.openxmlformats.org/officeDocument/2006/relationships/drawing" Target="../drawings/drawing11.xml"/><Relationship Id="rId5" Type="http://schemas.openxmlformats.org/officeDocument/2006/relationships/hyperlink" Target="https://costcocarts.service-now.com/incident.do?sys_id=1a3b0a49db7037c0efe4e05c8a961931&amp;sysparm_record_target=incident&amp;sysparm_record_row=4&amp;sysparm_record_rows=26&amp;sysparm_record_list=sys_updated_byINablazquez%2CJREHm%2Csstone%2Cpskrait%2Ciochoa%2Cabroaddus%2Cbhart%2Crobharrison%2Ctcronin%2Cdshearerx%2CJctrujillo%2Cvcwen%5Esys_updated_onBETWEENjavascript%3Ags.beginningOfYesterday%28%29%40javascript%3Ags.endOfCurrentMinute%28%29%5ENQopened_atBETWEENjavascript%3Ags.beginningOfYesterday%28%29%40javascript%3Ags.endOfCurrentMinute%28%29%5Ecaller_id%3D8d5b8bd38c4c1500c6c95a9037c80b5f%5EEQ%5EORDERBYDESCsys_updated_on" TargetMode="External"/><Relationship Id="rId6" Type="http://schemas.openxmlformats.org/officeDocument/2006/relationships/hyperlink" Target="https://costcocarts.service-now.com/nav_to.do?uri=%2Fincident.do%3Fsys_id%3D068b92781bb2b7c0a0c8217e6e4bcb44%26sysparm_stack%3D%26sysparm_view%3D" TargetMode="External"/><Relationship Id="rId7" Type="http://schemas.openxmlformats.org/officeDocument/2006/relationships/hyperlink" Target="https://costcocarts.service-now.com/nav_to.do?uri=%2Fincident.do%3Fsys_id%3D00158b651bf2fb009d6b624d6e4bcb13%26sysparm_stack%3D%26sysparm_view%3D" TargetMode="External"/><Relationship Id="rId8" Type="http://schemas.openxmlformats.org/officeDocument/2006/relationships/hyperlink" Target="https://urldefense.proofpoint.com/v2/url?u=https-3A__costcocarts.service-2Dnow.com_nav-5Fto.do-3Furi-3Dincident.do-253Fsys-5Fid-3D188bbaf21b5f7700de19caae6e4bcbd2-2526sysparm-5Fstack-3Dincident-5Flist.do-253Fsysparm-5Fquery-3Dactive-3Dtrue&amp;d=DwMCaQ&amp;c=pApUd0AUA6FmKRo01iR_VA&amp;r=636enZoYYPCVvvOaI3-qeg&amp;m=TCVlyfx6jo40lYygg-qMMLuHUfHx8M5yP12BgFrFG_k&amp;s=aZaCnRjUs-wgUtIZfTDY1UQmuPuNVbSLRL_WDFZXZ2A&amp;e=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urldefense.proofpoint.com/v2/url?u=https-3A__costcocarts.service-2Dnow.com_nav-5Fto.do-3Furi-3Dincident.do-253Fsys-5Fid-3D93db8519dba39c108b97f260399619f8-2526sysparm-5Fstack-3Dincident-5Flist.do-253Fsysparm-5Fquery-3Dactive-3Dtrue&amp;d=DwMCaQ&amp;c=pApUd0AUA6FmKRo01iR_VA&amp;r=636enZoYYPCVvvOaI3-qeg&amp;m=GrxXq7E3OB9MTBn6N_rBpLEYkWdbcbyfTvKYAmlIAeY&amp;s=dG6fEwPQ5zru597oFKMDRAgw25YgTdAPSKvJG4ib4Kg&amp;e=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costcocarts.service-now.com/incident.do?sys_id=f8b5375b1b0c4450a0c8217e6e4bcb55&amp;sysparm_record_target=incident&amp;sysparm_record_row=5&amp;sysparm_record_rows=228&amp;sysparm_record_list=sys_updated_byINablazquez%2CJrehm%2Csstone%2Cpskrait%2Ciochoa%2Cabroadd%2Cbhart%2Crobharrison%2Ctcronin%2Cdshearerx%2CJctrujillo%2Cvcwen%2CVwalker%5Esys_updated_onBETWEENjavascript%3Ags.dateGenerate%28%272019-09-11%27%2C%2706%3A00%3A00%27%29%40javascript%3Ags.endOfCurrentMinute%28%29%5ENQopened_atBETWEENjavascript%3Ags.dateGenerate%28%272019-09-11%27%2C%2706%3A00%3A00%27%29%40javascript%3Ags.endOfCurrentMinute%28%29%5Ecaller_id%3D8d5b8bd38c4c1500c6c95a9037c80b5f%5EEQ%5EORDERBYDESCsys_updated_on" TargetMode="External"/><Relationship Id="rId3" Type="http://schemas.openxmlformats.org/officeDocument/2006/relationships/drawing" Target="../drawings/drawing6.xml"/><Relationship Id="rId4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3" max="3" width="17.29"/>
    <col customWidth="1" min="4" max="4" width="3.14"/>
    <col customWidth="1" min="5" max="5" width="41.14"/>
    <col customWidth="1" min="6" max="6" width="10.0"/>
    <col customWidth="1" min="7" max="7" width="10.71"/>
    <col customWidth="1" min="8" max="8" width="11.0"/>
    <col customWidth="1" min="9" max="9" width="11.14"/>
    <col customWidth="1" min="10" max="10" width="38.86"/>
  </cols>
  <sheetData>
    <row r="1">
      <c r="A1" s="1" t="s">
        <v>0</v>
      </c>
      <c r="B1" s="2"/>
      <c r="C1" s="3"/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5" t="s">
        <v>6</v>
      </c>
    </row>
    <row r="2">
      <c r="A2" s="6" t="s">
        <v>7</v>
      </c>
      <c r="B2" s="3"/>
      <c r="C2" s="7">
        <f>counta(FY19_DATA!$I$2:$I982)</f>
        <v>365</v>
      </c>
      <c r="E2" s="8" t="s">
        <v>8</v>
      </c>
      <c r="F2" s="9">
        <v>8.0</v>
      </c>
      <c r="G2" s="10" t="s">
        <v>9</v>
      </c>
      <c r="H2" s="10" t="s">
        <v>10</v>
      </c>
      <c r="I2" s="10" t="s">
        <v>11</v>
      </c>
      <c r="J2" s="11" t="s">
        <v>12</v>
      </c>
    </row>
    <row r="3">
      <c r="A3" s="12"/>
      <c r="B3" s="13" t="s">
        <v>2</v>
      </c>
      <c r="C3" s="13" t="s">
        <v>13</v>
      </c>
      <c r="E3" s="14" t="s">
        <v>14</v>
      </c>
      <c r="F3" s="15">
        <v>6.0</v>
      </c>
      <c r="G3" s="10" t="s">
        <v>9</v>
      </c>
      <c r="H3" s="10" t="s">
        <v>10</v>
      </c>
      <c r="I3" s="10" t="s">
        <v>11</v>
      </c>
      <c r="J3" s="16" t="s">
        <v>15</v>
      </c>
    </row>
    <row r="4">
      <c r="A4" s="17" t="s">
        <v>16</v>
      </c>
      <c r="B4" s="18">
        <f>countif(FY19_DATA!$I$2:$I982,"&lt;06:01:00")</f>
        <v>148</v>
      </c>
      <c r="C4" s="19">
        <f t="shared" ref="C4:C7" si="1">B4/$C$2</f>
        <v>0.4054794521</v>
      </c>
      <c r="E4" s="14" t="s">
        <v>17</v>
      </c>
      <c r="F4" s="20">
        <v>4.0</v>
      </c>
      <c r="G4" s="10" t="s">
        <v>18</v>
      </c>
      <c r="H4" s="10" t="s">
        <v>19</v>
      </c>
      <c r="I4" s="10" t="s">
        <v>20</v>
      </c>
      <c r="J4" s="11" t="s">
        <v>21</v>
      </c>
    </row>
    <row r="5">
      <c r="A5" s="17" t="s">
        <v>22</v>
      </c>
      <c r="B5" s="18">
        <f>countif(FY19_DATA!$I$2:$I982,"&lt;06:31:00")</f>
        <v>220</v>
      </c>
      <c r="C5" s="19">
        <f t="shared" si="1"/>
        <v>0.602739726</v>
      </c>
      <c r="E5" s="14" t="s">
        <v>23</v>
      </c>
      <c r="F5" s="15">
        <v>3.0</v>
      </c>
      <c r="G5" s="10" t="s">
        <v>11</v>
      </c>
      <c r="H5" s="10" t="s">
        <v>10</v>
      </c>
      <c r="I5" s="10" t="s">
        <v>11</v>
      </c>
      <c r="J5" s="16" t="s">
        <v>24</v>
      </c>
    </row>
    <row r="6">
      <c r="A6" s="17" t="s">
        <v>25</v>
      </c>
      <c r="B6" s="18">
        <f>countif(FY19_DATA!$I$2:$I982,"&lt;07:01:00")</f>
        <v>251</v>
      </c>
      <c r="C6" s="19">
        <f t="shared" si="1"/>
        <v>0.6876712329</v>
      </c>
      <c r="E6" s="14" t="s">
        <v>26</v>
      </c>
      <c r="F6" s="15">
        <v>2.0</v>
      </c>
      <c r="G6" s="18"/>
      <c r="H6" s="10" t="s">
        <v>19</v>
      </c>
      <c r="I6" s="10" t="s">
        <v>20</v>
      </c>
      <c r="J6" s="16" t="s">
        <v>27</v>
      </c>
    </row>
    <row r="7">
      <c r="A7" s="17" t="s">
        <v>28</v>
      </c>
      <c r="B7" s="18">
        <f>countif(FY19_DATA!$I$2:$I982,"&gt;07:00:59")</f>
        <v>114</v>
      </c>
      <c r="C7" s="19">
        <f t="shared" si="1"/>
        <v>0.3123287671</v>
      </c>
      <c r="E7" s="14" t="s">
        <v>29</v>
      </c>
      <c r="F7" s="15">
        <v>2.0</v>
      </c>
      <c r="G7" s="18"/>
      <c r="H7" s="10" t="s">
        <v>19</v>
      </c>
      <c r="I7" s="10" t="s">
        <v>20</v>
      </c>
      <c r="J7" s="16" t="s">
        <v>24</v>
      </c>
    </row>
    <row r="8">
      <c r="E8" s="14" t="s">
        <v>30</v>
      </c>
      <c r="F8" s="15">
        <v>1.0</v>
      </c>
      <c r="G8" s="10" t="s">
        <v>11</v>
      </c>
      <c r="H8" s="10" t="s">
        <v>10</v>
      </c>
      <c r="I8" s="10" t="s">
        <v>11</v>
      </c>
      <c r="J8" s="11" t="s">
        <v>31</v>
      </c>
    </row>
    <row r="9">
      <c r="E9" s="14" t="s">
        <v>32</v>
      </c>
      <c r="F9" s="15">
        <v>1.0</v>
      </c>
      <c r="G9" s="10" t="s">
        <v>9</v>
      </c>
      <c r="H9" s="10" t="s">
        <v>10</v>
      </c>
      <c r="I9" s="10" t="s">
        <v>11</v>
      </c>
      <c r="J9" s="21"/>
    </row>
    <row r="10">
      <c r="E10" s="14" t="s">
        <v>33</v>
      </c>
      <c r="F10" s="15">
        <v>1.0</v>
      </c>
      <c r="G10" s="10" t="s">
        <v>34</v>
      </c>
      <c r="H10" s="10" t="s">
        <v>35</v>
      </c>
      <c r="I10" s="10" t="s">
        <v>11</v>
      </c>
      <c r="J10" s="21"/>
    </row>
    <row r="11">
      <c r="E11" s="14" t="s">
        <v>36</v>
      </c>
      <c r="F11" s="15">
        <v>1.0</v>
      </c>
      <c r="G11" s="10" t="s">
        <v>11</v>
      </c>
      <c r="H11" s="10" t="s">
        <v>10</v>
      </c>
      <c r="I11" s="10" t="s">
        <v>11</v>
      </c>
      <c r="J11" s="21"/>
    </row>
    <row r="12">
      <c r="E12" s="14" t="s">
        <v>37</v>
      </c>
      <c r="F12" s="15">
        <v>1.0</v>
      </c>
      <c r="G12" s="10" t="s">
        <v>38</v>
      </c>
      <c r="H12" s="10" t="s">
        <v>39</v>
      </c>
      <c r="I12" s="10" t="s">
        <v>11</v>
      </c>
      <c r="J12" s="16" t="s">
        <v>24</v>
      </c>
    </row>
    <row r="13">
      <c r="E13" s="14" t="s">
        <v>40</v>
      </c>
      <c r="F13" s="15">
        <v>1.0</v>
      </c>
      <c r="G13" s="10" t="s">
        <v>41</v>
      </c>
      <c r="H13" s="10" t="s">
        <v>42</v>
      </c>
      <c r="I13" s="10" t="s">
        <v>43</v>
      </c>
      <c r="J13" s="16" t="s">
        <v>44</v>
      </c>
    </row>
    <row r="14">
      <c r="E14" s="14" t="s">
        <v>45</v>
      </c>
      <c r="F14" s="15">
        <v>1.0</v>
      </c>
      <c r="G14" s="18"/>
      <c r="H14" s="10" t="s">
        <v>46</v>
      </c>
      <c r="I14" s="10" t="s">
        <v>47</v>
      </c>
      <c r="J14" s="11" t="s">
        <v>31</v>
      </c>
    </row>
    <row r="15">
      <c r="E15" s="14" t="s">
        <v>48</v>
      </c>
      <c r="F15" s="15">
        <v>1.0</v>
      </c>
      <c r="G15" s="10" t="s">
        <v>49</v>
      </c>
      <c r="H15" s="10" t="s">
        <v>42</v>
      </c>
      <c r="I15" s="10" t="s">
        <v>43</v>
      </c>
      <c r="J15" s="16" t="s">
        <v>44</v>
      </c>
    </row>
    <row r="16">
      <c r="F16" s="22"/>
      <c r="J16" s="23"/>
    </row>
    <row r="17">
      <c r="F17" s="22"/>
      <c r="J17" s="23"/>
    </row>
    <row r="18">
      <c r="F18" s="22"/>
      <c r="J18" s="23"/>
    </row>
    <row r="19">
      <c r="F19" s="22"/>
      <c r="J19" s="23"/>
    </row>
    <row r="20">
      <c r="F20" s="22"/>
      <c r="J20" s="23"/>
    </row>
    <row r="21">
      <c r="F21" s="22"/>
      <c r="J21" s="24" t="s">
        <v>50</v>
      </c>
    </row>
    <row r="22">
      <c r="F22" s="22"/>
      <c r="J22" s="23"/>
    </row>
    <row r="23">
      <c r="F23" s="22"/>
      <c r="J23" s="24" t="s">
        <v>51</v>
      </c>
    </row>
    <row r="24">
      <c r="F24" s="22"/>
      <c r="J24" s="23"/>
    </row>
    <row r="25">
      <c r="F25" s="22"/>
      <c r="J25" s="24" t="s">
        <v>52</v>
      </c>
    </row>
    <row r="26">
      <c r="F26" s="22"/>
      <c r="J26" s="23"/>
    </row>
    <row r="27">
      <c r="F27" s="22"/>
      <c r="J27" s="23"/>
    </row>
    <row r="28">
      <c r="F28" s="22"/>
      <c r="J28" s="23"/>
    </row>
    <row r="29">
      <c r="F29" s="22"/>
      <c r="J29" s="23"/>
    </row>
    <row r="30">
      <c r="F30" s="22"/>
      <c r="J30" s="23"/>
    </row>
    <row r="31">
      <c r="F31" s="22"/>
      <c r="J31" s="23"/>
    </row>
    <row r="32">
      <c r="F32" s="22"/>
      <c r="J32" s="23"/>
    </row>
    <row r="33">
      <c r="F33" s="22"/>
      <c r="J33" s="23"/>
    </row>
    <row r="34">
      <c r="F34" s="22"/>
      <c r="J34" s="23"/>
    </row>
    <row r="35">
      <c r="F35" s="22"/>
      <c r="J35" s="23"/>
    </row>
    <row r="36">
      <c r="F36" s="22"/>
      <c r="J36" s="23"/>
    </row>
    <row r="37">
      <c r="F37" s="22"/>
      <c r="J37" s="23"/>
    </row>
    <row r="38">
      <c r="F38" s="22"/>
      <c r="J38" s="23"/>
    </row>
    <row r="39">
      <c r="F39" s="22"/>
      <c r="J39" s="23"/>
    </row>
    <row r="40">
      <c r="F40" s="22"/>
      <c r="J40" s="23"/>
    </row>
    <row r="41">
      <c r="F41" s="22"/>
      <c r="J41" s="23"/>
    </row>
    <row r="42">
      <c r="F42" s="22"/>
      <c r="J42" s="23"/>
    </row>
    <row r="43">
      <c r="F43" s="22"/>
      <c r="J43" s="23"/>
    </row>
    <row r="44">
      <c r="F44" s="22"/>
      <c r="J44" s="23"/>
    </row>
    <row r="45">
      <c r="F45" s="22"/>
      <c r="J45" s="23"/>
    </row>
    <row r="46">
      <c r="F46" s="22"/>
      <c r="J46" s="23"/>
    </row>
    <row r="47">
      <c r="F47" s="22"/>
      <c r="J47" s="23"/>
    </row>
    <row r="48">
      <c r="F48" s="22"/>
      <c r="J48" s="23"/>
    </row>
    <row r="49">
      <c r="F49" s="22"/>
      <c r="J49" s="23"/>
    </row>
    <row r="50">
      <c r="F50" s="22"/>
      <c r="J50" s="23"/>
    </row>
    <row r="51">
      <c r="F51" s="22"/>
      <c r="J51" s="23"/>
    </row>
    <row r="52">
      <c r="F52" s="22"/>
      <c r="J52" s="23"/>
    </row>
    <row r="53">
      <c r="F53" s="22"/>
      <c r="J53" s="23"/>
    </row>
    <row r="54">
      <c r="F54" s="22"/>
      <c r="J54" s="23"/>
    </row>
    <row r="55">
      <c r="F55" s="22"/>
      <c r="J55" s="23"/>
    </row>
    <row r="56">
      <c r="F56" s="22"/>
      <c r="J56" s="23"/>
    </row>
    <row r="57">
      <c r="F57" s="22"/>
      <c r="J57" s="23"/>
    </row>
    <row r="58">
      <c r="F58" s="22"/>
      <c r="J58" s="23"/>
    </row>
    <row r="59">
      <c r="F59" s="22"/>
      <c r="J59" s="23"/>
    </row>
    <row r="60">
      <c r="F60" s="22"/>
      <c r="J60" s="23"/>
    </row>
    <row r="61">
      <c r="F61" s="22"/>
      <c r="J61" s="23"/>
    </row>
    <row r="62">
      <c r="F62" s="22"/>
      <c r="J62" s="23"/>
    </row>
    <row r="63">
      <c r="F63" s="22"/>
      <c r="J63" s="23"/>
    </row>
    <row r="64">
      <c r="F64" s="22"/>
      <c r="J64" s="23"/>
    </row>
    <row r="65">
      <c r="F65" s="22"/>
      <c r="J65" s="23"/>
    </row>
    <row r="66">
      <c r="F66" s="22"/>
      <c r="J66" s="23"/>
    </row>
    <row r="67">
      <c r="F67" s="22"/>
      <c r="J67" s="23"/>
    </row>
    <row r="68">
      <c r="F68" s="22"/>
      <c r="J68" s="23"/>
    </row>
    <row r="69">
      <c r="F69" s="22"/>
      <c r="J69" s="23"/>
    </row>
    <row r="70">
      <c r="F70" s="22"/>
      <c r="J70" s="23"/>
    </row>
    <row r="71">
      <c r="F71" s="22"/>
      <c r="J71" s="23"/>
    </row>
    <row r="72">
      <c r="F72" s="22"/>
      <c r="J72" s="23"/>
    </row>
    <row r="73">
      <c r="F73" s="22"/>
      <c r="J73" s="23"/>
    </row>
    <row r="74">
      <c r="F74" s="22"/>
      <c r="J74" s="23"/>
    </row>
    <row r="75">
      <c r="F75" s="22"/>
      <c r="J75" s="23"/>
    </row>
    <row r="76">
      <c r="F76" s="22"/>
      <c r="J76" s="23"/>
    </row>
    <row r="77">
      <c r="F77" s="22"/>
      <c r="J77" s="23"/>
    </row>
    <row r="78">
      <c r="F78" s="22"/>
      <c r="J78" s="23"/>
    </row>
    <row r="79">
      <c r="F79" s="22"/>
      <c r="J79" s="23"/>
    </row>
    <row r="80">
      <c r="F80" s="22"/>
      <c r="J80" s="23"/>
    </row>
    <row r="81">
      <c r="F81" s="22"/>
      <c r="J81" s="23"/>
    </row>
    <row r="82">
      <c r="F82" s="22"/>
      <c r="J82" s="23"/>
    </row>
    <row r="83">
      <c r="F83" s="22"/>
      <c r="J83" s="23"/>
    </row>
    <row r="84">
      <c r="F84" s="22"/>
      <c r="J84" s="23"/>
    </row>
    <row r="85">
      <c r="F85" s="22"/>
      <c r="J85" s="23"/>
    </row>
    <row r="86">
      <c r="F86" s="22"/>
      <c r="J86" s="23"/>
    </row>
    <row r="87">
      <c r="F87" s="22"/>
      <c r="J87" s="23"/>
    </row>
    <row r="88">
      <c r="F88" s="22"/>
      <c r="J88" s="23"/>
    </row>
    <row r="89">
      <c r="F89" s="22"/>
      <c r="J89" s="23"/>
    </row>
    <row r="90">
      <c r="F90" s="22"/>
      <c r="J90" s="23"/>
    </row>
    <row r="91">
      <c r="F91" s="22"/>
      <c r="J91" s="23"/>
    </row>
    <row r="92">
      <c r="F92" s="22"/>
      <c r="J92" s="23"/>
    </row>
    <row r="93">
      <c r="F93" s="22"/>
      <c r="J93" s="23"/>
    </row>
    <row r="94">
      <c r="F94" s="22"/>
      <c r="J94" s="23"/>
    </row>
    <row r="95">
      <c r="F95" s="22"/>
      <c r="J95" s="23"/>
    </row>
    <row r="96">
      <c r="F96" s="22"/>
      <c r="J96" s="23"/>
    </row>
    <row r="97">
      <c r="F97" s="22"/>
      <c r="J97" s="23"/>
    </row>
    <row r="98">
      <c r="F98" s="22"/>
      <c r="J98" s="23"/>
    </row>
    <row r="99">
      <c r="F99" s="22"/>
      <c r="J99" s="23"/>
    </row>
    <row r="100">
      <c r="F100" s="22"/>
      <c r="J100" s="23"/>
    </row>
    <row r="101">
      <c r="F101" s="22"/>
      <c r="J101" s="23"/>
    </row>
    <row r="102">
      <c r="F102" s="22"/>
      <c r="J102" s="23"/>
    </row>
    <row r="103">
      <c r="F103" s="22"/>
      <c r="J103" s="23"/>
    </row>
    <row r="104">
      <c r="F104" s="22"/>
      <c r="J104" s="23"/>
    </row>
    <row r="105">
      <c r="F105" s="22"/>
      <c r="J105" s="23"/>
    </row>
    <row r="106">
      <c r="F106" s="22"/>
      <c r="J106" s="23"/>
    </row>
    <row r="107">
      <c r="F107" s="22"/>
      <c r="J107" s="23"/>
    </row>
    <row r="108">
      <c r="F108" s="22"/>
      <c r="J108" s="23"/>
    </row>
    <row r="109">
      <c r="F109" s="22"/>
      <c r="J109" s="23"/>
    </row>
    <row r="110">
      <c r="F110" s="22"/>
      <c r="J110" s="23"/>
    </row>
    <row r="111">
      <c r="F111" s="22"/>
      <c r="J111" s="23"/>
    </row>
    <row r="112">
      <c r="F112" s="22"/>
      <c r="J112" s="23"/>
    </row>
    <row r="113">
      <c r="F113" s="22"/>
      <c r="J113" s="23"/>
    </row>
    <row r="114">
      <c r="F114" s="22"/>
      <c r="J114" s="23"/>
    </row>
    <row r="115">
      <c r="F115" s="22"/>
      <c r="J115" s="23"/>
    </row>
    <row r="116">
      <c r="F116" s="22"/>
      <c r="J116" s="23"/>
    </row>
    <row r="117">
      <c r="F117" s="22"/>
      <c r="J117" s="23"/>
    </row>
    <row r="118">
      <c r="F118" s="22"/>
      <c r="J118" s="23"/>
    </row>
    <row r="119">
      <c r="F119" s="22"/>
      <c r="J119" s="23"/>
    </row>
    <row r="120">
      <c r="F120" s="22"/>
      <c r="J120" s="23"/>
    </row>
    <row r="121">
      <c r="F121" s="22"/>
      <c r="J121" s="23"/>
    </row>
    <row r="122">
      <c r="F122" s="22"/>
      <c r="J122" s="23"/>
    </row>
    <row r="123">
      <c r="F123" s="22"/>
      <c r="J123" s="23"/>
    </row>
    <row r="124">
      <c r="F124" s="22"/>
      <c r="J124" s="23"/>
    </row>
    <row r="125">
      <c r="F125" s="22"/>
      <c r="J125" s="23"/>
    </row>
    <row r="126">
      <c r="F126" s="22"/>
      <c r="J126" s="23"/>
    </row>
    <row r="127">
      <c r="F127" s="22"/>
      <c r="J127" s="23"/>
    </row>
    <row r="128">
      <c r="F128" s="22"/>
      <c r="J128" s="23"/>
    </row>
    <row r="129">
      <c r="F129" s="22"/>
      <c r="J129" s="23"/>
    </row>
    <row r="130">
      <c r="F130" s="22"/>
      <c r="J130" s="23"/>
    </row>
    <row r="131">
      <c r="F131" s="22"/>
      <c r="J131" s="23"/>
    </row>
    <row r="132">
      <c r="F132" s="22"/>
      <c r="J132" s="23"/>
    </row>
    <row r="133">
      <c r="F133" s="22"/>
      <c r="J133" s="23"/>
    </row>
    <row r="134">
      <c r="F134" s="22"/>
      <c r="J134" s="23"/>
    </row>
    <row r="135">
      <c r="F135" s="22"/>
      <c r="J135" s="23"/>
    </row>
    <row r="136">
      <c r="F136" s="22"/>
      <c r="J136" s="23"/>
    </row>
    <row r="137">
      <c r="F137" s="22"/>
      <c r="J137" s="23"/>
    </row>
    <row r="138">
      <c r="F138" s="22"/>
      <c r="J138" s="23"/>
    </row>
    <row r="139">
      <c r="F139" s="22"/>
      <c r="J139" s="23"/>
    </row>
    <row r="140">
      <c r="F140" s="22"/>
      <c r="J140" s="23"/>
    </row>
    <row r="141">
      <c r="F141" s="22"/>
      <c r="J141" s="23"/>
    </row>
    <row r="142">
      <c r="F142" s="22"/>
      <c r="J142" s="23"/>
    </row>
    <row r="143">
      <c r="F143" s="22"/>
      <c r="J143" s="23"/>
    </row>
    <row r="144">
      <c r="F144" s="22"/>
      <c r="J144" s="23"/>
    </row>
    <row r="145">
      <c r="F145" s="22"/>
      <c r="J145" s="23"/>
    </row>
    <row r="146">
      <c r="F146" s="22"/>
      <c r="J146" s="23"/>
    </row>
    <row r="147">
      <c r="F147" s="22"/>
      <c r="J147" s="23"/>
    </row>
    <row r="148">
      <c r="F148" s="22"/>
      <c r="J148" s="23"/>
    </row>
    <row r="149">
      <c r="F149" s="22"/>
      <c r="J149" s="23"/>
    </row>
    <row r="150">
      <c r="F150" s="22"/>
      <c r="J150" s="23"/>
    </row>
    <row r="151">
      <c r="F151" s="22"/>
      <c r="J151" s="23"/>
    </row>
    <row r="152">
      <c r="F152" s="22"/>
      <c r="J152" s="23"/>
    </row>
    <row r="153">
      <c r="F153" s="22"/>
      <c r="J153" s="23"/>
    </row>
    <row r="154">
      <c r="F154" s="22"/>
      <c r="J154" s="23"/>
    </row>
    <row r="155">
      <c r="F155" s="22"/>
      <c r="J155" s="23"/>
    </row>
    <row r="156">
      <c r="F156" s="22"/>
      <c r="J156" s="23"/>
    </row>
    <row r="157">
      <c r="F157" s="22"/>
      <c r="J157" s="23"/>
    </row>
    <row r="158">
      <c r="F158" s="22"/>
      <c r="J158" s="23"/>
    </row>
    <row r="159">
      <c r="F159" s="22"/>
      <c r="J159" s="23"/>
    </row>
    <row r="160">
      <c r="F160" s="22"/>
      <c r="J160" s="23"/>
    </row>
    <row r="161">
      <c r="F161" s="22"/>
      <c r="J161" s="23"/>
    </row>
    <row r="162">
      <c r="F162" s="22"/>
      <c r="J162" s="23"/>
    </row>
    <row r="163">
      <c r="F163" s="22"/>
      <c r="J163" s="23"/>
    </row>
    <row r="164">
      <c r="F164" s="22"/>
      <c r="J164" s="23"/>
    </row>
    <row r="165">
      <c r="F165" s="22"/>
      <c r="J165" s="23"/>
    </row>
    <row r="166">
      <c r="F166" s="22"/>
      <c r="J166" s="23"/>
    </row>
    <row r="167">
      <c r="F167" s="22"/>
      <c r="J167" s="23"/>
    </row>
    <row r="168">
      <c r="F168" s="22"/>
      <c r="J168" s="23"/>
    </row>
    <row r="169">
      <c r="F169" s="22"/>
      <c r="J169" s="23"/>
    </row>
    <row r="170">
      <c r="F170" s="22"/>
      <c r="J170" s="23"/>
    </row>
    <row r="171">
      <c r="F171" s="22"/>
      <c r="J171" s="23"/>
    </row>
    <row r="172">
      <c r="F172" s="22"/>
      <c r="J172" s="23"/>
    </row>
    <row r="173">
      <c r="F173" s="22"/>
      <c r="J173" s="23"/>
    </row>
    <row r="174">
      <c r="F174" s="22"/>
      <c r="J174" s="23"/>
    </row>
    <row r="175">
      <c r="F175" s="22"/>
      <c r="J175" s="23"/>
    </row>
    <row r="176">
      <c r="F176" s="22"/>
      <c r="J176" s="23"/>
    </row>
    <row r="177">
      <c r="F177" s="22"/>
      <c r="J177" s="23"/>
    </row>
    <row r="178">
      <c r="F178" s="22"/>
      <c r="J178" s="23"/>
    </row>
    <row r="179">
      <c r="F179" s="22"/>
      <c r="J179" s="23"/>
    </row>
    <row r="180">
      <c r="F180" s="22"/>
      <c r="J180" s="23"/>
    </row>
    <row r="181">
      <c r="F181" s="22"/>
      <c r="J181" s="23"/>
    </row>
    <row r="182">
      <c r="F182" s="22"/>
      <c r="J182" s="23"/>
    </row>
    <row r="183">
      <c r="F183" s="22"/>
      <c r="J183" s="23"/>
    </row>
    <row r="184">
      <c r="F184" s="22"/>
      <c r="J184" s="23"/>
    </row>
    <row r="185">
      <c r="F185" s="22"/>
      <c r="J185" s="23"/>
    </row>
    <row r="186">
      <c r="F186" s="22"/>
      <c r="J186" s="23"/>
    </row>
    <row r="187">
      <c r="F187" s="22"/>
      <c r="J187" s="23"/>
    </row>
    <row r="188">
      <c r="F188" s="22"/>
      <c r="J188" s="23"/>
    </row>
    <row r="189">
      <c r="F189" s="22"/>
      <c r="J189" s="23"/>
    </row>
    <row r="190">
      <c r="F190" s="22"/>
      <c r="J190" s="23"/>
    </row>
    <row r="191">
      <c r="F191" s="22"/>
      <c r="J191" s="23"/>
    </row>
    <row r="192">
      <c r="F192" s="22"/>
      <c r="J192" s="23"/>
    </row>
    <row r="193">
      <c r="F193" s="22"/>
      <c r="J193" s="23"/>
    </row>
    <row r="194">
      <c r="F194" s="22"/>
      <c r="J194" s="23"/>
    </row>
    <row r="195">
      <c r="F195" s="22"/>
      <c r="J195" s="23"/>
    </row>
    <row r="196">
      <c r="F196" s="22"/>
      <c r="J196" s="23"/>
    </row>
    <row r="197">
      <c r="F197" s="22"/>
      <c r="J197" s="23"/>
    </row>
    <row r="198">
      <c r="F198" s="22"/>
      <c r="J198" s="23"/>
    </row>
    <row r="199">
      <c r="F199" s="22"/>
      <c r="J199" s="23"/>
    </row>
    <row r="200">
      <c r="F200" s="22"/>
      <c r="J200" s="23"/>
    </row>
    <row r="201">
      <c r="F201" s="22"/>
      <c r="J201" s="23"/>
    </row>
    <row r="202">
      <c r="F202" s="22"/>
      <c r="J202" s="23"/>
    </row>
    <row r="203">
      <c r="F203" s="22"/>
      <c r="J203" s="23"/>
    </row>
    <row r="204">
      <c r="F204" s="22"/>
      <c r="J204" s="23"/>
    </row>
    <row r="205">
      <c r="F205" s="22"/>
      <c r="J205" s="23"/>
    </row>
    <row r="206">
      <c r="F206" s="22"/>
      <c r="J206" s="23"/>
    </row>
    <row r="207">
      <c r="F207" s="22"/>
      <c r="J207" s="23"/>
    </row>
    <row r="208">
      <c r="F208" s="22"/>
      <c r="J208" s="23"/>
    </row>
    <row r="209">
      <c r="F209" s="22"/>
      <c r="J209" s="23"/>
    </row>
    <row r="210">
      <c r="F210" s="22"/>
      <c r="J210" s="23"/>
    </row>
    <row r="211">
      <c r="F211" s="22"/>
      <c r="J211" s="23"/>
    </row>
    <row r="212">
      <c r="F212" s="22"/>
      <c r="J212" s="23"/>
    </row>
    <row r="213">
      <c r="F213" s="22"/>
      <c r="J213" s="23"/>
    </row>
    <row r="214">
      <c r="F214" s="22"/>
      <c r="J214" s="23"/>
    </row>
    <row r="215">
      <c r="F215" s="22"/>
      <c r="J215" s="23"/>
    </row>
    <row r="216">
      <c r="F216" s="22"/>
      <c r="J216" s="23"/>
    </row>
    <row r="217">
      <c r="F217" s="22"/>
      <c r="J217" s="23"/>
    </row>
    <row r="218">
      <c r="F218" s="22"/>
      <c r="J218" s="23"/>
    </row>
    <row r="219">
      <c r="F219" s="22"/>
      <c r="J219" s="23"/>
    </row>
    <row r="220">
      <c r="F220" s="22"/>
      <c r="J220" s="23"/>
    </row>
    <row r="221">
      <c r="F221" s="22"/>
      <c r="J221" s="23"/>
    </row>
    <row r="222">
      <c r="F222" s="22"/>
      <c r="J222" s="23"/>
    </row>
    <row r="223">
      <c r="F223" s="22"/>
      <c r="J223" s="23"/>
    </row>
    <row r="224">
      <c r="F224" s="22"/>
      <c r="J224" s="23"/>
    </row>
    <row r="225">
      <c r="F225" s="22"/>
      <c r="J225" s="23"/>
    </row>
    <row r="226">
      <c r="F226" s="22"/>
      <c r="J226" s="23"/>
    </row>
    <row r="227">
      <c r="F227" s="22"/>
      <c r="J227" s="23"/>
    </row>
    <row r="228">
      <c r="F228" s="22"/>
      <c r="J228" s="23"/>
    </row>
    <row r="229">
      <c r="F229" s="22"/>
      <c r="J229" s="23"/>
    </row>
    <row r="230">
      <c r="F230" s="22"/>
      <c r="J230" s="23"/>
    </row>
    <row r="231">
      <c r="F231" s="22"/>
      <c r="J231" s="23"/>
    </row>
    <row r="232">
      <c r="F232" s="22"/>
      <c r="J232" s="23"/>
    </row>
    <row r="233">
      <c r="F233" s="22"/>
      <c r="J233" s="23"/>
    </row>
    <row r="234">
      <c r="F234" s="22"/>
      <c r="J234" s="23"/>
    </row>
    <row r="235">
      <c r="F235" s="22"/>
      <c r="J235" s="23"/>
    </row>
    <row r="236">
      <c r="F236" s="22"/>
      <c r="J236" s="23"/>
    </row>
    <row r="237">
      <c r="F237" s="22"/>
      <c r="J237" s="23"/>
    </row>
    <row r="238">
      <c r="F238" s="22"/>
      <c r="J238" s="23"/>
    </row>
    <row r="239">
      <c r="F239" s="22"/>
      <c r="J239" s="23"/>
    </row>
    <row r="240">
      <c r="F240" s="22"/>
      <c r="J240" s="23"/>
    </row>
    <row r="241">
      <c r="F241" s="22"/>
      <c r="J241" s="23"/>
    </row>
    <row r="242">
      <c r="F242" s="22"/>
      <c r="J242" s="23"/>
    </row>
    <row r="243">
      <c r="F243" s="22"/>
      <c r="J243" s="23"/>
    </row>
    <row r="244">
      <c r="F244" s="22"/>
      <c r="J244" s="23"/>
    </row>
    <row r="245">
      <c r="F245" s="22"/>
      <c r="J245" s="23"/>
    </row>
    <row r="246">
      <c r="F246" s="22"/>
      <c r="J246" s="23"/>
    </row>
    <row r="247">
      <c r="F247" s="22"/>
      <c r="J247" s="23"/>
    </row>
    <row r="248">
      <c r="F248" s="22"/>
      <c r="J248" s="23"/>
    </row>
    <row r="249">
      <c r="F249" s="22"/>
      <c r="J249" s="23"/>
    </row>
    <row r="250">
      <c r="F250" s="22"/>
      <c r="J250" s="23"/>
    </row>
    <row r="251">
      <c r="F251" s="22"/>
      <c r="J251" s="23"/>
    </row>
    <row r="252">
      <c r="F252" s="22"/>
      <c r="J252" s="23"/>
    </row>
    <row r="253">
      <c r="F253" s="22"/>
      <c r="J253" s="23"/>
    </row>
    <row r="254">
      <c r="F254" s="22"/>
      <c r="J254" s="23"/>
    </row>
    <row r="255">
      <c r="F255" s="22"/>
      <c r="J255" s="23"/>
    </row>
    <row r="256">
      <c r="F256" s="22"/>
      <c r="J256" s="23"/>
    </row>
    <row r="257">
      <c r="F257" s="22"/>
      <c r="J257" s="23"/>
    </row>
    <row r="258">
      <c r="F258" s="22"/>
      <c r="J258" s="23"/>
    </row>
    <row r="259">
      <c r="F259" s="22"/>
      <c r="J259" s="23"/>
    </row>
    <row r="260">
      <c r="F260" s="22"/>
      <c r="J260" s="23"/>
    </row>
    <row r="261">
      <c r="F261" s="22"/>
      <c r="J261" s="23"/>
    </row>
    <row r="262">
      <c r="F262" s="22"/>
      <c r="J262" s="23"/>
    </row>
    <row r="263">
      <c r="F263" s="22"/>
      <c r="J263" s="23"/>
    </row>
    <row r="264">
      <c r="F264" s="22"/>
      <c r="J264" s="23"/>
    </row>
    <row r="265">
      <c r="F265" s="22"/>
      <c r="J265" s="23"/>
    </row>
    <row r="266">
      <c r="F266" s="22"/>
      <c r="J266" s="23"/>
    </row>
    <row r="267">
      <c r="F267" s="22"/>
      <c r="J267" s="23"/>
    </row>
    <row r="268">
      <c r="F268" s="22"/>
      <c r="J268" s="23"/>
    </row>
    <row r="269">
      <c r="F269" s="22"/>
      <c r="J269" s="23"/>
    </row>
    <row r="270">
      <c r="F270" s="22"/>
      <c r="J270" s="23"/>
    </row>
    <row r="271">
      <c r="F271" s="22"/>
      <c r="J271" s="23"/>
    </row>
    <row r="272">
      <c r="F272" s="22"/>
      <c r="J272" s="23"/>
    </row>
    <row r="273">
      <c r="F273" s="22"/>
      <c r="J273" s="23"/>
    </row>
    <row r="274">
      <c r="F274" s="22"/>
      <c r="J274" s="23"/>
    </row>
    <row r="275">
      <c r="F275" s="22"/>
      <c r="J275" s="23"/>
    </row>
    <row r="276">
      <c r="F276" s="22"/>
      <c r="J276" s="23"/>
    </row>
    <row r="277">
      <c r="F277" s="22"/>
      <c r="J277" s="23"/>
    </row>
    <row r="278">
      <c r="F278" s="22"/>
      <c r="J278" s="23"/>
    </row>
    <row r="279">
      <c r="F279" s="22"/>
      <c r="J279" s="23"/>
    </row>
    <row r="280">
      <c r="F280" s="22"/>
      <c r="J280" s="23"/>
    </row>
    <row r="281">
      <c r="F281" s="22"/>
      <c r="J281" s="23"/>
    </row>
    <row r="282">
      <c r="F282" s="22"/>
      <c r="J282" s="23"/>
    </row>
    <row r="283">
      <c r="F283" s="22"/>
      <c r="J283" s="23"/>
    </row>
    <row r="284">
      <c r="F284" s="22"/>
      <c r="J284" s="23"/>
    </row>
    <row r="285">
      <c r="F285" s="22"/>
      <c r="J285" s="23"/>
    </row>
    <row r="286">
      <c r="F286" s="22"/>
      <c r="J286" s="23"/>
    </row>
    <row r="287">
      <c r="F287" s="22"/>
      <c r="J287" s="23"/>
    </row>
    <row r="288">
      <c r="F288" s="22"/>
      <c r="J288" s="23"/>
    </row>
    <row r="289">
      <c r="F289" s="22"/>
      <c r="J289" s="23"/>
    </row>
    <row r="290">
      <c r="F290" s="22"/>
      <c r="J290" s="23"/>
    </row>
    <row r="291">
      <c r="F291" s="22"/>
      <c r="J291" s="23"/>
    </row>
    <row r="292">
      <c r="F292" s="22"/>
      <c r="J292" s="23"/>
    </row>
    <row r="293">
      <c r="F293" s="22"/>
      <c r="J293" s="23"/>
    </row>
    <row r="294">
      <c r="F294" s="22"/>
      <c r="J294" s="23"/>
    </row>
    <row r="295">
      <c r="F295" s="22"/>
      <c r="J295" s="23"/>
    </row>
    <row r="296">
      <c r="F296" s="22"/>
      <c r="J296" s="23"/>
    </row>
    <row r="297">
      <c r="F297" s="22"/>
      <c r="J297" s="23"/>
    </row>
    <row r="298">
      <c r="F298" s="22"/>
      <c r="J298" s="23"/>
    </row>
    <row r="299">
      <c r="F299" s="22"/>
      <c r="J299" s="23"/>
    </row>
    <row r="300">
      <c r="F300" s="22"/>
      <c r="J300" s="23"/>
    </row>
    <row r="301">
      <c r="F301" s="22"/>
      <c r="J301" s="23"/>
    </row>
    <row r="302">
      <c r="F302" s="22"/>
      <c r="J302" s="23"/>
    </row>
    <row r="303">
      <c r="F303" s="22"/>
      <c r="J303" s="23"/>
    </row>
    <row r="304">
      <c r="F304" s="22"/>
      <c r="J304" s="23"/>
    </row>
    <row r="305">
      <c r="F305" s="22"/>
      <c r="J305" s="23"/>
    </row>
    <row r="306">
      <c r="F306" s="22"/>
      <c r="J306" s="23"/>
    </row>
    <row r="307">
      <c r="F307" s="22"/>
      <c r="J307" s="23"/>
    </row>
    <row r="308">
      <c r="F308" s="22"/>
      <c r="J308" s="23"/>
    </row>
    <row r="309">
      <c r="F309" s="22"/>
      <c r="J309" s="23"/>
    </row>
    <row r="310">
      <c r="F310" s="22"/>
      <c r="J310" s="23"/>
    </row>
    <row r="311">
      <c r="F311" s="22"/>
      <c r="J311" s="23"/>
    </row>
    <row r="312">
      <c r="F312" s="22"/>
      <c r="J312" s="23"/>
    </row>
    <row r="313">
      <c r="F313" s="22"/>
      <c r="J313" s="23"/>
    </row>
    <row r="314">
      <c r="F314" s="22"/>
      <c r="J314" s="23"/>
    </row>
    <row r="315">
      <c r="F315" s="22"/>
      <c r="J315" s="23"/>
    </row>
    <row r="316">
      <c r="F316" s="22"/>
      <c r="J316" s="23"/>
    </row>
    <row r="317">
      <c r="F317" s="22"/>
      <c r="J317" s="23"/>
    </row>
    <row r="318">
      <c r="F318" s="22"/>
      <c r="J318" s="23"/>
    </row>
    <row r="319">
      <c r="F319" s="22"/>
      <c r="J319" s="23"/>
    </row>
    <row r="320">
      <c r="F320" s="22"/>
      <c r="J320" s="23"/>
    </row>
    <row r="321">
      <c r="F321" s="22"/>
      <c r="J321" s="23"/>
    </row>
    <row r="322">
      <c r="F322" s="22"/>
      <c r="J322" s="23"/>
    </row>
    <row r="323">
      <c r="F323" s="22"/>
      <c r="J323" s="23"/>
    </row>
    <row r="324">
      <c r="F324" s="22"/>
      <c r="J324" s="23"/>
    </row>
    <row r="325">
      <c r="F325" s="22"/>
      <c r="J325" s="23"/>
    </row>
    <row r="326">
      <c r="F326" s="22"/>
      <c r="J326" s="23"/>
    </row>
    <row r="327">
      <c r="F327" s="22"/>
      <c r="J327" s="23"/>
    </row>
    <row r="328">
      <c r="F328" s="22"/>
      <c r="J328" s="23"/>
    </row>
    <row r="329">
      <c r="F329" s="22"/>
      <c r="J329" s="23"/>
    </row>
    <row r="330">
      <c r="F330" s="22"/>
      <c r="J330" s="23"/>
    </row>
    <row r="331">
      <c r="F331" s="22"/>
      <c r="J331" s="23"/>
    </row>
    <row r="332">
      <c r="F332" s="22"/>
      <c r="J332" s="23"/>
    </row>
    <row r="333">
      <c r="F333" s="22"/>
      <c r="J333" s="23"/>
    </row>
    <row r="334">
      <c r="F334" s="22"/>
      <c r="J334" s="23"/>
    </row>
    <row r="335">
      <c r="F335" s="22"/>
      <c r="J335" s="23"/>
    </row>
    <row r="336">
      <c r="F336" s="22"/>
      <c r="J336" s="23"/>
    </row>
    <row r="337">
      <c r="F337" s="22"/>
      <c r="J337" s="23"/>
    </row>
    <row r="338">
      <c r="F338" s="22"/>
      <c r="J338" s="23"/>
    </row>
    <row r="339">
      <c r="F339" s="22"/>
      <c r="J339" s="23"/>
    </row>
    <row r="340">
      <c r="F340" s="22"/>
      <c r="J340" s="23"/>
    </row>
    <row r="341">
      <c r="F341" s="22"/>
      <c r="J341" s="23"/>
    </row>
    <row r="342">
      <c r="F342" s="22"/>
      <c r="J342" s="23"/>
    </row>
    <row r="343">
      <c r="F343" s="22"/>
      <c r="J343" s="23"/>
    </row>
    <row r="344">
      <c r="F344" s="22"/>
      <c r="J344" s="23"/>
    </row>
    <row r="345">
      <c r="F345" s="22"/>
      <c r="J345" s="23"/>
    </row>
    <row r="346">
      <c r="F346" s="22"/>
      <c r="J346" s="23"/>
    </row>
    <row r="347">
      <c r="F347" s="22"/>
      <c r="J347" s="23"/>
    </row>
    <row r="348">
      <c r="F348" s="22"/>
      <c r="J348" s="23"/>
    </row>
    <row r="349">
      <c r="F349" s="22"/>
      <c r="J349" s="23"/>
    </row>
    <row r="350">
      <c r="F350" s="22"/>
      <c r="J350" s="23"/>
    </row>
    <row r="351">
      <c r="F351" s="22"/>
      <c r="J351" s="23"/>
    </row>
    <row r="352">
      <c r="F352" s="22"/>
      <c r="J352" s="23"/>
    </row>
    <row r="353">
      <c r="F353" s="22"/>
      <c r="J353" s="23"/>
    </row>
    <row r="354">
      <c r="F354" s="22"/>
      <c r="J354" s="23"/>
    </row>
    <row r="355">
      <c r="F355" s="22"/>
      <c r="J355" s="23"/>
    </row>
    <row r="356">
      <c r="F356" s="22"/>
      <c r="J356" s="23"/>
    </row>
    <row r="357">
      <c r="F357" s="22"/>
      <c r="J357" s="23"/>
    </row>
    <row r="358">
      <c r="F358" s="22"/>
      <c r="J358" s="23"/>
    </row>
    <row r="359">
      <c r="F359" s="22"/>
      <c r="J359" s="23"/>
    </row>
    <row r="360">
      <c r="F360" s="22"/>
      <c r="J360" s="23"/>
    </row>
    <row r="361">
      <c r="F361" s="22"/>
      <c r="J361" s="23"/>
    </row>
    <row r="362">
      <c r="F362" s="22"/>
      <c r="J362" s="23"/>
    </row>
    <row r="363">
      <c r="F363" s="22"/>
      <c r="J363" s="23"/>
    </row>
    <row r="364">
      <c r="F364" s="22"/>
      <c r="J364" s="23"/>
    </row>
    <row r="365">
      <c r="F365" s="22"/>
      <c r="J365" s="23"/>
    </row>
    <row r="366">
      <c r="F366" s="22"/>
      <c r="J366" s="23"/>
    </row>
    <row r="367">
      <c r="F367" s="22"/>
      <c r="J367" s="23"/>
    </row>
    <row r="368">
      <c r="F368" s="22"/>
      <c r="J368" s="23"/>
    </row>
    <row r="369">
      <c r="F369" s="22"/>
      <c r="J369" s="23"/>
    </row>
    <row r="370">
      <c r="F370" s="22"/>
      <c r="J370" s="23"/>
    </row>
    <row r="371">
      <c r="F371" s="22"/>
      <c r="J371" s="23"/>
    </row>
    <row r="372">
      <c r="F372" s="22"/>
      <c r="J372" s="23"/>
    </row>
    <row r="373">
      <c r="F373" s="22"/>
      <c r="J373" s="23"/>
    </row>
    <row r="374">
      <c r="F374" s="22"/>
      <c r="J374" s="23"/>
    </row>
    <row r="375">
      <c r="F375" s="22"/>
      <c r="J375" s="23"/>
    </row>
    <row r="376">
      <c r="F376" s="22"/>
      <c r="J376" s="23"/>
    </row>
    <row r="377">
      <c r="F377" s="22"/>
      <c r="J377" s="23"/>
    </row>
    <row r="378">
      <c r="F378" s="22"/>
      <c r="J378" s="23"/>
    </row>
    <row r="379">
      <c r="F379" s="22"/>
      <c r="J379" s="23"/>
    </row>
    <row r="380">
      <c r="F380" s="22"/>
      <c r="J380" s="23"/>
    </row>
    <row r="381">
      <c r="F381" s="22"/>
      <c r="J381" s="23"/>
    </row>
    <row r="382">
      <c r="F382" s="22"/>
      <c r="J382" s="23"/>
    </row>
    <row r="383">
      <c r="F383" s="22"/>
      <c r="J383" s="23"/>
    </row>
    <row r="384">
      <c r="F384" s="22"/>
      <c r="J384" s="23"/>
    </row>
    <row r="385">
      <c r="F385" s="22"/>
      <c r="J385" s="23"/>
    </row>
    <row r="386">
      <c r="F386" s="22"/>
      <c r="J386" s="23"/>
    </row>
    <row r="387">
      <c r="F387" s="22"/>
      <c r="J387" s="23"/>
    </row>
    <row r="388">
      <c r="F388" s="22"/>
      <c r="J388" s="23"/>
    </row>
    <row r="389">
      <c r="F389" s="22"/>
      <c r="J389" s="23"/>
    </row>
    <row r="390">
      <c r="F390" s="22"/>
      <c r="J390" s="23"/>
    </row>
    <row r="391">
      <c r="F391" s="22"/>
      <c r="J391" s="23"/>
    </row>
    <row r="392">
      <c r="F392" s="22"/>
      <c r="J392" s="23"/>
    </row>
    <row r="393">
      <c r="F393" s="22"/>
      <c r="J393" s="23"/>
    </row>
    <row r="394">
      <c r="F394" s="22"/>
      <c r="J394" s="23"/>
    </row>
    <row r="395">
      <c r="F395" s="22"/>
      <c r="J395" s="23"/>
    </row>
    <row r="396">
      <c r="F396" s="22"/>
      <c r="J396" s="23"/>
    </row>
    <row r="397">
      <c r="F397" s="22"/>
      <c r="J397" s="23"/>
    </row>
    <row r="398">
      <c r="F398" s="22"/>
      <c r="J398" s="23"/>
    </row>
    <row r="399">
      <c r="F399" s="22"/>
      <c r="J399" s="23"/>
    </row>
    <row r="400">
      <c r="F400" s="22"/>
      <c r="J400" s="23"/>
    </row>
    <row r="401">
      <c r="F401" s="22"/>
      <c r="J401" s="23"/>
    </row>
    <row r="402">
      <c r="F402" s="22"/>
      <c r="J402" s="23"/>
    </row>
    <row r="403">
      <c r="F403" s="22"/>
      <c r="J403" s="23"/>
    </row>
    <row r="404">
      <c r="F404" s="22"/>
      <c r="J404" s="23"/>
    </row>
    <row r="405">
      <c r="F405" s="22"/>
      <c r="J405" s="23"/>
    </row>
    <row r="406">
      <c r="F406" s="22"/>
      <c r="J406" s="23"/>
    </row>
    <row r="407">
      <c r="F407" s="22"/>
      <c r="J407" s="23"/>
    </row>
    <row r="408">
      <c r="F408" s="22"/>
      <c r="J408" s="23"/>
    </row>
    <row r="409">
      <c r="F409" s="22"/>
      <c r="J409" s="23"/>
    </row>
    <row r="410">
      <c r="F410" s="22"/>
      <c r="J410" s="23"/>
    </row>
    <row r="411">
      <c r="F411" s="22"/>
      <c r="J411" s="23"/>
    </row>
    <row r="412">
      <c r="F412" s="22"/>
      <c r="J412" s="23"/>
    </row>
    <row r="413">
      <c r="F413" s="22"/>
      <c r="J413" s="23"/>
    </row>
    <row r="414">
      <c r="F414" s="22"/>
      <c r="J414" s="23"/>
    </row>
    <row r="415">
      <c r="F415" s="22"/>
      <c r="J415" s="23"/>
    </row>
    <row r="416">
      <c r="F416" s="22"/>
      <c r="J416" s="23"/>
    </row>
    <row r="417">
      <c r="F417" s="22"/>
      <c r="J417" s="23"/>
    </row>
    <row r="418">
      <c r="F418" s="22"/>
      <c r="J418" s="23"/>
    </row>
    <row r="419">
      <c r="F419" s="22"/>
      <c r="J419" s="23"/>
    </row>
    <row r="420">
      <c r="F420" s="22"/>
      <c r="J420" s="23"/>
    </row>
    <row r="421">
      <c r="F421" s="22"/>
      <c r="J421" s="23"/>
    </row>
    <row r="422">
      <c r="F422" s="22"/>
      <c r="J422" s="23"/>
    </row>
    <row r="423">
      <c r="F423" s="22"/>
      <c r="J423" s="23"/>
    </row>
    <row r="424">
      <c r="F424" s="22"/>
      <c r="J424" s="23"/>
    </row>
    <row r="425">
      <c r="F425" s="22"/>
      <c r="J425" s="23"/>
    </row>
    <row r="426">
      <c r="F426" s="22"/>
      <c r="J426" s="23"/>
    </row>
    <row r="427">
      <c r="F427" s="22"/>
      <c r="J427" s="23"/>
    </row>
    <row r="428">
      <c r="F428" s="22"/>
      <c r="J428" s="23"/>
    </row>
    <row r="429">
      <c r="F429" s="22"/>
      <c r="J429" s="23"/>
    </row>
    <row r="430">
      <c r="F430" s="22"/>
      <c r="J430" s="23"/>
    </row>
    <row r="431">
      <c r="F431" s="22"/>
      <c r="J431" s="23"/>
    </row>
    <row r="432">
      <c r="F432" s="22"/>
      <c r="J432" s="23"/>
    </row>
    <row r="433">
      <c r="F433" s="22"/>
      <c r="J433" s="23"/>
    </row>
    <row r="434">
      <c r="F434" s="22"/>
      <c r="J434" s="23"/>
    </row>
    <row r="435">
      <c r="F435" s="22"/>
      <c r="J435" s="23"/>
    </row>
    <row r="436">
      <c r="F436" s="22"/>
      <c r="J436" s="23"/>
    </row>
    <row r="437">
      <c r="F437" s="22"/>
      <c r="J437" s="23"/>
    </row>
    <row r="438">
      <c r="F438" s="22"/>
      <c r="J438" s="23"/>
    </row>
    <row r="439">
      <c r="F439" s="22"/>
      <c r="J439" s="23"/>
    </row>
    <row r="440">
      <c r="F440" s="22"/>
      <c r="J440" s="23"/>
    </row>
    <row r="441">
      <c r="F441" s="22"/>
      <c r="J441" s="23"/>
    </row>
    <row r="442">
      <c r="F442" s="22"/>
      <c r="J442" s="23"/>
    </row>
    <row r="443">
      <c r="F443" s="22"/>
      <c r="J443" s="23"/>
    </row>
    <row r="444">
      <c r="F444" s="22"/>
      <c r="J444" s="23"/>
    </row>
    <row r="445">
      <c r="F445" s="22"/>
      <c r="J445" s="23"/>
    </row>
    <row r="446">
      <c r="F446" s="22"/>
      <c r="J446" s="23"/>
    </row>
    <row r="447">
      <c r="F447" s="22"/>
      <c r="J447" s="23"/>
    </row>
    <row r="448">
      <c r="F448" s="22"/>
      <c r="J448" s="23"/>
    </row>
    <row r="449">
      <c r="F449" s="22"/>
      <c r="J449" s="23"/>
    </row>
    <row r="450">
      <c r="F450" s="22"/>
      <c r="J450" s="23"/>
    </row>
    <row r="451">
      <c r="F451" s="22"/>
      <c r="J451" s="23"/>
    </row>
    <row r="452">
      <c r="F452" s="22"/>
      <c r="J452" s="23"/>
    </row>
    <row r="453">
      <c r="F453" s="22"/>
      <c r="J453" s="23"/>
    </row>
    <row r="454">
      <c r="F454" s="22"/>
      <c r="J454" s="23"/>
    </row>
    <row r="455">
      <c r="F455" s="22"/>
      <c r="J455" s="23"/>
    </row>
    <row r="456">
      <c r="F456" s="22"/>
      <c r="J456" s="23"/>
    </row>
    <row r="457">
      <c r="F457" s="22"/>
      <c r="J457" s="23"/>
    </row>
    <row r="458">
      <c r="F458" s="22"/>
      <c r="J458" s="23"/>
    </row>
    <row r="459">
      <c r="F459" s="22"/>
      <c r="J459" s="23"/>
    </row>
    <row r="460">
      <c r="F460" s="22"/>
      <c r="J460" s="23"/>
    </row>
    <row r="461">
      <c r="F461" s="22"/>
      <c r="J461" s="23"/>
    </row>
    <row r="462">
      <c r="F462" s="22"/>
      <c r="J462" s="23"/>
    </row>
    <row r="463">
      <c r="F463" s="22"/>
      <c r="J463" s="23"/>
    </row>
    <row r="464">
      <c r="F464" s="22"/>
      <c r="J464" s="23"/>
    </row>
    <row r="465">
      <c r="F465" s="22"/>
      <c r="J465" s="23"/>
    </row>
    <row r="466">
      <c r="F466" s="22"/>
      <c r="J466" s="23"/>
    </row>
    <row r="467">
      <c r="F467" s="22"/>
      <c r="J467" s="23"/>
    </row>
    <row r="468">
      <c r="F468" s="22"/>
      <c r="J468" s="23"/>
    </row>
    <row r="469">
      <c r="F469" s="22"/>
      <c r="J469" s="23"/>
    </row>
    <row r="470">
      <c r="F470" s="22"/>
      <c r="J470" s="23"/>
    </row>
    <row r="471">
      <c r="F471" s="22"/>
      <c r="J471" s="23"/>
    </row>
    <row r="472">
      <c r="F472" s="22"/>
      <c r="J472" s="23"/>
    </row>
    <row r="473">
      <c r="F473" s="22"/>
      <c r="J473" s="23"/>
    </row>
    <row r="474">
      <c r="F474" s="22"/>
      <c r="J474" s="23"/>
    </row>
    <row r="475">
      <c r="F475" s="22"/>
      <c r="J475" s="23"/>
    </row>
    <row r="476">
      <c r="F476" s="22"/>
      <c r="J476" s="23"/>
    </row>
    <row r="477">
      <c r="F477" s="22"/>
      <c r="J477" s="23"/>
    </row>
    <row r="478">
      <c r="F478" s="22"/>
      <c r="J478" s="23"/>
    </row>
    <row r="479">
      <c r="F479" s="22"/>
      <c r="J479" s="23"/>
    </row>
    <row r="480">
      <c r="F480" s="22"/>
      <c r="J480" s="23"/>
    </row>
    <row r="481">
      <c r="F481" s="22"/>
      <c r="J481" s="23"/>
    </row>
    <row r="482">
      <c r="F482" s="22"/>
      <c r="J482" s="23"/>
    </row>
    <row r="483">
      <c r="F483" s="22"/>
      <c r="J483" s="23"/>
    </row>
    <row r="484">
      <c r="F484" s="22"/>
      <c r="J484" s="23"/>
    </row>
    <row r="485">
      <c r="F485" s="22"/>
      <c r="J485" s="23"/>
    </row>
    <row r="486">
      <c r="F486" s="22"/>
      <c r="J486" s="23"/>
    </row>
    <row r="487">
      <c r="F487" s="22"/>
      <c r="J487" s="23"/>
    </row>
    <row r="488">
      <c r="F488" s="22"/>
      <c r="J488" s="23"/>
    </row>
    <row r="489">
      <c r="F489" s="22"/>
      <c r="J489" s="23"/>
    </row>
    <row r="490">
      <c r="F490" s="22"/>
      <c r="J490" s="23"/>
    </row>
    <row r="491">
      <c r="F491" s="22"/>
      <c r="J491" s="23"/>
    </row>
    <row r="492">
      <c r="F492" s="22"/>
      <c r="J492" s="23"/>
    </row>
    <row r="493">
      <c r="F493" s="22"/>
      <c r="J493" s="23"/>
    </row>
    <row r="494">
      <c r="F494" s="22"/>
      <c r="J494" s="23"/>
    </row>
    <row r="495">
      <c r="F495" s="22"/>
      <c r="J495" s="23"/>
    </row>
    <row r="496">
      <c r="F496" s="22"/>
      <c r="J496" s="23"/>
    </row>
    <row r="497">
      <c r="F497" s="22"/>
      <c r="J497" s="23"/>
    </row>
    <row r="498">
      <c r="F498" s="22"/>
      <c r="J498" s="23"/>
    </row>
    <row r="499">
      <c r="F499" s="22"/>
      <c r="J499" s="23"/>
    </row>
    <row r="500">
      <c r="F500" s="22"/>
      <c r="J500" s="23"/>
    </row>
    <row r="501">
      <c r="F501" s="22"/>
      <c r="J501" s="23"/>
    </row>
    <row r="502">
      <c r="F502" s="22"/>
      <c r="J502" s="23"/>
    </row>
    <row r="503">
      <c r="F503" s="22"/>
      <c r="J503" s="23"/>
    </row>
    <row r="504">
      <c r="F504" s="22"/>
      <c r="J504" s="23"/>
    </row>
    <row r="505">
      <c r="F505" s="22"/>
      <c r="J505" s="23"/>
    </row>
    <row r="506">
      <c r="F506" s="22"/>
      <c r="J506" s="23"/>
    </row>
    <row r="507">
      <c r="F507" s="22"/>
      <c r="J507" s="23"/>
    </row>
    <row r="508">
      <c r="F508" s="22"/>
      <c r="J508" s="23"/>
    </row>
    <row r="509">
      <c r="F509" s="22"/>
      <c r="J509" s="23"/>
    </row>
    <row r="510">
      <c r="F510" s="22"/>
      <c r="J510" s="23"/>
    </row>
    <row r="511">
      <c r="F511" s="22"/>
      <c r="J511" s="23"/>
    </row>
    <row r="512">
      <c r="F512" s="22"/>
      <c r="J512" s="23"/>
    </row>
    <row r="513">
      <c r="F513" s="22"/>
      <c r="J513" s="23"/>
    </row>
    <row r="514">
      <c r="F514" s="22"/>
      <c r="J514" s="23"/>
    </row>
    <row r="515">
      <c r="F515" s="22"/>
      <c r="J515" s="23"/>
    </row>
    <row r="516">
      <c r="F516" s="22"/>
      <c r="J516" s="23"/>
    </row>
    <row r="517">
      <c r="F517" s="22"/>
      <c r="J517" s="23"/>
    </row>
    <row r="518">
      <c r="F518" s="22"/>
      <c r="J518" s="23"/>
    </row>
    <row r="519">
      <c r="F519" s="22"/>
      <c r="J519" s="23"/>
    </row>
    <row r="520">
      <c r="F520" s="22"/>
      <c r="J520" s="23"/>
    </row>
    <row r="521">
      <c r="F521" s="22"/>
      <c r="J521" s="23"/>
    </row>
    <row r="522">
      <c r="F522" s="22"/>
      <c r="J522" s="23"/>
    </row>
    <row r="523">
      <c r="F523" s="22"/>
      <c r="J523" s="23"/>
    </row>
    <row r="524">
      <c r="F524" s="22"/>
      <c r="J524" s="23"/>
    </row>
    <row r="525">
      <c r="F525" s="22"/>
      <c r="J525" s="23"/>
    </row>
    <row r="526">
      <c r="F526" s="22"/>
      <c r="J526" s="23"/>
    </row>
    <row r="527">
      <c r="F527" s="22"/>
      <c r="J527" s="23"/>
    </row>
    <row r="528">
      <c r="F528" s="22"/>
      <c r="J528" s="23"/>
    </row>
    <row r="529">
      <c r="F529" s="22"/>
      <c r="J529" s="23"/>
    </row>
    <row r="530">
      <c r="F530" s="22"/>
      <c r="J530" s="23"/>
    </row>
    <row r="531">
      <c r="F531" s="22"/>
      <c r="J531" s="23"/>
    </row>
    <row r="532">
      <c r="F532" s="22"/>
      <c r="J532" s="23"/>
    </row>
    <row r="533">
      <c r="F533" s="22"/>
      <c r="J533" s="23"/>
    </row>
    <row r="534">
      <c r="F534" s="22"/>
      <c r="J534" s="23"/>
    </row>
    <row r="535">
      <c r="F535" s="22"/>
      <c r="J535" s="23"/>
    </row>
    <row r="536">
      <c r="F536" s="22"/>
      <c r="J536" s="23"/>
    </row>
    <row r="537">
      <c r="F537" s="22"/>
      <c r="J537" s="23"/>
    </row>
    <row r="538">
      <c r="F538" s="22"/>
      <c r="J538" s="23"/>
    </row>
    <row r="539">
      <c r="F539" s="22"/>
      <c r="J539" s="23"/>
    </row>
    <row r="540">
      <c r="F540" s="22"/>
      <c r="J540" s="23"/>
    </row>
    <row r="541">
      <c r="F541" s="22"/>
      <c r="J541" s="23"/>
    </row>
    <row r="542">
      <c r="F542" s="22"/>
      <c r="J542" s="23"/>
    </row>
    <row r="543">
      <c r="F543" s="22"/>
      <c r="J543" s="23"/>
    </row>
    <row r="544">
      <c r="F544" s="22"/>
      <c r="J544" s="23"/>
    </row>
    <row r="545">
      <c r="F545" s="22"/>
      <c r="J545" s="23"/>
    </row>
    <row r="546">
      <c r="F546" s="22"/>
      <c r="J546" s="23"/>
    </row>
    <row r="547">
      <c r="F547" s="22"/>
      <c r="J547" s="23"/>
    </row>
    <row r="548">
      <c r="F548" s="22"/>
      <c r="J548" s="23"/>
    </row>
    <row r="549">
      <c r="F549" s="22"/>
      <c r="J549" s="23"/>
    </row>
    <row r="550">
      <c r="F550" s="22"/>
      <c r="J550" s="23"/>
    </row>
    <row r="551">
      <c r="F551" s="22"/>
      <c r="J551" s="23"/>
    </row>
    <row r="552">
      <c r="F552" s="22"/>
      <c r="J552" s="23"/>
    </row>
    <row r="553">
      <c r="F553" s="22"/>
      <c r="J553" s="23"/>
    </row>
    <row r="554">
      <c r="F554" s="22"/>
      <c r="J554" s="23"/>
    </row>
    <row r="555">
      <c r="F555" s="22"/>
      <c r="J555" s="23"/>
    </row>
    <row r="556">
      <c r="F556" s="22"/>
      <c r="J556" s="23"/>
    </row>
    <row r="557">
      <c r="F557" s="22"/>
      <c r="J557" s="23"/>
    </row>
    <row r="558">
      <c r="F558" s="22"/>
      <c r="J558" s="23"/>
    </row>
    <row r="559">
      <c r="F559" s="22"/>
      <c r="J559" s="23"/>
    </row>
    <row r="560">
      <c r="F560" s="22"/>
      <c r="J560" s="23"/>
    </row>
    <row r="561">
      <c r="F561" s="22"/>
      <c r="J561" s="23"/>
    </row>
    <row r="562">
      <c r="F562" s="22"/>
      <c r="J562" s="23"/>
    </row>
    <row r="563">
      <c r="F563" s="22"/>
      <c r="J563" s="23"/>
    </row>
    <row r="564">
      <c r="F564" s="22"/>
      <c r="J564" s="23"/>
    </row>
    <row r="565">
      <c r="F565" s="22"/>
      <c r="J565" s="23"/>
    </row>
    <row r="566">
      <c r="F566" s="22"/>
      <c r="J566" s="23"/>
    </row>
    <row r="567">
      <c r="F567" s="22"/>
      <c r="J567" s="23"/>
    </row>
    <row r="568">
      <c r="F568" s="22"/>
      <c r="J568" s="23"/>
    </row>
    <row r="569">
      <c r="F569" s="22"/>
      <c r="J569" s="23"/>
    </row>
    <row r="570">
      <c r="F570" s="22"/>
      <c r="J570" s="23"/>
    </row>
    <row r="571">
      <c r="F571" s="22"/>
      <c r="J571" s="23"/>
    </row>
    <row r="572">
      <c r="F572" s="22"/>
      <c r="J572" s="23"/>
    </row>
    <row r="573">
      <c r="F573" s="22"/>
      <c r="J573" s="23"/>
    </row>
    <row r="574">
      <c r="F574" s="22"/>
      <c r="J574" s="23"/>
    </row>
    <row r="575">
      <c r="F575" s="22"/>
      <c r="J575" s="23"/>
    </row>
    <row r="576">
      <c r="F576" s="22"/>
      <c r="J576" s="23"/>
    </row>
    <row r="577">
      <c r="F577" s="22"/>
      <c r="J577" s="23"/>
    </row>
    <row r="578">
      <c r="F578" s="22"/>
      <c r="J578" s="23"/>
    </row>
    <row r="579">
      <c r="F579" s="22"/>
      <c r="J579" s="23"/>
    </row>
    <row r="580">
      <c r="F580" s="22"/>
      <c r="J580" s="23"/>
    </row>
    <row r="581">
      <c r="F581" s="22"/>
      <c r="J581" s="23"/>
    </row>
    <row r="582">
      <c r="F582" s="22"/>
      <c r="J582" s="23"/>
    </row>
    <row r="583">
      <c r="F583" s="22"/>
      <c r="J583" s="23"/>
    </row>
    <row r="584">
      <c r="F584" s="22"/>
      <c r="J584" s="23"/>
    </row>
    <row r="585">
      <c r="F585" s="22"/>
      <c r="J585" s="23"/>
    </row>
    <row r="586">
      <c r="F586" s="22"/>
      <c r="J586" s="23"/>
    </row>
    <row r="587">
      <c r="F587" s="22"/>
      <c r="J587" s="23"/>
    </row>
    <row r="588">
      <c r="F588" s="22"/>
      <c r="J588" s="23"/>
    </row>
    <row r="589">
      <c r="F589" s="22"/>
      <c r="J589" s="23"/>
    </row>
    <row r="590">
      <c r="F590" s="22"/>
      <c r="J590" s="23"/>
    </row>
    <row r="591">
      <c r="F591" s="22"/>
      <c r="J591" s="23"/>
    </row>
    <row r="592">
      <c r="F592" s="22"/>
      <c r="J592" s="23"/>
    </row>
    <row r="593">
      <c r="F593" s="22"/>
      <c r="J593" s="23"/>
    </row>
    <row r="594">
      <c r="F594" s="22"/>
      <c r="J594" s="23"/>
    </row>
    <row r="595">
      <c r="F595" s="22"/>
      <c r="J595" s="23"/>
    </row>
    <row r="596">
      <c r="F596" s="22"/>
      <c r="J596" s="23"/>
    </row>
    <row r="597">
      <c r="F597" s="22"/>
      <c r="J597" s="23"/>
    </row>
    <row r="598">
      <c r="F598" s="22"/>
      <c r="J598" s="23"/>
    </row>
    <row r="599">
      <c r="F599" s="22"/>
      <c r="J599" s="23"/>
    </row>
    <row r="600">
      <c r="F600" s="22"/>
      <c r="J600" s="23"/>
    </row>
    <row r="601">
      <c r="F601" s="22"/>
      <c r="J601" s="23"/>
    </row>
    <row r="602">
      <c r="F602" s="22"/>
      <c r="J602" s="23"/>
    </row>
    <row r="603">
      <c r="F603" s="22"/>
      <c r="J603" s="23"/>
    </row>
    <row r="604">
      <c r="F604" s="22"/>
      <c r="J604" s="23"/>
    </row>
    <row r="605">
      <c r="F605" s="22"/>
      <c r="J605" s="23"/>
    </row>
    <row r="606">
      <c r="F606" s="22"/>
      <c r="J606" s="23"/>
    </row>
    <row r="607">
      <c r="F607" s="22"/>
      <c r="J607" s="23"/>
    </row>
    <row r="608">
      <c r="F608" s="22"/>
      <c r="J608" s="23"/>
    </row>
    <row r="609">
      <c r="F609" s="22"/>
      <c r="J609" s="23"/>
    </row>
    <row r="610">
      <c r="F610" s="22"/>
      <c r="J610" s="23"/>
    </row>
    <row r="611">
      <c r="F611" s="22"/>
      <c r="J611" s="23"/>
    </row>
    <row r="612">
      <c r="F612" s="22"/>
      <c r="J612" s="23"/>
    </row>
    <row r="613">
      <c r="F613" s="22"/>
      <c r="J613" s="23"/>
    </row>
    <row r="614">
      <c r="F614" s="22"/>
      <c r="J614" s="23"/>
    </row>
    <row r="615">
      <c r="F615" s="22"/>
      <c r="J615" s="23"/>
    </row>
    <row r="616">
      <c r="F616" s="22"/>
      <c r="J616" s="23"/>
    </row>
    <row r="617">
      <c r="F617" s="22"/>
      <c r="J617" s="23"/>
    </row>
    <row r="618">
      <c r="F618" s="22"/>
      <c r="J618" s="23"/>
    </row>
    <row r="619">
      <c r="F619" s="22"/>
      <c r="J619" s="23"/>
    </row>
    <row r="620">
      <c r="F620" s="22"/>
      <c r="J620" s="23"/>
    </row>
    <row r="621">
      <c r="F621" s="22"/>
      <c r="J621" s="23"/>
    </row>
    <row r="622">
      <c r="F622" s="22"/>
      <c r="J622" s="23"/>
    </row>
    <row r="623">
      <c r="F623" s="22"/>
      <c r="J623" s="23"/>
    </row>
    <row r="624">
      <c r="F624" s="22"/>
      <c r="J624" s="23"/>
    </row>
    <row r="625">
      <c r="F625" s="22"/>
      <c r="J625" s="23"/>
    </row>
    <row r="626">
      <c r="F626" s="22"/>
      <c r="J626" s="23"/>
    </row>
    <row r="627">
      <c r="F627" s="22"/>
      <c r="J627" s="23"/>
    </row>
    <row r="628">
      <c r="F628" s="22"/>
      <c r="J628" s="23"/>
    </row>
    <row r="629">
      <c r="F629" s="22"/>
      <c r="J629" s="23"/>
    </row>
    <row r="630">
      <c r="F630" s="22"/>
      <c r="J630" s="23"/>
    </row>
    <row r="631">
      <c r="F631" s="22"/>
      <c r="J631" s="23"/>
    </row>
    <row r="632">
      <c r="F632" s="22"/>
      <c r="J632" s="23"/>
    </row>
    <row r="633">
      <c r="F633" s="22"/>
      <c r="J633" s="23"/>
    </row>
    <row r="634">
      <c r="F634" s="22"/>
      <c r="J634" s="23"/>
    </row>
    <row r="635">
      <c r="F635" s="22"/>
      <c r="J635" s="23"/>
    </row>
    <row r="636">
      <c r="F636" s="22"/>
      <c r="J636" s="23"/>
    </row>
    <row r="637">
      <c r="F637" s="22"/>
      <c r="J637" s="23"/>
    </row>
    <row r="638">
      <c r="F638" s="22"/>
      <c r="J638" s="23"/>
    </row>
    <row r="639">
      <c r="F639" s="22"/>
      <c r="J639" s="23"/>
    </row>
    <row r="640">
      <c r="F640" s="22"/>
      <c r="J640" s="23"/>
    </row>
    <row r="641">
      <c r="F641" s="22"/>
      <c r="J641" s="23"/>
    </row>
    <row r="642">
      <c r="F642" s="22"/>
      <c r="J642" s="23"/>
    </row>
    <row r="643">
      <c r="F643" s="22"/>
      <c r="J643" s="23"/>
    </row>
    <row r="644">
      <c r="F644" s="22"/>
      <c r="J644" s="23"/>
    </row>
    <row r="645">
      <c r="F645" s="22"/>
      <c r="J645" s="23"/>
    </row>
    <row r="646">
      <c r="F646" s="22"/>
      <c r="J646" s="23"/>
    </row>
    <row r="647">
      <c r="F647" s="22"/>
      <c r="J647" s="23"/>
    </row>
    <row r="648">
      <c r="F648" s="22"/>
      <c r="J648" s="23"/>
    </row>
    <row r="649">
      <c r="F649" s="22"/>
      <c r="J649" s="23"/>
    </row>
    <row r="650">
      <c r="F650" s="22"/>
      <c r="J650" s="23"/>
    </row>
    <row r="651">
      <c r="F651" s="22"/>
      <c r="J651" s="23"/>
    </row>
    <row r="652">
      <c r="F652" s="22"/>
      <c r="J652" s="23"/>
    </row>
    <row r="653">
      <c r="F653" s="22"/>
      <c r="J653" s="23"/>
    </row>
    <row r="654">
      <c r="F654" s="22"/>
      <c r="J654" s="23"/>
    </row>
    <row r="655">
      <c r="F655" s="22"/>
      <c r="J655" s="23"/>
    </row>
    <row r="656">
      <c r="F656" s="22"/>
      <c r="J656" s="23"/>
    </row>
    <row r="657">
      <c r="F657" s="22"/>
      <c r="J657" s="23"/>
    </row>
    <row r="658">
      <c r="F658" s="22"/>
      <c r="J658" s="23"/>
    </row>
    <row r="659">
      <c r="F659" s="22"/>
      <c r="J659" s="23"/>
    </row>
    <row r="660">
      <c r="F660" s="22"/>
      <c r="J660" s="23"/>
    </row>
    <row r="661">
      <c r="F661" s="22"/>
      <c r="J661" s="23"/>
    </row>
    <row r="662">
      <c r="F662" s="22"/>
      <c r="J662" s="23"/>
    </row>
    <row r="663">
      <c r="F663" s="22"/>
      <c r="J663" s="23"/>
    </row>
    <row r="664">
      <c r="F664" s="22"/>
      <c r="J664" s="23"/>
    </row>
    <row r="665">
      <c r="F665" s="22"/>
      <c r="J665" s="23"/>
    </row>
    <row r="666">
      <c r="F666" s="22"/>
      <c r="J666" s="23"/>
    </row>
    <row r="667">
      <c r="F667" s="22"/>
      <c r="J667" s="23"/>
    </row>
    <row r="668">
      <c r="F668" s="22"/>
      <c r="J668" s="23"/>
    </row>
    <row r="669">
      <c r="F669" s="22"/>
      <c r="J669" s="23"/>
    </row>
    <row r="670">
      <c r="F670" s="22"/>
      <c r="J670" s="23"/>
    </row>
    <row r="671">
      <c r="F671" s="22"/>
      <c r="J671" s="23"/>
    </row>
    <row r="672">
      <c r="F672" s="22"/>
      <c r="J672" s="23"/>
    </row>
    <row r="673">
      <c r="F673" s="22"/>
      <c r="J673" s="23"/>
    </row>
    <row r="674">
      <c r="F674" s="22"/>
      <c r="J674" s="23"/>
    </row>
    <row r="675">
      <c r="F675" s="22"/>
      <c r="J675" s="23"/>
    </row>
    <row r="676">
      <c r="F676" s="22"/>
      <c r="J676" s="23"/>
    </row>
    <row r="677">
      <c r="F677" s="22"/>
      <c r="J677" s="23"/>
    </row>
    <row r="678">
      <c r="F678" s="22"/>
      <c r="J678" s="23"/>
    </row>
    <row r="679">
      <c r="F679" s="22"/>
      <c r="J679" s="23"/>
    </row>
    <row r="680">
      <c r="F680" s="22"/>
      <c r="J680" s="23"/>
    </row>
    <row r="681">
      <c r="F681" s="22"/>
      <c r="J681" s="23"/>
    </row>
    <row r="682">
      <c r="F682" s="22"/>
      <c r="J682" s="23"/>
    </row>
    <row r="683">
      <c r="F683" s="22"/>
      <c r="J683" s="23"/>
    </row>
    <row r="684">
      <c r="F684" s="22"/>
      <c r="J684" s="23"/>
    </row>
    <row r="685">
      <c r="F685" s="22"/>
      <c r="J685" s="23"/>
    </row>
    <row r="686">
      <c r="F686" s="22"/>
      <c r="J686" s="23"/>
    </row>
    <row r="687">
      <c r="F687" s="22"/>
      <c r="J687" s="23"/>
    </row>
    <row r="688">
      <c r="F688" s="22"/>
      <c r="J688" s="23"/>
    </row>
    <row r="689">
      <c r="F689" s="22"/>
      <c r="J689" s="23"/>
    </row>
    <row r="690">
      <c r="F690" s="22"/>
      <c r="J690" s="23"/>
    </row>
    <row r="691">
      <c r="F691" s="22"/>
      <c r="J691" s="23"/>
    </row>
    <row r="692">
      <c r="F692" s="22"/>
      <c r="J692" s="23"/>
    </row>
    <row r="693">
      <c r="F693" s="22"/>
      <c r="J693" s="23"/>
    </row>
    <row r="694">
      <c r="F694" s="22"/>
      <c r="J694" s="23"/>
    </row>
    <row r="695">
      <c r="F695" s="22"/>
      <c r="J695" s="23"/>
    </row>
    <row r="696">
      <c r="F696" s="22"/>
      <c r="J696" s="23"/>
    </row>
    <row r="697">
      <c r="F697" s="22"/>
      <c r="J697" s="23"/>
    </row>
    <row r="698">
      <c r="F698" s="22"/>
      <c r="J698" s="23"/>
    </row>
    <row r="699">
      <c r="F699" s="22"/>
      <c r="J699" s="23"/>
    </row>
    <row r="700">
      <c r="F700" s="22"/>
      <c r="J700" s="23"/>
    </row>
    <row r="701">
      <c r="F701" s="22"/>
      <c r="J701" s="23"/>
    </row>
    <row r="702">
      <c r="F702" s="22"/>
      <c r="J702" s="23"/>
    </row>
    <row r="703">
      <c r="F703" s="22"/>
      <c r="J703" s="23"/>
    </row>
    <row r="704">
      <c r="F704" s="22"/>
      <c r="J704" s="23"/>
    </row>
    <row r="705">
      <c r="F705" s="22"/>
      <c r="J705" s="23"/>
    </row>
    <row r="706">
      <c r="F706" s="22"/>
      <c r="J706" s="23"/>
    </row>
    <row r="707">
      <c r="F707" s="22"/>
      <c r="J707" s="23"/>
    </row>
    <row r="708">
      <c r="F708" s="22"/>
      <c r="J708" s="23"/>
    </row>
    <row r="709">
      <c r="F709" s="22"/>
      <c r="J709" s="23"/>
    </row>
    <row r="710">
      <c r="F710" s="22"/>
      <c r="J710" s="23"/>
    </row>
    <row r="711">
      <c r="F711" s="22"/>
      <c r="J711" s="23"/>
    </row>
    <row r="712">
      <c r="F712" s="22"/>
      <c r="J712" s="23"/>
    </row>
    <row r="713">
      <c r="F713" s="22"/>
      <c r="J713" s="23"/>
    </row>
    <row r="714">
      <c r="F714" s="22"/>
      <c r="J714" s="23"/>
    </row>
    <row r="715">
      <c r="F715" s="22"/>
      <c r="J715" s="23"/>
    </row>
    <row r="716">
      <c r="F716" s="22"/>
      <c r="J716" s="23"/>
    </row>
    <row r="717">
      <c r="F717" s="22"/>
      <c r="J717" s="23"/>
    </row>
    <row r="718">
      <c r="F718" s="22"/>
      <c r="J718" s="23"/>
    </row>
    <row r="719">
      <c r="F719" s="22"/>
      <c r="J719" s="23"/>
    </row>
    <row r="720">
      <c r="F720" s="22"/>
      <c r="J720" s="23"/>
    </row>
    <row r="721">
      <c r="F721" s="22"/>
      <c r="J721" s="23"/>
    </row>
    <row r="722">
      <c r="F722" s="22"/>
      <c r="J722" s="23"/>
    </row>
    <row r="723">
      <c r="F723" s="22"/>
      <c r="J723" s="23"/>
    </row>
    <row r="724">
      <c r="F724" s="22"/>
      <c r="J724" s="23"/>
    </row>
    <row r="725">
      <c r="F725" s="22"/>
      <c r="J725" s="23"/>
    </row>
    <row r="726">
      <c r="F726" s="22"/>
      <c r="J726" s="23"/>
    </row>
    <row r="727">
      <c r="F727" s="22"/>
      <c r="J727" s="23"/>
    </row>
    <row r="728">
      <c r="F728" s="22"/>
      <c r="J728" s="23"/>
    </row>
    <row r="729">
      <c r="F729" s="22"/>
      <c r="J729" s="23"/>
    </row>
    <row r="730">
      <c r="F730" s="22"/>
      <c r="J730" s="23"/>
    </row>
    <row r="731">
      <c r="F731" s="22"/>
      <c r="J731" s="23"/>
    </row>
    <row r="732">
      <c r="F732" s="22"/>
      <c r="J732" s="23"/>
    </row>
    <row r="733">
      <c r="F733" s="22"/>
      <c r="J733" s="23"/>
    </row>
    <row r="734">
      <c r="F734" s="22"/>
      <c r="J734" s="23"/>
    </row>
    <row r="735">
      <c r="F735" s="22"/>
      <c r="J735" s="23"/>
    </row>
    <row r="736">
      <c r="F736" s="22"/>
      <c r="J736" s="23"/>
    </row>
    <row r="737">
      <c r="F737" s="22"/>
      <c r="J737" s="23"/>
    </row>
    <row r="738">
      <c r="F738" s="22"/>
      <c r="J738" s="23"/>
    </row>
    <row r="739">
      <c r="F739" s="22"/>
      <c r="J739" s="23"/>
    </row>
    <row r="740">
      <c r="F740" s="22"/>
      <c r="J740" s="23"/>
    </row>
    <row r="741">
      <c r="F741" s="22"/>
      <c r="J741" s="23"/>
    </row>
    <row r="742">
      <c r="F742" s="22"/>
      <c r="J742" s="23"/>
    </row>
    <row r="743">
      <c r="F743" s="22"/>
      <c r="J743" s="23"/>
    </row>
    <row r="744">
      <c r="F744" s="22"/>
      <c r="J744" s="23"/>
    </row>
    <row r="745">
      <c r="F745" s="22"/>
      <c r="J745" s="23"/>
    </row>
    <row r="746">
      <c r="F746" s="22"/>
      <c r="J746" s="23"/>
    </row>
    <row r="747">
      <c r="F747" s="22"/>
      <c r="J747" s="23"/>
    </row>
    <row r="748">
      <c r="F748" s="22"/>
      <c r="J748" s="23"/>
    </row>
    <row r="749">
      <c r="F749" s="22"/>
      <c r="J749" s="23"/>
    </row>
    <row r="750">
      <c r="F750" s="22"/>
      <c r="J750" s="23"/>
    </row>
    <row r="751">
      <c r="F751" s="22"/>
      <c r="J751" s="23"/>
    </row>
    <row r="752">
      <c r="F752" s="22"/>
      <c r="J752" s="23"/>
    </row>
    <row r="753">
      <c r="F753" s="22"/>
      <c r="J753" s="23"/>
    </row>
    <row r="754">
      <c r="F754" s="22"/>
      <c r="J754" s="23"/>
    </row>
    <row r="755">
      <c r="F755" s="22"/>
      <c r="J755" s="23"/>
    </row>
    <row r="756">
      <c r="F756" s="22"/>
      <c r="J756" s="23"/>
    </row>
    <row r="757">
      <c r="F757" s="22"/>
      <c r="J757" s="23"/>
    </row>
    <row r="758">
      <c r="F758" s="22"/>
      <c r="J758" s="23"/>
    </row>
    <row r="759">
      <c r="F759" s="22"/>
      <c r="J759" s="23"/>
    </row>
    <row r="760">
      <c r="F760" s="22"/>
      <c r="J760" s="23"/>
    </row>
    <row r="761">
      <c r="F761" s="22"/>
      <c r="J761" s="23"/>
    </row>
    <row r="762">
      <c r="F762" s="22"/>
      <c r="J762" s="23"/>
    </row>
    <row r="763">
      <c r="F763" s="22"/>
      <c r="J763" s="23"/>
    </row>
    <row r="764">
      <c r="F764" s="22"/>
      <c r="J764" s="23"/>
    </row>
    <row r="765">
      <c r="F765" s="22"/>
      <c r="J765" s="23"/>
    </row>
    <row r="766">
      <c r="F766" s="22"/>
      <c r="J766" s="23"/>
    </row>
    <row r="767">
      <c r="F767" s="22"/>
      <c r="J767" s="23"/>
    </row>
    <row r="768">
      <c r="F768" s="22"/>
      <c r="J768" s="23"/>
    </row>
    <row r="769">
      <c r="F769" s="22"/>
      <c r="J769" s="23"/>
    </row>
    <row r="770">
      <c r="F770" s="22"/>
      <c r="J770" s="23"/>
    </row>
    <row r="771">
      <c r="F771" s="22"/>
      <c r="J771" s="23"/>
    </row>
    <row r="772">
      <c r="F772" s="22"/>
      <c r="J772" s="23"/>
    </row>
    <row r="773">
      <c r="F773" s="22"/>
      <c r="J773" s="23"/>
    </row>
    <row r="774">
      <c r="F774" s="22"/>
      <c r="J774" s="23"/>
    </row>
    <row r="775">
      <c r="F775" s="22"/>
      <c r="J775" s="23"/>
    </row>
    <row r="776">
      <c r="F776" s="22"/>
      <c r="J776" s="23"/>
    </row>
    <row r="777">
      <c r="F777" s="22"/>
      <c r="J777" s="23"/>
    </row>
    <row r="778">
      <c r="F778" s="22"/>
      <c r="J778" s="23"/>
    </row>
    <row r="779">
      <c r="F779" s="22"/>
      <c r="J779" s="23"/>
    </row>
    <row r="780">
      <c r="F780" s="22"/>
      <c r="J780" s="23"/>
    </row>
    <row r="781">
      <c r="F781" s="22"/>
      <c r="J781" s="23"/>
    </row>
    <row r="782">
      <c r="F782" s="22"/>
      <c r="J782" s="23"/>
    </row>
    <row r="783">
      <c r="F783" s="22"/>
      <c r="J783" s="23"/>
    </row>
    <row r="784">
      <c r="F784" s="22"/>
      <c r="J784" s="23"/>
    </row>
    <row r="785">
      <c r="F785" s="22"/>
      <c r="J785" s="23"/>
    </row>
    <row r="786">
      <c r="F786" s="22"/>
      <c r="J786" s="23"/>
    </row>
    <row r="787">
      <c r="F787" s="22"/>
      <c r="J787" s="23"/>
    </row>
    <row r="788">
      <c r="F788" s="22"/>
      <c r="J788" s="23"/>
    </row>
    <row r="789">
      <c r="F789" s="22"/>
      <c r="J789" s="23"/>
    </row>
    <row r="790">
      <c r="F790" s="22"/>
      <c r="J790" s="23"/>
    </row>
    <row r="791">
      <c r="F791" s="22"/>
      <c r="J791" s="23"/>
    </row>
    <row r="792">
      <c r="F792" s="22"/>
      <c r="J792" s="23"/>
    </row>
    <row r="793">
      <c r="F793" s="22"/>
      <c r="J793" s="23"/>
    </row>
    <row r="794">
      <c r="F794" s="22"/>
      <c r="J794" s="23"/>
    </row>
    <row r="795">
      <c r="F795" s="22"/>
      <c r="J795" s="23"/>
    </row>
    <row r="796">
      <c r="F796" s="22"/>
      <c r="J796" s="23"/>
    </row>
    <row r="797">
      <c r="F797" s="22"/>
      <c r="J797" s="23"/>
    </row>
    <row r="798">
      <c r="F798" s="22"/>
      <c r="J798" s="23"/>
    </row>
    <row r="799">
      <c r="F799" s="22"/>
      <c r="J799" s="23"/>
    </row>
    <row r="800">
      <c r="F800" s="22"/>
      <c r="J800" s="23"/>
    </row>
    <row r="801">
      <c r="F801" s="22"/>
      <c r="J801" s="23"/>
    </row>
    <row r="802">
      <c r="F802" s="22"/>
      <c r="J802" s="23"/>
    </row>
    <row r="803">
      <c r="F803" s="22"/>
      <c r="J803" s="23"/>
    </row>
    <row r="804">
      <c r="F804" s="22"/>
      <c r="J804" s="23"/>
    </row>
    <row r="805">
      <c r="F805" s="22"/>
      <c r="J805" s="23"/>
    </row>
    <row r="806">
      <c r="F806" s="22"/>
      <c r="J806" s="23"/>
    </row>
    <row r="807">
      <c r="F807" s="22"/>
      <c r="J807" s="23"/>
    </row>
    <row r="808">
      <c r="F808" s="22"/>
      <c r="J808" s="23"/>
    </row>
    <row r="809">
      <c r="F809" s="22"/>
      <c r="J809" s="23"/>
    </row>
    <row r="810">
      <c r="F810" s="22"/>
      <c r="J810" s="23"/>
    </row>
    <row r="811">
      <c r="F811" s="22"/>
      <c r="J811" s="23"/>
    </row>
    <row r="812">
      <c r="F812" s="22"/>
      <c r="J812" s="23"/>
    </row>
    <row r="813">
      <c r="F813" s="22"/>
      <c r="J813" s="23"/>
    </row>
    <row r="814">
      <c r="F814" s="22"/>
      <c r="J814" s="23"/>
    </row>
    <row r="815">
      <c r="F815" s="22"/>
      <c r="J815" s="23"/>
    </row>
    <row r="816">
      <c r="F816" s="22"/>
      <c r="J816" s="23"/>
    </row>
    <row r="817">
      <c r="F817" s="22"/>
      <c r="J817" s="23"/>
    </row>
    <row r="818">
      <c r="F818" s="22"/>
      <c r="J818" s="23"/>
    </row>
    <row r="819">
      <c r="F819" s="22"/>
      <c r="J819" s="23"/>
    </row>
    <row r="820">
      <c r="F820" s="22"/>
      <c r="J820" s="23"/>
    </row>
    <row r="821">
      <c r="F821" s="22"/>
      <c r="J821" s="23"/>
    </row>
    <row r="822">
      <c r="F822" s="22"/>
      <c r="J822" s="23"/>
    </row>
    <row r="823">
      <c r="F823" s="22"/>
      <c r="J823" s="23"/>
    </row>
    <row r="824">
      <c r="F824" s="22"/>
      <c r="J824" s="23"/>
    </row>
    <row r="825">
      <c r="F825" s="22"/>
      <c r="J825" s="23"/>
    </row>
    <row r="826">
      <c r="F826" s="22"/>
      <c r="J826" s="23"/>
    </row>
    <row r="827">
      <c r="F827" s="22"/>
      <c r="J827" s="23"/>
    </row>
    <row r="828">
      <c r="F828" s="22"/>
      <c r="J828" s="23"/>
    </row>
    <row r="829">
      <c r="F829" s="22"/>
      <c r="J829" s="23"/>
    </row>
    <row r="830">
      <c r="F830" s="22"/>
      <c r="J830" s="23"/>
    </row>
    <row r="831">
      <c r="F831" s="22"/>
      <c r="J831" s="23"/>
    </row>
    <row r="832">
      <c r="F832" s="22"/>
      <c r="J832" s="23"/>
    </row>
    <row r="833">
      <c r="F833" s="22"/>
      <c r="J833" s="23"/>
    </row>
    <row r="834">
      <c r="F834" s="22"/>
      <c r="J834" s="23"/>
    </row>
    <row r="835">
      <c r="F835" s="22"/>
      <c r="J835" s="23"/>
    </row>
    <row r="836">
      <c r="F836" s="22"/>
      <c r="J836" s="23"/>
    </row>
    <row r="837">
      <c r="F837" s="22"/>
      <c r="J837" s="23"/>
    </row>
    <row r="838">
      <c r="F838" s="22"/>
      <c r="J838" s="23"/>
    </row>
    <row r="839">
      <c r="F839" s="22"/>
      <c r="J839" s="23"/>
    </row>
    <row r="840">
      <c r="F840" s="22"/>
      <c r="J840" s="23"/>
    </row>
    <row r="841">
      <c r="F841" s="22"/>
      <c r="J841" s="23"/>
    </row>
    <row r="842">
      <c r="F842" s="22"/>
      <c r="J842" s="23"/>
    </row>
    <row r="843">
      <c r="F843" s="22"/>
      <c r="J843" s="23"/>
    </row>
    <row r="844">
      <c r="F844" s="22"/>
      <c r="J844" s="23"/>
    </row>
    <row r="845">
      <c r="F845" s="22"/>
      <c r="J845" s="23"/>
    </row>
    <row r="846">
      <c r="F846" s="22"/>
      <c r="J846" s="23"/>
    </row>
    <row r="847">
      <c r="F847" s="22"/>
      <c r="J847" s="23"/>
    </row>
    <row r="848">
      <c r="F848" s="22"/>
      <c r="J848" s="23"/>
    </row>
    <row r="849">
      <c r="F849" s="22"/>
      <c r="J849" s="23"/>
    </row>
    <row r="850">
      <c r="F850" s="22"/>
      <c r="J850" s="23"/>
    </row>
    <row r="851">
      <c r="F851" s="22"/>
      <c r="J851" s="23"/>
    </row>
    <row r="852">
      <c r="F852" s="22"/>
      <c r="J852" s="23"/>
    </row>
    <row r="853">
      <c r="F853" s="22"/>
      <c r="J853" s="23"/>
    </row>
    <row r="854">
      <c r="F854" s="22"/>
      <c r="J854" s="23"/>
    </row>
    <row r="855">
      <c r="F855" s="22"/>
      <c r="J855" s="23"/>
    </row>
    <row r="856">
      <c r="F856" s="22"/>
      <c r="J856" s="23"/>
    </row>
    <row r="857">
      <c r="F857" s="22"/>
      <c r="J857" s="23"/>
    </row>
    <row r="858">
      <c r="F858" s="22"/>
      <c r="J858" s="23"/>
    </row>
    <row r="859">
      <c r="F859" s="22"/>
      <c r="J859" s="23"/>
    </row>
    <row r="860">
      <c r="F860" s="22"/>
      <c r="J860" s="23"/>
    </row>
    <row r="861">
      <c r="F861" s="22"/>
      <c r="J861" s="23"/>
    </row>
    <row r="862">
      <c r="F862" s="22"/>
      <c r="J862" s="23"/>
    </row>
    <row r="863">
      <c r="F863" s="22"/>
      <c r="J863" s="23"/>
    </row>
    <row r="864">
      <c r="F864" s="22"/>
      <c r="J864" s="23"/>
    </row>
    <row r="865">
      <c r="F865" s="22"/>
      <c r="J865" s="23"/>
    </row>
    <row r="866">
      <c r="F866" s="22"/>
      <c r="J866" s="23"/>
    </row>
    <row r="867">
      <c r="F867" s="22"/>
      <c r="J867" s="23"/>
    </row>
    <row r="868">
      <c r="F868" s="22"/>
      <c r="J868" s="23"/>
    </row>
    <row r="869">
      <c r="F869" s="22"/>
      <c r="J869" s="23"/>
    </row>
    <row r="870">
      <c r="F870" s="22"/>
      <c r="J870" s="23"/>
    </row>
    <row r="871">
      <c r="F871" s="22"/>
      <c r="J871" s="23"/>
    </row>
    <row r="872">
      <c r="F872" s="22"/>
      <c r="J872" s="23"/>
    </row>
    <row r="873">
      <c r="F873" s="22"/>
      <c r="J873" s="23"/>
    </row>
    <row r="874">
      <c r="F874" s="22"/>
      <c r="J874" s="23"/>
    </row>
    <row r="875">
      <c r="F875" s="22"/>
      <c r="J875" s="23"/>
    </row>
    <row r="876">
      <c r="F876" s="22"/>
      <c r="J876" s="23"/>
    </row>
    <row r="877">
      <c r="F877" s="22"/>
      <c r="J877" s="23"/>
    </row>
    <row r="878">
      <c r="F878" s="22"/>
      <c r="J878" s="23"/>
    </row>
    <row r="879">
      <c r="F879" s="22"/>
      <c r="J879" s="23"/>
    </row>
    <row r="880">
      <c r="F880" s="22"/>
      <c r="J880" s="23"/>
    </row>
    <row r="881">
      <c r="F881" s="22"/>
      <c r="J881" s="23"/>
    </row>
    <row r="882">
      <c r="F882" s="22"/>
      <c r="J882" s="23"/>
    </row>
    <row r="883">
      <c r="F883" s="22"/>
      <c r="J883" s="23"/>
    </row>
    <row r="884">
      <c r="F884" s="22"/>
      <c r="J884" s="23"/>
    </row>
    <row r="885">
      <c r="F885" s="22"/>
      <c r="J885" s="23"/>
    </row>
    <row r="886">
      <c r="F886" s="22"/>
      <c r="J886" s="23"/>
    </row>
    <row r="887">
      <c r="F887" s="22"/>
      <c r="J887" s="23"/>
    </row>
    <row r="888">
      <c r="F888" s="22"/>
      <c r="J888" s="23"/>
    </row>
    <row r="889">
      <c r="F889" s="22"/>
      <c r="J889" s="23"/>
    </row>
    <row r="890">
      <c r="F890" s="22"/>
      <c r="J890" s="23"/>
    </row>
    <row r="891">
      <c r="F891" s="22"/>
      <c r="J891" s="23"/>
    </row>
    <row r="892">
      <c r="F892" s="22"/>
      <c r="J892" s="23"/>
    </row>
    <row r="893">
      <c r="F893" s="22"/>
      <c r="J893" s="23"/>
    </row>
    <row r="894">
      <c r="F894" s="22"/>
      <c r="J894" s="23"/>
    </row>
    <row r="895">
      <c r="F895" s="22"/>
      <c r="J895" s="23"/>
    </row>
    <row r="896">
      <c r="F896" s="22"/>
      <c r="J896" s="23"/>
    </row>
    <row r="897">
      <c r="F897" s="22"/>
      <c r="J897" s="23"/>
    </row>
    <row r="898">
      <c r="F898" s="22"/>
      <c r="J898" s="23"/>
    </row>
    <row r="899">
      <c r="F899" s="22"/>
      <c r="J899" s="23"/>
    </row>
    <row r="900">
      <c r="F900" s="22"/>
      <c r="J900" s="23"/>
    </row>
    <row r="901">
      <c r="F901" s="22"/>
      <c r="J901" s="23"/>
    </row>
    <row r="902">
      <c r="F902" s="22"/>
      <c r="J902" s="23"/>
    </row>
    <row r="903">
      <c r="F903" s="22"/>
      <c r="J903" s="23"/>
    </row>
    <row r="904">
      <c r="F904" s="22"/>
      <c r="J904" s="23"/>
    </row>
    <row r="905">
      <c r="F905" s="22"/>
      <c r="J905" s="23"/>
    </row>
    <row r="906">
      <c r="F906" s="22"/>
      <c r="J906" s="23"/>
    </row>
    <row r="907">
      <c r="F907" s="22"/>
      <c r="J907" s="23"/>
    </row>
    <row r="908">
      <c r="F908" s="22"/>
      <c r="J908" s="23"/>
    </row>
    <row r="909">
      <c r="F909" s="22"/>
      <c r="J909" s="23"/>
    </row>
    <row r="910">
      <c r="F910" s="22"/>
      <c r="J910" s="23"/>
    </row>
    <row r="911">
      <c r="F911" s="22"/>
      <c r="J911" s="23"/>
    </row>
    <row r="912">
      <c r="F912" s="22"/>
      <c r="J912" s="23"/>
    </row>
    <row r="913">
      <c r="F913" s="22"/>
      <c r="J913" s="23"/>
    </row>
    <row r="914">
      <c r="F914" s="22"/>
      <c r="J914" s="23"/>
    </row>
    <row r="915">
      <c r="F915" s="22"/>
      <c r="J915" s="23"/>
    </row>
    <row r="916">
      <c r="F916" s="22"/>
      <c r="J916" s="23"/>
    </row>
    <row r="917">
      <c r="F917" s="22"/>
      <c r="J917" s="23"/>
    </row>
    <row r="918">
      <c r="F918" s="22"/>
      <c r="J918" s="23"/>
    </row>
    <row r="919">
      <c r="F919" s="22"/>
      <c r="J919" s="23"/>
    </row>
    <row r="920">
      <c r="F920" s="22"/>
      <c r="J920" s="23"/>
    </row>
    <row r="921">
      <c r="F921" s="22"/>
      <c r="J921" s="23"/>
    </row>
    <row r="922">
      <c r="F922" s="22"/>
      <c r="J922" s="23"/>
    </row>
    <row r="923">
      <c r="F923" s="22"/>
      <c r="J923" s="23"/>
    </row>
    <row r="924">
      <c r="F924" s="22"/>
      <c r="J924" s="23"/>
    </row>
    <row r="925">
      <c r="F925" s="22"/>
      <c r="J925" s="23"/>
    </row>
    <row r="926">
      <c r="F926" s="22"/>
      <c r="J926" s="23"/>
    </row>
    <row r="927">
      <c r="F927" s="22"/>
      <c r="J927" s="23"/>
    </row>
    <row r="928">
      <c r="F928" s="22"/>
      <c r="J928" s="23"/>
    </row>
    <row r="929">
      <c r="F929" s="22"/>
      <c r="J929" s="23"/>
    </row>
    <row r="930">
      <c r="F930" s="22"/>
      <c r="J930" s="23"/>
    </row>
    <row r="931">
      <c r="F931" s="22"/>
      <c r="J931" s="23"/>
    </row>
    <row r="932">
      <c r="F932" s="22"/>
      <c r="J932" s="23"/>
    </row>
    <row r="933">
      <c r="F933" s="22"/>
      <c r="J933" s="23"/>
    </row>
    <row r="934">
      <c r="F934" s="22"/>
      <c r="J934" s="23"/>
    </row>
    <row r="935">
      <c r="F935" s="22"/>
      <c r="J935" s="23"/>
    </row>
    <row r="936">
      <c r="F936" s="22"/>
      <c r="J936" s="23"/>
    </row>
    <row r="937">
      <c r="F937" s="22"/>
      <c r="J937" s="23"/>
    </row>
    <row r="938">
      <c r="F938" s="22"/>
      <c r="J938" s="23"/>
    </row>
    <row r="939">
      <c r="F939" s="22"/>
      <c r="J939" s="23"/>
    </row>
    <row r="940">
      <c r="F940" s="22"/>
      <c r="J940" s="23"/>
    </row>
    <row r="941">
      <c r="F941" s="22"/>
      <c r="J941" s="23"/>
    </row>
    <row r="942">
      <c r="F942" s="22"/>
      <c r="J942" s="23"/>
    </row>
    <row r="943">
      <c r="F943" s="22"/>
      <c r="J943" s="23"/>
    </row>
    <row r="944">
      <c r="F944" s="22"/>
      <c r="J944" s="23"/>
    </row>
    <row r="945">
      <c r="F945" s="22"/>
      <c r="J945" s="23"/>
    </row>
    <row r="946">
      <c r="F946" s="22"/>
      <c r="J946" s="23"/>
    </row>
    <row r="947">
      <c r="F947" s="22"/>
      <c r="J947" s="23"/>
    </row>
    <row r="948">
      <c r="F948" s="22"/>
      <c r="J948" s="23"/>
    </row>
    <row r="949">
      <c r="F949" s="22"/>
      <c r="J949" s="23"/>
    </row>
    <row r="950">
      <c r="F950" s="22"/>
      <c r="J950" s="23"/>
    </row>
    <row r="951">
      <c r="F951" s="22"/>
      <c r="J951" s="23"/>
    </row>
    <row r="952">
      <c r="F952" s="22"/>
      <c r="J952" s="23"/>
    </row>
    <row r="953">
      <c r="F953" s="22"/>
      <c r="J953" s="23"/>
    </row>
    <row r="954">
      <c r="F954" s="22"/>
      <c r="J954" s="23"/>
    </row>
    <row r="955">
      <c r="F955" s="22"/>
      <c r="J955" s="23"/>
    </row>
    <row r="956">
      <c r="F956" s="22"/>
      <c r="J956" s="23"/>
    </row>
    <row r="957">
      <c r="F957" s="22"/>
      <c r="J957" s="23"/>
    </row>
    <row r="958">
      <c r="F958" s="22"/>
      <c r="J958" s="23"/>
    </row>
    <row r="959">
      <c r="F959" s="22"/>
      <c r="J959" s="23"/>
    </row>
    <row r="960">
      <c r="F960" s="22"/>
      <c r="J960" s="23"/>
    </row>
    <row r="961">
      <c r="F961" s="22"/>
      <c r="J961" s="23"/>
    </row>
    <row r="962">
      <c r="F962" s="22"/>
      <c r="J962" s="23"/>
    </row>
    <row r="963">
      <c r="F963" s="22"/>
      <c r="J963" s="23"/>
    </row>
    <row r="964">
      <c r="F964" s="22"/>
      <c r="J964" s="23"/>
    </row>
    <row r="965">
      <c r="F965" s="22"/>
      <c r="J965" s="23"/>
    </row>
    <row r="966">
      <c r="F966" s="22"/>
      <c r="J966" s="23"/>
    </row>
    <row r="967">
      <c r="F967" s="22"/>
      <c r="J967" s="23"/>
    </row>
    <row r="968">
      <c r="F968" s="22"/>
      <c r="J968" s="23"/>
    </row>
    <row r="969">
      <c r="F969" s="22"/>
      <c r="J969" s="23"/>
    </row>
    <row r="970">
      <c r="F970" s="22"/>
      <c r="J970" s="23"/>
    </row>
    <row r="971">
      <c r="F971" s="22"/>
      <c r="J971" s="23"/>
    </row>
    <row r="972">
      <c r="F972" s="22"/>
      <c r="J972" s="23"/>
    </row>
    <row r="973">
      <c r="F973" s="22"/>
      <c r="J973" s="23"/>
    </row>
    <row r="974">
      <c r="F974" s="22"/>
      <c r="J974" s="23"/>
    </row>
    <row r="975">
      <c r="F975" s="22"/>
      <c r="J975" s="23"/>
    </row>
    <row r="976">
      <c r="F976" s="22"/>
      <c r="J976" s="23"/>
    </row>
    <row r="977">
      <c r="F977" s="22"/>
      <c r="J977" s="23"/>
    </row>
    <row r="978">
      <c r="F978" s="22"/>
      <c r="J978" s="23"/>
    </row>
    <row r="979">
      <c r="F979" s="22"/>
      <c r="J979" s="23"/>
    </row>
    <row r="980">
      <c r="F980" s="22"/>
      <c r="J980" s="23"/>
    </row>
    <row r="981">
      <c r="F981" s="22"/>
      <c r="J981" s="23"/>
    </row>
    <row r="982">
      <c r="F982" s="22"/>
      <c r="J982" s="23"/>
    </row>
  </sheetData>
  <mergeCells count="2">
    <mergeCell ref="A1:C1"/>
    <mergeCell ref="A2:B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13.43"/>
    <col customWidth="1" min="3" max="3" width="16.86"/>
    <col customWidth="1" min="4" max="4" width="22.71"/>
    <col customWidth="1" min="5" max="5" width="13.57"/>
    <col customWidth="1" min="6" max="6" width="22.29"/>
    <col customWidth="1" min="7" max="7" width="22.43"/>
    <col customWidth="1" min="8" max="8" width="21.86"/>
    <col customWidth="1" min="9" max="9" width="31.43"/>
    <col customWidth="1" min="10" max="10" width="23.29"/>
    <col customWidth="1" min="11" max="11" width="22.57"/>
    <col customWidth="1" min="12" max="12" width="46.86"/>
  </cols>
  <sheetData>
    <row r="1">
      <c r="A1" s="120" t="s">
        <v>213</v>
      </c>
      <c r="B1" s="120" t="s">
        <v>214</v>
      </c>
      <c r="C1" s="120" t="s">
        <v>215</v>
      </c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121"/>
      <c r="O1" s="121"/>
      <c r="P1" s="121"/>
      <c r="Q1" s="121"/>
      <c r="R1" s="121"/>
      <c r="S1" s="121"/>
      <c r="T1" s="121"/>
      <c r="U1" s="121"/>
    </row>
    <row r="2">
      <c r="A2" s="122">
        <v>43344.0</v>
      </c>
      <c r="B2" s="123">
        <v>0.04990740740740741</v>
      </c>
      <c r="C2" s="124">
        <v>281122.0</v>
      </c>
      <c r="D2" s="125"/>
      <c r="E2" s="120"/>
      <c r="F2" s="125"/>
      <c r="G2" s="125"/>
      <c r="H2" s="125"/>
      <c r="I2" s="120"/>
      <c r="J2" s="120"/>
      <c r="K2" s="120"/>
      <c r="L2" s="120"/>
      <c r="M2" s="121"/>
      <c r="N2" s="121"/>
      <c r="O2" s="121"/>
      <c r="P2" s="121"/>
      <c r="Q2" s="121"/>
      <c r="R2" s="121"/>
      <c r="S2" s="121"/>
      <c r="T2" s="121"/>
      <c r="U2" s="121"/>
    </row>
    <row r="3">
      <c r="A3" s="122">
        <v>43345.0</v>
      </c>
      <c r="B3" s="123">
        <v>0.04123842592592593</v>
      </c>
      <c r="C3" s="124">
        <v>195510.0</v>
      </c>
      <c r="D3" s="125"/>
      <c r="E3" s="120"/>
      <c r="F3" s="125"/>
      <c r="G3" s="125"/>
      <c r="H3" s="125"/>
      <c r="I3" s="120"/>
      <c r="J3" s="120"/>
      <c r="K3" s="120"/>
      <c r="L3" s="120"/>
      <c r="M3" s="121"/>
      <c r="N3" s="121"/>
      <c r="O3" s="121"/>
      <c r="P3" s="121"/>
      <c r="Q3" s="121"/>
      <c r="R3" s="121"/>
      <c r="S3" s="121"/>
      <c r="T3" s="121"/>
      <c r="U3" s="121"/>
    </row>
    <row r="4">
      <c r="A4" s="122">
        <v>43349.0</v>
      </c>
      <c r="B4" s="123">
        <v>0.0709375</v>
      </c>
      <c r="C4" s="124">
        <v>381295.0</v>
      </c>
      <c r="D4" s="125"/>
      <c r="E4" s="120"/>
      <c r="F4" s="125"/>
      <c r="G4" s="125"/>
      <c r="H4" s="125"/>
      <c r="I4" s="120"/>
      <c r="J4" s="120"/>
      <c r="K4" s="120"/>
      <c r="L4" s="120"/>
      <c r="M4" s="121"/>
      <c r="N4" s="121"/>
      <c r="O4" s="121"/>
      <c r="P4" s="121"/>
      <c r="Q4" s="121"/>
      <c r="R4" s="121"/>
      <c r="S4" s="121"/>
      <c r="T4" s="121"/>
      <c r="U4" s="121"/>
    </row>
    <row r="5">
      <c r="A5" s="122">
        <v>43350.0</v>
      </c>
      <c r="B5" s="123">
        <v>0.04258101851851852</v>
      </c>
      <c r="C5" s="124">
        <v>332218.0</v>
      </c>
      <c r="D5" s="125"/>
      <c r="E5" s="120"/>
      <c r="F5" s="125"/>
      <c r="G5" s="125"/>
      <c r="H5" s="125"/>
      <c r="I5" s="120"/>
      <c r="J5" s="120"/>
      <c r="K5" s="120"/>
      <c r="L5" s="120"/>
      <c r="M5" s="121"/>
      <c r="N5" s="121"/>
      <c r="O5" s="121"/>
      <c r="P5" s="121"/>
      <c r="Q5" s="121"/>
      <c r="R5" s="121"/>
      <c r="S5" s="121"/>
      <c r="T5" s="121"/>
      <c r="U5" s="121"/>
    </row>
    <row r="6">
      <c r="A6" s="122">
        <v>43351.0</v>
      </c>
      <c r="B6" s="123">
        <v>0.04715277777777778</v>
      </c>
      <c r="C6" s="124">
        <v>317264.0</v>
      </c>
      <c r="D6" s="125"/>
      <c r="E6" s="120"/>
      <c r="F6" s="125"/>
      <c r="G6" s="125"/>
      <c r="H6" s="125"/>
      <c r="I6" s="120"/>
      <c r="J6" s="120"/>
      <c r="K6" s="120"/>
      <c r="L6" s="120"/>
      <c r="M6" s="121"/>
      <c r="N6" s="121"/>
      <c r="O6" s="121"/>
      <c r="P6" s="121"/>
      <c r="Q6" s="121"/>
      <c r="R6" s="121"/>
      <c r="S6" s="121"/>
      <c r="T6" s="121"/>
      <c r="U6" s="121"/>
    </row>
    <row r="7">
      <c r="A7" s="122">
        <v>43352.0</v>
      </c>
      <c r="B7" s="123">
        <v>0.03903935185185185</v>
      </c>
      <c r="C7" s="124">
        <v>206353.0</v>
      </c>
      <c r="D7" s="125"/>
      <c r="E7" s="120"/>
      <c r="F7" s="125"/>
      <c r="G7" s="125"/>
      <c r="H7" s="125"/>
      <c r="I7" s="120"/>
      <c r="J7" s="120"/>
      <c r="K7" s="120"/>
      <c r="L7" s="120"/>
      <c r="M7" s="121"/>
      <c r="N7" s="121"/>
      <c r="O7" s="121"/>
      <c r="P7" s="121"/>
      <c r="Q7" s="121"/>
      <c r="R7" s="121"/>
      <c r="S7" s="121"/>
      <c r="T7" s="121"/>
      <c r="U7" s="121"/>
    </row>
    <row r="8">
      <c r="A8" s="125">
        <v>43354.0</v>
      </c>
      <c r="B8" s="123">
        <v>0.024155092592592593</v>
      </c>
      <c r="C8" s="124">
        <v>258022.0</v>
      </c>
      <c r="D8" s="125"/>
      <c r="E8" s="120"/>
      <c r="F8" s="125"/>
      <c r="G8" s="125"/>
      <c r="H8" s="125"/>
      <c r="I8" s="120"/>
      <c r="J8" s="120"/>
      <c r="K8" s="120"/>
      <c r="L8" s="120"/>
      <c r="M8" s="121"/>
      <c r="N8" s="121"/>
      <c r="O8" s="121"/>
      <c r="P8" s="121"/>
      <c r="Q8" s="121"/>
      <c r="R8" s="121"/>
      <c r="S8" s="121"/>
      <c r="T8" s="121"/>
      <c r="U8" s="121"/>
    </row>
    <row r="9">
      <c r="A9" s="125">
        <v>43355.0</v>
      </c>
      <c r="B9" s="123">
        <v>0.04127314814814815</v>
      </c>
      <c r="C9" s="124">
        <v>364851.0</v>
      </c>
      <c r="D9" s="125"/>
      <c r="E9" s="120"/>
      <c r="F9" s="125"/>
      <c r="G9" s="125"/>
      <c r="H9" s="125"/>
      <c r="I9" s="120"/>
      <c r="J9" s="120"/>
      <c r="K9" s="120"/>
      <c r="L9" s="120"/>
      <c r="M9" s="121"/>
      <c r="N9" s="121"/>
      <c r="O9" s="121"/>
      <c r="P9" s="121"/>
      <c r="Q9" s="121"/>
      <c r="R9" s="121"/>
      <c r="S9" s="121"/>
      <c r="T9" s="121"/>
      <c r="U9" s="121"/>
    </row>
    <row r="10">
      <c r="A10" s="125">
        <v>43356.0</v>
      </c>
      <c r="B10" s="123">
        <v>0.05476851851851852</v>
      </c>
      <c r="C10" s="124">
        <v>313126.0</v>
      </c>
      <c r="D10" s="125"/>
      <c r="E10" s="120"/>
      <c r="F10" s="125"/>
      <c r="G10" s="125"/>
      <c r="H10" s="125"/>
      <c r="I10" s="120"/>
      <c r="J10" s="120"/>
      <c r="K10" s="120"/>
      <c r="L10" s="120"/>
      <c r="M10" s="121"/>
      <c r="N10" s="121"/>
      <c r="O10" s="121"/>
      <c r="P10" s="121"/>
      <c r="Q10" s="121"/>
      <c r="R10" s="121"/>
      <c r="S10" s="121"/>
      <c r="T10" s="121"/>
      <c r="U10" s="121"/>
    </row>
    <row r="11">
      <c r="A11" s="125">
        <v>43357.0</v>
      </c>
      <c r="B11" s="123">
        <v>0.06159722222222222</v>
      </c>
      <c r="C11" s="124">
        <v>308988.0</v>
      </c>
      <c r="D11" s="125"/>
      <c r="E11" s="120"/>
      <c r="F11" s="125"/>
      <c r="G11" s="125"/>
      <c r="H11" s="125"/>
      <c r="I11" s="120"/>
      <c r="J11" s="120"/>
      <c r="K11" s="120"/>
      <c r="L11" s="120"/>
      <c r="M11" s="121"/>
      <c r="N11" s="121"/>
      <c r="O11" s="121"/>
      <c r="P11" s="121"/>
      <c r="Q11" s="121"/>
      <c r="R11" s="121"/>
      <c r="S11" s="121"/>
      <c r="T11" s="121"/>
      <c r="U11" s="121"/>
    </row>
    <row r="12">
      <c r="A12" s="125">
        <v>43358.0</v>
      </c>
      <c r="B12" s="123">
        <v>0.07922453703703704</v>
      </c>
      <c r="C12" s="124">
        <v>298728.0</v>
      </c>
      <c r="D12" s="125"/>
      <c r="E12" s="120"/>
      <c r="F12" s="125"/>
      <c r="G12" s="125"/>
      <c r="H12" s="125"/>
      <c r="I12" s="120"/>
      <c r="J12" s="120"/>
      <c r="K12" s="120"/>
      <c r="L12" s="120"/>
      <c r="M12" s="121"/>
      <c r="N12" s="121"/>
      <c r="O12" s="121"/>
      <c r="P12" s="121"/>
      <c r="Q12" s="121"/>
      <c r="R12" s="121"/>
      <c r="S12" s="121"/>
      <c r="T12" s="121"/>
      <c r="U12" s="121"/>
    </row>
    <row r="13">
      <c r="A13" s="125">
        <v>43359.0</v>
      </c>
      <c r="B13" s="123">
        <v>0.0641087962962963</v>
      </c>
      <c r="C13" s="124">
        <v>189777.0</v>
      </c>
      <c r="D13" s="125"/>
      <c r="E13" s="120"/>
      <c r="F13" s="125"/>
      <c r="G13" s="125"/>
      <c r="H13" s="125"/>
      <c r="I13" s="120"/>
      <c r="J13" s="120"/>
      <c r="K13" s="120"/>
      <c r="L13" s="120"/>
      <c r="M13" s="121"/>
      <c r="N13" s="121"/>
      <c r="O13" s="121"/>
      <c r="P13" s="121"/>
      <c r="Q13" s="121"/>
      <c r="R13" s="121"/>
      <c r="S13" s="121"/>
      <c r="T13" s="121"/>
      <c r="U13" s="121"/>
    </row>
    <row r="14">
      <c r="A14" s="125">
        <v>43361.0</v>
      </c>
      <c r="B14" s="123">
        <v>0.02232638888888889</v>
      </c>
      <c r="C14" s="124">
        <v>262199.0</v>
      </c>
      <c r="D14" s="125"/>
      <c r="E14" s="120"/>
      <c r="F14" s="125"/>
      <c r="G14" s="125"/>
      <c r="H14" s="125"/>
      <c r="I14" s="120"/>
      <c r="J14" s="120"/>
      <c r="K14" s="120"/>
      <c r="L14" s="120"/>
      <c r="M14" s="121"/>
      <c r="N14" s="121"/>
      <c r="O14" s="121"/>
      <c r="P14" s="121"/>
      <c r="Q14" s="121"/>
      <c r="R14" s="121"/>
      <c r="S14" s="121"/>
      <c r="T14" s="121"/>
      <c r="U14" s="121"/>
    </row>
    <row r="15">
      <c r="A15" s="125">
        <v>43362.0</v>
      </c>
      <c r="B15" s="123">
        <v>0.04261574074074074</v>
      </c>
      <c r="C15" s="124">
        <v>364760.0</v>
      </c>
      <c r="D15" s="125"/>
      <c r="E15" s="120"/>
      <c r="F15" s="125"/>
      <c r="G15" s="125"/>
      <c r="H15" s="125"/>
      <c r="I15" s="120"/>
      <c r="J15" s="120"/>
      <c r="K15" s="120"/>
      <c r="L15" s="120"/>
      <c r="M15" s="121"/>
      <c r="N15" s="121"/>
      <c r="O15" s="121"/>
      <c r="P15" s="121"/>
      <c r="Q15" s="121"/>
      <c r="R15" s="121"/>
      <c r="S15" s="121"/>
      <c r="T15" s="121"/>
      <c r="U15" s="121"/>
    </row>
    <row r="16">
      <c r="A16" s="125">
        <v>43363.0</v>
      </c>
      <c r="B16" s="123">
        <v>0.043263888888888886</v>
      </c>
      <c r="C16" s="124">
        <v>298642.0</v>
      </c>
      <c r="D16" s="125"/>
      <c r="E16" s="120"/>
      <c r="F16" s="125"/>
      <c r="G16" s="125"/>
      <c r="H16" s="125"/>
      <c r="I16" s="120"/>
      <c r="J16" s="120"/>
      <c r="K16" s="120"/>
      <c r="L16" s="120"/>
      <c r="M16" s="121"/>
      <c r="N16" s="121"/>
      <c r="O16" s="121"/>
      <c r="P16" s="121"/>
      <c r="Q16" s="121"/>
      <c r="R16" s="121"/>
      <c r="S16" s="121"/>
      <c r="T16" s="121"/>
      <c r="U16" s="121"/>
    </row>
    <row r="17">
      <c r="A17" s="125">
        <v>43364.0</v>
      </c>
      <c r="B17" s="123">
        <v>0.059097222222222225</v>
      </c>
      <c r="C17" s="124">
        <v>291667.0</v>
      </c>
      <c r="D17" s="125"/>
      <c r="E17" s="120"/>
      <c r="F17" s="125"/>
      <c r="G17" s="125"/>
      <c r="H17" s="125"/>
      <c r="I17" s="120"/>
      <c r="J17" s="120"/>
      <c r="K17" s="120"/>
      <c r="L17" s="120"/>
      <c r="M17" s="121"/>
      <c r="N17" s="121"/>
      <c r="O17" s="121"/>
      <c r="P17" s="121"/>
      <c r="Q17" s="121"/>
      <c r="R17" s="121"/>
      <c r="S17" s="121"/>
      <c r="T17" s="121"/>
      <c r="U17" s="121"/>
    </row>
    <row r="18">
      <c r="A18" s="125">
        <v>43365.0</v>
      </c>
      <c r="B18" s="123">
        <v>0.04605324074074074</v>
      </c>
      <c r="C18" s="124">
        <v>273506.0</v>
      </c>
      <c r="D18" s="125"/>
      <c r="E18" s="120"/>
      <c r="F18" s="125"/>
      <c r="G18" s="125"/>
      <c r="H18" s="125"/>
      <c r="I18" s="120"/>
      <c r="J18" s="120"/>
      <c r="K18" s="120"/>
      <c r="L18" s="120"/>
      <c r="M18" s="121"/>
      <c r="N18" s="121"/>
      <c r="O18" s="121"/>
      <c r="P18" s="121"/>
      <c r="Q18" s="121"/>
      <c r="R18" s="121"/>
      <c r="S18" s="121"/>
      <c r="T18" s="121"/>
      <c r="U18" s="121"/>
    </row>
    <row r="19">
      <c r="A19" s="125">
        <v>43366.0</v>
      </c>
      <c r="B19" s="123">
        <v>0.06608796296296296</v>
      </c>
      <c r="C19" s="124">
        <v>179873.0</v>
      </c>
      <c r="D19" s="125"/>
      <c r="E19" s="120"/>
      <c r="F19" s="125"/>
      <c r="G19" s="125"/>
      <c r="H19" s="125"/>
      <c r="I19" s="120"/>
      <c r="J19" s="120"/>
      <c r="K19" s="120"/>
      <c r="L19" s="120"/>
      <c r="M19" s="121"/>
      <c r="N19" s="121"/>
      <c r="O19" s="121"/>
      <c r="P19" s="121"/>
      <c r="Q19" s="121"/>
      <c r="R19" s="121"/>
      <c r="S19" s="121"/>
      <c r="T19" s="121"/>
      <c r="U19" s="121"/>
    </row>
    <row r="20">
      <c r="A20" s="125">
        <v>43368.0</v>
      </c>
      <c r="B20" s="123">
        <v>0.011203703703703704</v>
      </c>
      <c r="C20" s="124">
        <v>120153.0</v>
      </c>
      <c r="D20" s="125"/>
      <c r="E20" s="120"/>
      <c r="F20" s="125"/>
      <c r="G20" s="125"/>
      <c r="H20" s="125"/>
      <c r="I20" s="120"/>
      <c r="J20" s="120"/>
      <c r="K20" s="120"/>
      <c r="L20" s="120"/>
      <c r="M20" s="121"/>
      <c r="N20" s="121"/>
      <c r="O20" s="121"/>
      <c r="P20" s="121"/>
      <c r="Q20" s="121"/>
      <c r="R20" s="121"/>
      <c r="S20" s="121"/>
      <c r="T20" s="121"/>
      <c r="U20" s="121"/>
    </row>
    <row r="21">
      <c r="A21" s="125">
        <v>43369.0</v>
      </c>
      <c r="B21" s="123">
        <v>0.07950231481481482</v>
      </c>
      <c r="C21" s="124">
        <v>359299.0</v>
      </c>
      <c r="D21" s="122"/>
      <c r="E21" s="120"/>
      <c r="F21" s="122"/>
      <c r="G21" s="122"/>
      <c r="H21" s="122"/>
      <c r="I21" s="120"/>
      <c r="J21" s="120"/>
      <c r="K21" s="120"/>
      <c r="L21" s="120"/>
      <c r="M21" s="121"/>
      <c r="N21" s="121"/>
      <c r="O21" s="121"/>
      <c r="P21" s="121"/>
      <c r="Q21" s="121"/>
      <c r="R21" s="121"/>
      <c r="S21" s="121"/>
      <c r="T21" s="121"/>
      <c r="U21" s="121"/>
    </row>
    <row r="22">
      <c r="A22" s="125">
        <v>43370.0</v>
      </c>
      <c r="B22" s="123">
        <v>0.0648611111111111</v>
      </c>
      <c r="C22" s="124">
        <v>296111.0</v>
      </c>
      <c r="D22" s="122"/>
      <c r="E22" s="120"/>
      <c r="F22" s="122"/>
      <c r="G22" s="122"/>
      <c r="H22" s="122"/>
      <c r="I22" s="120"/>
      <c r="J22" s="120"/>
      <c r="K22" s="120"/>
      <c r="L22" s="120"/>
      <c r="M22" s="121"/>
      <c r="N22" s="121"/>
      <c r="O22" s="121"/>
      <c r="P22" s="121"/>
      <c r="Q22" s="121"/>
      <c r="R22" s="121"/>
      <c r="S22" s="121"/>
      <c r="T22" s="121"/>
      <c r="U22" s="121"/>
    </row>
    <row r="23">
      <c r="A23" s="125">
        <v>43371.0</v>
      </c>
      <c r="B23" s="123">
        <v>0.04376157407407407</v>
      </c>
      <c r="C23" s="124">
        <v>281819.0</v>
      </c>
      <c r="D23" s="122"/>
      <c r="E23" s="120"/>
      <c r="F23" s="122"/>
      <c r="G23" s="122"/>
      <c r="H23" s="122"/>
      <c r="I23" s="120"/>
      <c r="J23" s="120"/>
      <c r="K23" s="120"/>
      <c r="L23" s="120"/>
      <c r="M23" s="121"/>
      <c r="N23" s="121"/>
      <c r="O23" s="121"/>
      <c r="P23" s="121"/>
      <c r="Q23" s="121"/>
      <c r="R23" s="121"/>
      <c r="S23" s="121"/>
      <c r="T23" s="121"/>
      <c r="U23" s="121"/>
    </row>
    <row r="24">
      <c r="A24" s="125">
        <v>43372.0</v>
      </c>
      <c r="B24" s="123">
        <v>0.06394675925925926</v>
      </c>
      <c r="C24" s="124">
        <v>301541.0</v>
      </c>
      <c r="D24" s="122"/>
      <c r="E24" s="120"/>
      <c r="F24" s="122"/>
      <c r="G24" s="122"/>
      <c r="H24" s="122"/>
      <c r="I24" s="120"/>
      <c r="J24" s="120"/>
      <c r="K24" s="120"/>
      <c r="L24" s="120"/>
      <c r="M24" s="121"/>
      <c r="N24" s="121"/>
      <c r="O24" s="121"/>
      <c r="P24" s="121"/>
      <c r="Q24" s="121"/>
      <c r="R24" s="121"/>
      <c r="S24" s="121"/>
      <c r="T24" s="121"/>
      <c r="U24" s="121"/>
    </row>
    <row r="25">
      <c r="A25" s="125">
        <v>43373.0</v>
      </c>
      <c r="B25" s="123">
        <v>0.04708333333333333</v>
      </c>
      <c r="C25" s="124">
        <v>185251.0</v>
      </c>
      <c r="D25" s="122"/>
      <c r="E25" s="120"/>
      <c r="F25" s="122"/>
      <c r="G25" s="122"/>
      <c r="H25" s="122"/>
      <c r="I25" s="120"/>
      <c r="J25" s="120"/>
      <c r="K25" s="120"/>
      <c r="L25" s="120"/>
      <c r="M25" s="121"/>
      <c r="N25" s="121"/>
      <c r="O25" s="121"/>
      <c r="P25" s="121"/>
      <c r="Q25" s="121"/>
      <c r="R25" s="121"/>
      <c r="S25" s="121"/>
      <c r="T25" s="121"/>
      <c r="U25" s="121"/>
    </row>
    <row r="26">
      <c r="A26" s="122">
        <v>43374.0</v>
      </c>
      <c r="B26" s="123">
        <v>0.02065972222222222</v>
      </c>
      <c r="C26" s="124">
        <v>76373.0</v>
      </c>
      <c r="D26" s="122"/>
      <c r="E26" s="120"/>
      <c r="F26" s="122"/>
      <c r="G26" s="122"/>
      <c r="H26" s="122"/>
      <c r="I26" s="120"/>
      <c r="J26" s="120"/>
      <c r="K26" s="120"/>
      <c r="L26" s="120"/>
      <c r="M26" s="121"/>
      <c r="N26" s="121"/>
      <c r="O26" s="121"/>
      <c r="P26" s="121"/>
      <c r="Q26" s="121"/>
      <c r="R26" s="121"/>
      <c r="S26" s="121"/>
      <c r="T26" s="121"/>
      <c r="U26" s="121"/>
    </row>
    <row r="27">
      <c r="A27" s="122">
        <v>43376.0</v>
      </c>
      <c r="B27" s="123">
        <v>0.06675925925925925</v>
      </c>
      <c r="C27" s="124">
        <v>367501.0</v>
      </c>
      <c r="D27" s="122"/>
      <c r="E27" s="120"/>
      <c r="F27" s="122"/>
      <c r="G27" s="122"/>
      <c r="H27" s="122"/>
      <c r="I27" s="120"/>
      <c r="J27" s="120"/>
      <c r="K27" s="120"/>
      <c r="L27" s="120"/>
      <c r="M27" s="121"/>
      <c r="N27" s="121"/>
      <c r="O27" s="121"/>
      <c r="P27" s="121"/>
      <c r="Q27" s="121"/>
      <c r="R27" s="121"/>
      <c r="S27" s="121"/>
      <c r="T27" s="121"/>
      <c r="U27" s="121"/>
    </row>
    <row r="28">
      <c r="A28" s="126">
        <v>43377.0</v>
      </c>
      <c r="B28" s="127">
        <v>0.10813657407407408</v>
      </c>
      <c r="C28" s="128">
        <v>316604.0</v>
      </c>
      <c r="D28" s="122"/>
      <c r="E28" s="120"/>
      <c r="F28" s="122"/>
      <c r="G28" s="122"/>
      <c r="H28" s="122"/>
      <c r="I28" s="120"/>
      <c r="J28" s="120"/>
      <c r="K28" s="120"/>
      <c r="L28" s="120"/>
      <c r="M28" s="121"/>
      <c r="N28" s="121"/>
      <c r="O28" s="121"/>
      <c r="P28" s="121"/>
      <c r="Q28" s="121"/>
      <c r="R28" s="121"/>
      <c r="S28" s="121"/>
      <c r="T28" s="121"/>
      <c r="U28" s="121"/>
    </row>
    <row r="29">
      <c r="A29" s="122">
        <v>43378.0</v>
      </c>
      <c r="B29" s="123">
        <v>0.06251157407407408</v>
      </c>
      <c r="C29" s="124">
        <v>292023.0</v>
      </c>
      <c r="D29" s="122"/>
      <c r="E29" s="120"/>
      <c r="F29" s="122"/>
      <c r="G29" s="122"/>
      <c r="H29" s="122"/>
      <c r="I29" s="120"/>
      <c r="J29" s="120"/>
      <c r="K29" s="120"/>
      <c r="L29" s="120"/>
      <c r="M29" s="121"/>
      <c r="N29" s="121"/>
      <c r="O29" s="121"/>
      <c r="P29" s="121"/>
      <c r="Q29" s="121"/>
      <c r="R29" s="121"/>
      <c r="S29" s="121"/>
      <c r="T29" s="121"/>
      <c r="U29" s="121"/>
    </row>
    <row r="30">
      <c r="A30" s="122">
        <v>43379.0</v>
      </c>
      <c r="B30" s="123">
        <v>0.0849537037037037</v>
      </c>
      <c r="C30" s="124">
        <v>329107.0</v>
      </c>
      <c r="D30" s="122"/>
      <c r="E30" s="120"/>
      <c r="F30" s="122"/>
      <c r="G30" s="122"/>
      <c r="H30" s="122"/>
      <c r="I30" s="120"/>
      <c r="J30" s="120"/>
      <c r="K30" s="120"/>
      <c r="L30" s="120"/>
      <c r="M30" s="121"/>
      <c r="N30" s="121"/>
      <c r="O30" s="121"/>
      <c r="P30" s="121"/>
      <c r="Q30" s="121"/>
      <c r="R30" s="121"/>
      <c r="S30" s="121"/>
      <c r="T30" s="121"/>
      <c r="U30" s="121"/>
    </row>
    <row r="31">
      <c r="A31" s="122">
        <v>43380.0</v>
      </c>
      <c r="B31" s="123">
        <v>0.07313657407407408</v>
      </c>
      <c r="C31" s="124">
        <v>198088.0</v>
      </c>
      <c r="D31" s="122"/>
      <c r="E31" s="120"/>
      <c r="F31" s="122"/>
      <c r="G31" s="122"/>
      <c r="H31" s="122"/>
      <c r="I31" s="120"/>
      <c r="J31" s="120"/>
      <c r="K31" s="120"/>
      <c r="L31" s="120"/>
      <c r="M31" s="121"/>
      <c r="N31" s="121"/>
      <c r="O31" s="121"/>
      <c r="P31" s="121"/>
      <c r="Q31" s="121"/>
      <c r="R31" s="121"/>
      <c r="S31" s="121"/>
      <c r="T31" s="121"/>
      <c r="U31" s="121"/>
    </row>
    <row r="32">
      <c r="A32" s="125">
        <v>43383.0</v>
      </c>
      <c r="B32" s="123">
        <v>0.10943287037037037</v>
      </c>
      <c r="C32" s="124">
        <v>352398.0</v>
      </c>
      <c r="D32" s="122"/>
      <c r="E32" s="120"/>
      <c r="F32" s="122"/>
      <c r="G32" s="122"/>
      <c r="H32" s="122"/>
      <c r="I32" s="120"/>
      <c r="J32" s="120"/>
      <c r="K32" s="120"/>
      <c r="L32" s="120"/>
      <c r="M32" s="121"/>
      <c r="N32" s="121"/>
      <c r="O32" s="121"/>
      <c r="P32" s="121"/>
      <c r="Q32" s="121"/>
      <c r="R32" s="121"/>
      <c r="S32" s="121"/>
      <c r="T32" s="121"/>
      <c r="U32" s="121"/>
    </row>
    <row r="33">
      <c r="A33" s="125">
        <v>43384.0</v>
      </c>
      <c r="B33" s="123">
        <v>0.06877314814814815</v>
      </c>
      <c r="C33" s="124">
        <v>152451.0</v>
      </c>
      <c r="D33" s="122"/>
      <c r="E33" s="120"/>
      <c r="F33" s="122"/>
      <c r="G33" s="122"/>
      <c r="H33" s="122"/>
      <c r="I33" s="120"/>
      <c r="J33" s="120"/>
      <c r="K33" s="120"/>
      <c r="L33" s="120"/>
      <c r="M33" s="121"/>
      <c r="N33" s="121"/>
      <c r="O33" s="121"/>
      <c r="P33" s="121"/>
      <c r="Q33" s="121"/>
      <c r="R33" s="121"/>
      <c r="S33" s="121"/>
      <c r="T33" s="121"/>
      <c r="U33" s="121"/>
    </row>
    <row r="34">
      <c r="A34" s="125">
        <v>43385.0</v>
      </c>
      <c r="B34" s="123">
        <v>0.05379629629629629</v>
      </c>
      <c r="C34" s="124">
        <v>326596.0</v>
      </c>
      <c r="D34" s="122"/>
      <c r="E34" s="120"/>
      <c r="F34" s="122"/>
      <c r="G34" s="122"/>
      <c r="H34" s="122"/>
      <c r="I34" s="120"/>
      <c r="J34" s="120"/>
      <c r="K34" s="120"/>
      <c r="L34" s="120"/>
      <c r="M34" s="121"/>
      <c r="N34" s="121"/>
      <c r="O34" s="121"/>
      <c r="P34" s="121"/>
      <c r="Q34" s="121"/>
      <c r="R34" s="121"/>
      <c r="S34" s="121"/>
      <c r="T34" s="121"/>
      <c r="U34" s="121"/>
    </row>
    <row r="35">
      <c r="A35" s="125">
        <v>43386.0</v>
      </c>
      <c r="B35" s="123">
        <v>0.08582175925925926</v>
      </c>
      <c r="C35" s="124">
        <v>308879.0</v>
      </c>
      <c r="D35" s="122"/>
      <c r="E35" s="120"/>
      <c r="F35" s="122"/>
      <c r="G35" s="122"/>
      <c r="H35" s="122"/>
      <c r="I35" s="120"/>
      <c r="J35" s="120"/>
      <c r="K35" s="120"/>
      <c r="L35" s="120"/>
      <c r="M35" s="121"/>
      <c r="N35" s="121"/>
      <c r="O35" s="121"/>
      <c r="P35" s="121"/>
      <c r="Q35" s="121"/>
      <c r="R35" s="121"/>
      <c r="S35" s="121"/>
      <c r="T35" s="121"/>
      <c r="U35" s="121"/>
    </row>
    <row r="36">
      <c r="A36" s="125">
        <v>43387.0</v>
      </c>
      <c r="B36" s="123">
        <v>0.07600694444444445</v>
      </c>
      <c r="C36" s="124">
        <v>208954.0</v>
      </c>
      <c r="D36" s="122"/>
      <c r="E36" s="120"/>
      <c r="F36" s="122"/>
      <c r="G36" s="122"/>
      <c r="H36" s="122"/>
      <c r="I36" s="120"/>
      <c r="J36" s="120"/>
      <c r="K36" s="120"/>
      <c r="L36" s="120"/>
      <c r="M36" s="121"/>
      <c r="N36" s="121"/>
      <c r="O36" s="121"/>
      <c r="P36" s="121"/>
      <c r="Q36" s="121"/>
      <c r="R36" s="121"/>
      <c r="S36" s="121"/>
      <c r="T36" s="121"/>
      <c r="U36" s="121"/>
    </row>
    <row r="37">
      <c r="A37" s="125">
        <v>43388.0</v>
      </c>
      <c r="B37" s="123">
        <v>0.024618055555555556</v>
      </c>
      <c r="C37" s="124">
        <v>80528.0</v>
      </c>
      <c r="D37" s="122"/>
      <c r="E37" s="120"/>
      <c r="F37" s="122"/>
      <c r="G37" s="122"/>
      <c r="H37" s="122"/>
      <c r="I37" s="120"/>
      <c r="J37" s="120"/>
      <c r="K37" s="120"/>
      <c r="L37" s="120"/>
      <c r="M37" s="121"/>
      <c r="N37" s="121"/>
      <c r="O37" s="121"/>
      <c r="P37" s="121"/>
      <c r="Q37" s="121"/>
      <c r="R37" s="121"/>
      <c r="S37" s="121"/>
      <c r="T37" s="121"/>
      <c r="U37" s="121"/>
    </row>
    <row r="38">
      <c r="A38" s="125">
        <v>43389.0</v>
      </c>
      <c r="B38" s="123">
        <v>0.029375</v>
      </c>
      <c r="C38" s="124">
        <v>261369.0</v>
      </c>
      <c r="D38" s="122"/>
      <c r="E38" s="120"/>
      <c r="F38" s="122"/>
      <c r="G38" s="122"/>
      <c r="H38" s="122"/>
      <c r="I38" s="120"/>
      <c r="J38" s="120"/>
      <c r="K38" s="120"/>
      <c r="L38" s="120"/>
      <c r="M38" s="121"/>
      <c r="N38" s="121"/>
      <c r="O38" s="121"/>
      <c r="P38" s="121"/>
      <c r="Q38" s="121"/>
      <c r="R38" s="121"/>
      <c r="S38" s="121"/>
      <c r="T38" s="121"/>
      <c r="U38" s="121"/>
    </row>
    <row r="39">
      <c r="A39" s="125">
        <v>43390.0</v>
      </c>
      <c r="B39" s="123">
        <v>0.11853009259259259</v>
      </c>
      <c r="C39" s="124">
        <v>380922.0</v>
      </c>
      <c r="D39" s="125"/>
      <c r="E39" s="120"/>
      <c r="F39" s="125"/>
      <c r="G39" s="125"/>
      <c r="H39" s="125"/>
      <c r="I39" s="120"/>
      <c r="J39" s="120"/>
      <c r="K39" s="120"/>
      <c r="L39" s="120"/>
      <c r="M39" s="121"/>
      <c r="N39" s="121"/>
      <c r="O39" s="121"/>
      <c r="P39" s="121"/>
      <c r="Q39" s="121"/>
      <c r="R39" s="121"/>
      <c r="S39" s="121"/>
      <c r="T39" s="121"/>
      <c r="U39" s="121"/>
    </row>
    <row r="40">
      <c r="A40" s="125">
        <v>43391.0</v>
      </c>
      <c r="B40" s="123">
        <v>0.08827546296296296</v>
      </c>
      <c r="C40" s="124">
        <v>309548.0</v>
      </c>
      <c r="D40" s="125"/>
      <c r="E40" s="120"/>
      <c r="F40" s="125"/>
      <c r="G40" s="125"/>
      <c r="H40" s="125"/>
      <c r="I40" s="120"/>
      <c r="J40" s="120"/>
      <c r="K40" s="120"/>
      <c r="L40" s="120"/>
      <c r="M40" s="121"/>
      <c r="N40" s="121"/>
      <c r="O40" s="121"/>
      <c r="P40" s="121"/>
      <c r="Q40" s="121"/>
      <c r="R40" s="121"/>
      <c r="S40" s="121"/>
      <c r="T40" s="121"/>
      <c r="U40" s="121"/>
    </row>
    <row r="41">
      <c r="A41" s="125">
        <v>43392.0</v>
      </c>
      <c r="B41" s="123">
        <v>0.0713425925925926</v>
      </c>
      <c r="C41" s="124">
        <v>296139.0</v>
      </c>
      <c r="D41" s="125"/>
      <c r="E41" s="120"/>
      <c r="F41" s="125"/>
      <c r="G41" s="125"/>
      <c r="H41" s="125"/>
      <c r="I41" s="120"/>
      <c r="J41" s="120"/>
      <c r="K41" s="120"/>
      <c r="L41" s="120"/>
      <c r="M41" s="121"/>
      <c r="N41" s="121"/>
      <c r="O41" s="121"/>
      <c r="P41" s="121"/>
      <c r="Q41" s="121"/>
      <c r="R41" s="121"/>
      <c r="S41" s="121"/>
      <c r="T41" s="121"/>
      <c r="U41" s="121"/>
    </row>
    <row r="42">
      <c r="A42" s="125">
        <v>43393.0</v>
      </c>
      <c r="B42" s="123">
        <v>0.1271064814814815</v>
      </c>
      <c r="C42" s="124">
        <v>284441.0</v>
      </c>
      <c r="D42" s="125"/>
      <c r="E42" s="120"/>
      <c r="F42" s="125"/>
      <c r="G42" s="125"/>
      <c r="H42" s="125"/>
      <c r="I42" s="120"/>
      <c r="J42" s="120"/>
      <c r="K42" s="120"/>
      <c r="L42" s="120"/>
      <c r="M42" s="121"/>
      <c r="N42" s="121"/>
      <c r="O42" s="121"/>
      <c r="P42" s="121"/>
      <c r="Q42" s="121"/>
      <c r="R42" s="121"/>
      <c r="S42" s="121"/>
      <c r="T42" s="121"/>
      <c r="U42" s="121"/>
    </row>
    <row r="43">
      <c r="A43" s="125">
        <v>43394.0</v>
      </c>
      <c r="B43" s="123">
        <v>0.06295138888888889</v>
      </c>
      <c r="C43" s="124">
        <v>194118.0</v>
      </c>
      <c r="D43" s="125"/>
      <c r="E43" s="120"/>
      <c r="F43" s="125"/>
      <c r="G43" s="125"/>
      <c r="H43" s="125"/>
      <c r="I43" s="120"/>
      <c r="J43" s="120"/>
      <c r="K43" s="120"/>
      <c r="L43" s="120"/>
      <c r="M43" s="121"/>
      <c r="N43" s="121"/>
      <c r="O43" s="121"/>
      <c r="P43" s="121"/>
      <c r="Q43" s="121"/>
      <c r="R43" s="121"/>
      <c r="S43" s="121"/>
      <c r="T43" s="121"/>
      <c r="U43" s="121"/>
    </row>
    <row r="44">
      <c r="A44" s="125">
        <v>43396.0</v>
      </c>
      <c r="B44" s="123">
        <v>0.030648148148148147</v>
      </c>
      <c r="C44" s="124">
        <v>252997.0</v>
      </c>
      <c r="D44" s="125"/>
      <c r="E44" s="120"/>
      <c r="F44" s="125"/>
      <c r="G44" s="125"/>
      <c r="H44" s="125"/>
      <c r="I44" s="120"/>
      <c r="J44" s="120"/>
      <c r="K44" s="120"/>
      <c r="L44" s="120"/>
      <c r="M44" s="121"/>
      <c r="N44" s="121"/>
      <c r="O44" s="121"/>
      <c r="P44" s="121"/>
      <c r="Q44" s="121"/>
      <c r="R44" s="121"/>
      <c r="S44" s="121"/>
      <c r="T44" s="121"/>
      <c r="U44" s="121"/>
    </row>
    <row r="45">
      <c r="A45" s="125">
        <v>43397.0</v>
      </c>
      <c r="B45" s="123">
        <v>0.10142361111111112</v>
      </c>
      <c r="C45" s="124">
        <v>364372.0</v>
      </c>
      <c r="D45" s="129"/>
      <c r="E45" s="130"/>
      <c r="F45" s="129"/>
      <c r="G45" s="129"/>
      <c r="H45" s="129"/>
      <c r="I45" s="130"/>
      <c r="J45" s="130"/>
      <c r="K45" s="130"/>
      <c r="L45" s="130"/>
      <c r="M45" s="131"/>
      <c r="N45" s="131"/>
      <c r="O45" s="131"/>
      <c r="P45" s="131"/>
      <c r="Q45" s="131"/>
      <c r="R45" s="131"/>
      <c r="S45" s="131"/>
      <c r="T45" s="131"/>
      <c r="U45" s="131"/>
    </row>
    <row r="46">
      <c r="A46" s="125">
        <v>43398.0</v>
      </c>
      <c r="B46" s="123">
        <v>0.09893518518518518</v>
      </c>
      <c r="C46" s="124">
        <v>311156.0</v>
      </c>
      <c r="D46" s="125"/>
      <c r="E46" s="120"/>
      <c r="F46" s="125"/>
      <c r="G46" s="125"/>
      <c r="H46" s="125"/>
      <c r="I46" s="120"/>
      <c r="J46" s="120"/>
      <c r="K46" s="120"/>
      <c r="L46" s="120"/>
      <c r="M46" s="121"/>
      <c r="N46" s="121"/>
      <c r="O46" s="121"/>
      <c r="P46" s="121"/>
      <c r="Q46" s="121"/>
      <c r="R46" s="121"/>
      <c r="S46" s="121"/>
      <c r="T46" s="121"/>
      <c r="U46" s="121"/>
    </row>
    <row r="47">
      <c r="A47" s="125">
        <v>43399.0</v>
      </c>
      <c r="B47" s="123">
        <v>0.07201388888888889</v>
      </c>
      <c r="C47" s="124">
        <v>305041.0</v>
      </c>
      <c r="D47" s="125"/>
      <c r="E47" s="120"/>
      <c r="F47" s="125"/>
      <c r="G47" s="125"/>
      <c r="H47" s="125"/>
      <c r="I47" s="120"/>
      <c r="J47" s="120"/>
      <c r="K47" s="120"/>
      <c r="L47" s="120"/>
      <c r="M47" s="121"/>
      <c r="N47" s="121"/>
      <c r="O47" s="121"/>
      <c r="P47" s="121"/>
      <c r="Q47" s="121"/>
      <c r="R47" s="121"/>
      <c r="S47" s="121"/>
      <c r="T47" s="121"/>
      <c r="U47" s="121"/>
    </row>
    <row r="48">
      <c r="A48" s="125">
        <v>43400.0</v>
      </c>
      <c r="B48" s="123">
        <v>0.08174768518518519</v>
      </c>
      <c r="C48" s="124">
        <v>300840.0</v>
      </c>
      <c r="D48" s="125"/>
      <c r="E48" s="120"/>
      <c r="F48" s="125"/>
      <c r="G48" s="125"/>
      <c r="H48" s="125"/>
      <c r="I48" s="120"/>
      <c r="J48" s="120"/>
      <c r="K48" s="120"/>
      <c r="L48" s="120"/>
      <c r="M48" s="121"/>
      <c r="N48" s="121"/>
      <c r="O48" s="121"/>
      <c r="P48" s="121"/>
      <c r="Q48" s="121"/>
      <c r="R48" s="121"/>
      <c r="S48" s="121"/>
      <c r="T48" s="121"/>
      <c r="U48" s="121"/>
    </row>
    <row r="49">
      <c r="A49" s="125">
        <v>43401.0</v>
      </c>
      <c r="B49" s="123">
        <v>0.07263888888888889</v>
      </c>
      <c r="C49" s="124">
        <v>198933.0</v>
      </c>
      <c r="D49" s="125"/>
      <c r="E49" s="120"/>
      <c r="F49" s="125"/>
      <c r="G49" s="125"/>
      <c r="H49" s="125"/>
      <c r="I49" s="120"/>
      <c r="J49" s="120"/>
      <c r="K49" s="120"/>
      <c r="L49" s="120"/>
      <c r="M49" s="121"/>
      <c r="N49" s="121"/>
      <c r="O49" s="121"/>
      <c r="P49" s="121"/>
      <c r="Q49" s="121"/>
      <c r="R49" s="121"/>
      <c r="S49" s="121"/>
      <c r="T49" s="121"/>
      <c r="U49" s="121"/>
    </row>
    <row r="50">
      <c r="A50" s="125">
        <v>43402.0</v>
      </c>
      <c r="B50" s="123">
        <v>0.021296296296296296</v>
      </c>
      <c r="C50" s="124">
        <v>74631.0</v>
      </c>
      <c r="D50" s="125"/>
      <c r="E50" s="120"/>
      <c r="F50" s="125"/>
      <c r="G50" s="125"/>
      <c r="H50" s="125"/>
      <c r="I50" s="120"/>
      <c r="J50" s="120"/>
      <c r="K50" s="120"/>
      <c r="L50" s="120"/>
      <c r="M50" s="121"/>
      <c r="N50" s="121"/>
      <c r="O50" s="121"/>
      <c r="P50" s="121"/>
      <c r="Q50" s="121"/>
      <c r="R50" s="121"/>
      <c r="S50" s="121"/>
      <c r="T50" s="121"/>
      <c r="U50" s="121"/>
    </row>
    <row r="51">
      <c r="A51" s="125">
        <v>43403.0</v>
      </c>
      <c r="B51" s="123">
        <v>0.026875</v>
      </c>
      <c r="C51" s="124">
        <v>263434.0</v>
      </c>
      <c r="D51" s="125"/>
      <c r="E51" s="120"/>
      <c r="F51" s="125"/>
      <c r="G51" s="125"/>
      <c r="H51" s="125"/>
      <c r="I51" s="120"/>
      <c r="J51" s="120"/>
      <c r="K51" s="120"/>
      <c r="L51" s="120"/>
      <c r="M51" s="121"/>
      <c r="N51" s="121"/>
      <c r="O51" s="121"/>
      <c r="P51" s="121"/>
      <c r="Q51" s="121"/>
      <c r="R51" s="121"/>
      <c r="S51" s="121"/>
      <c r="T51" s="121"/>
      <c r="U51" s="121"/>
    </row>
    <row r="52">
      <c r="A52" s="125">
        <v>43404.0</v>
      </c>
      <c r="B52" s="123">
        <v>0.1171412037037037</v>
      </c>
      <c r="C52" s="124">
        <v>402903.0</v>
      </c>
      <c r="D52" s="125"/>
      <c r="E52" s="120"/>
      <c r="F52" s="125"/>
      <c r="G52" s="125"/>
      <c r="H52" s="125"/>
      <c r="I52" s="120"/>
      <c r="J52" s="120"/>
      <c r="K52" s="120"/>
      <c r="L52" s="120"/>
      <c r="M52" s="121"/>
      <c r="N52" s="121"/>
      <c r="O52" s="121"/>
      <c r="P52" s="121"/>
      <c r="Q52" s="121"/>
      <c r="R52" s="121"/>
      <c r="S52" s="121"/>
      <c r="T52" s="121"/>
      <c r="U52" s="121"/>
    </row>
    <row r="53">
      <c r="A53" s="122">
        <v>43405.0</v>
      </c>
      <c r="B53" s="123">
        <v>0.08945601851851852</v>
      </c>
      <c r="C53" s="124">
        <v>323759.0</v>
      </c>
      <c r="D53" s="125"/>
      <c r="E53" s="120"/>
      <c r="F53" s="125"/>
      <c r="G53" s="125"/>
      <c r="H53" s="125"/>
      <c r="I53" s="120"/>
      <c r="J53" s="120"/>
      <c r="K53" s="120"/>
      <c r="L53" s="120"/>
      <c r="M53" s="121"/>
      <c r="N53" s="121"/>
      <c r="O53" s="121"/>
      <c r="P53" s="121"/>
      <c r="Q53" s="121"/>
      <c r="R53" s="121"/>
      <c r="S53" s="121"/>
      <c r="T53" s="121"/>
      <c r="U53" s="121"/>
    </row>
    <row r="54">
      <c r="A54" s="122">
        <v>43406.0</v>
      </c>
      <c r="B54" s="123">
        <v>0.09465277777777778</v>
      </c>
      <c r="C54" s="124">
        <v>295526.0</v>
      </c>
      <c r="D54" s="125"/>
      <c r="E54" s="120"/>
      <c r="F54" s="125"/>
      <c r="G54" s="125"/>
      <c r="H54" s="125"/>
      <c r="I54" s="120"/>
      <c r="J54" s="120"/>
      <c r="K54" s="120"/>
      <c r="L54" s="120"/>
      <c r="M54" s="121"/>
      <c r="N54" s="121"/>
      <c r="O54" s="121"/>
      <c r="P54" s="121"/>
      <c r="Q54" s="121"/>
      <c r="R54" s="121"/>
      <c r="S54" s="121"/>
      <c r="T54" s="121"/>
      <c r="U54" s="121"/>
    </row>
    <row r="55">
      <c r="A55" s="122">
        <v>43407.0</v>
      </c>
      <c r="B55" s="123">
        <v>0.10810185185185185</v>
      </c>
      <c r="C55" s="124">
        <v>318289.0</v>
      </c>
      <c r="D55" s="125"/>
      <c r="E55" s="120"/>
      <c r="F55" s="125"/>
      <c r="G55" s="125"/>
      <c r="H55" s="125"/>
      <c r="I55" s="120"/>
      <c r="J55" s="120"/>
      <c r="K55" s="120"/>
      <c r="L55" s="120"/>
      <c r="M55" s="121"/>
      <c r="N55" s="121"/>
      <c r="O55" s="121"/>
      <c r="P55" s="121"/>
      <c r="Q55" s="121"/>
      <c r="R55" s="121"/>
      <c r="S55" s="121"/>
      <c r="T55" s="121"/>
      <c r="U55" s="121"/>
    </row>
    <row r="56">
      <c r="A56" s="122">
        <v>43408.0</v>
      </c>
      <c r="B56" s="123">
        <v>0.12674768518518517</v>
      </c>
      <c r="C56" s="124">
        <v>203209.0</v>
      </c>
      <c r="D56" s="125"/>
      <c r="E56" s="120"/>
      <c r="F56" s="125"/>
      <c r="G56" s="125"/>
      <c r="H56" s="125"/>
      <c r="I56" s="120"/>
      <c r="J56" s="120"/>
      <c r="K56" s="120"/>
      <c r="L56" s="120"/>
      <c r="M56" s="121"/>
      <c r="N56" s="121"/>
      <c r="O56" s="121"/>
      <c r="P56" s="121"/>
      <c r="Q56" s="121"/>
      <c r="R56" s="121"/>
      <c r="S56" s="121"/>
      <c r="T56" s="121"/>
      <c r="U56" s="121"/>
    </row>
    <row r="57">
      <c r="A57" s="122">
        <v>43409.0</v>
      </c>
      <c r="B57" s="123">
        <v>0.02337962962962963</v>
      </c>
      <c r="C57" s="124">
        <v>77311.0</v>
      </c>
      <c r="D57" s="125"/>
      <c r="E57" s="120"/>
      <c r="F57" s="125"/>
      <c r="G57" s="125"/>
      <c r="H57" s="125"/>
      <c r="I57" s="120"/>
      <c r="J57" s="120"/>
      <c r="K57" s="120"/>
      <c r="L57" s="120"/>
      <c r="M57" s="121"/>
      <c r="N57" s="121"/>
      <c r="O57" s="121"/>
      <c r="P57" s="121"/>
      <c r="Q57" s="121"/>
      <c r="R57" s="121"/>
      <c r="S57" s="121"/>
      <c r="T57" s="121"/>
      <c r="U57" s="121"/>
    </row>
    <row r="58">
      <c r="A58" s="122">
        <v>43410.0</v>
      </c>
      <c r="B58" s="123">
        <v>0.030949074074074073</v>
      </c>
      <c r="C58" s="124">
        <v>219213.0</v>
      </c>
      <c r="D58" s="125"/>
      <c r="E58" s="120"/>
      <c r="F58" s="125"/>
      <c r="G58" s="125"/>
      <c r="H58" s="125"/>
      <c r="I58" s="120"/>
      <c r="J58" s="120"/>
      <c r="K58" s="120"/>
      <c r="L58" s="120"/>
      <c r="M58" s="121"/>
      <c r="N58" s="121"/>
      <c r="O58" s="121"/>
      <c r="P58" s="121"/>
      <c r="Q58" s="121"/>
      <c r="R58" s="121"/>
      <c r="S58" s="121"/>
      <c r="T58" s="121"/>
      <c r="U58" s="121"/>
    </row>
    <row r="59">
      <c r="A59" s="122">
        <v>43411.0</v>
      </c>
      <c r="B59" s="123">
        <v>0.09851851851851852</v>
      </c>
      <c r="C59" s="124">
        <v>377926.0</v>
      </c>
      <c r="D59" s="125"/>
      <c r="E59" s="120"/>
      <c r="F59" s="125"/>
      <c r="G59" s="125"/>
      <c r="H59" s="125"/>
      <c r="I59" s="120"/>
      <c r="J59" s="120"/>
      <c r="K59" s="120"/>
      <c r="L59" s="120"/>
      <c r="M59" s="121"/>
      <c r="N59" s="121"/>
      <c r="O59" s="121"/>
      <c r="P59" s="121"/>
      <c r="Q59" s="121"/>
      <c r="R59" s="121"/>
      <c r="S59" s="121"/>
      <c r="T59" s="121"/>
      <c r="U59" s="121"/>
    </row>
    <row r="60">
      <c r="A60" s="122">
        <v>43412.0</v>
      </c>
      <c r="B60" s="123">
        <v>0.1045486111111111</v>
      </c>
      <c r="C60" s="124">
        <v>326846.0</v>
      </c>
      <c r="D60" s="125"/>
      <c r="E60" s="120"/>
      <c r="F60" s="125"/>
      <c r="G60" s="125"/>
      <c r="H60" s="125"/>
      <c r="I60" s="120"/>
      <c r="J60" s="120"/>
      <c r="K60" s="120"/>
      <c r="L60" s="120"/>
      <c r="M60" s="121"/>
      <c r="N60" s="121"/>
      <c r="O60" s="121"/>
      <c r="P60" s="121"/>
      <c r="Q60" s="121"/>
      <c r="R60" s="121"/>
      <c r="S60" s="121"/>
      <c r="T60" s="121"/>
      <c r="U60" s="121"/>
    </row>
    <row r="61">
      <c r="A61" s="122">
        <v>43413.0</v>
      </c>
      <c r="B61" s="123">
        <v>0.09519675925925926</v>
      </c>
      <c r="C61" s="124">
        <v>318880.0</v>
      </c>
      <c r="D61" s="125"/>
      <c r="E61" s="120"/>
      <c r="F61" s="125"/>
      <c r="G61" s="125"/>
      <c r="H61" s="125"/>
      <c r="I61" s="120"/>
      <c r="J61" s="120"/>
      <c r="K61" s="120"/>
      <c r="L61" s="120"/>
      <c r="M61" s="121"/>
      <c r="N61" s="121"/>
      <c r="O61" s="121"/>
      <c r="P61" s="121"/>
      <c r="Q61" s="121"/>
      <c r="R61" s="121"/>
      <c r="S61" s="121"/>
      <c r="T61" s="121"/>
      <c r="U61" s="121"/>
    </row>
    <row r="62">
      <c r="A62" s="125">
        <v>43414.0</v>
      </c>
      <c r="B62" s="123">
        <v>0.1438888888888889</v>
      </c>
      <c r="C62" s="124">
        <v>308201.0</v>
      </c>
      <c r="D62" s="125"/>
      <c r="E62" s="120"/>
      <c r="F62" s="125"/>
      <c r="G62" s="125"/>
      <c r="H62" s="125"/>
      <c r="I62" s="120"/>
      <c r="J62" s="120"/>
      <c r="K62" s="120"/>
      <c r="L62" s="120"/>
      <c r="M62" s="121"/>
      <c r="N62" s="121"/>
      <c r="O62" s="121"/>
      <c r="P62" s="121"/>
      <c r="Q62" s="121"/>
      <c r="R62" s="121"/>
      <c r="S62" s="121"/>
      <c r="T62" s="121"/>
      <c r="U62" s="121"/>
    </row>
    <row r="63">
      <c r="A63" s="125">
        <v>43415.0</v>
      </c>
      <c r="B63" s="123">
        <v>0.11603009259259259</v>
      </c>
      <c r="C63" s="124">
        <v>202973.0</v>
      </c>
      <c r="D63" s="125"/>
      <c r="E63" s="120"/>
      <c r="F63" s="125"/>
      <c r="G63" s="125"/>
      <c r="H63" s="125"/>
      <c r="I63" s="120"/>
      <c r="J63" s="120"/>
      <c r="K63" s="120"/>
      <c r="L63" s="120"/>
      <c r="M63" s="121"/>
      <c r="N63" s="121"/>
      <c r="O63" s="121"/>
      <c r="P63" s="121"/>
      <c r="Q63" s="121"/>
      <c r="R63" s="121"/>
      <c r="S63" s="121"/>
      <c r="T63" s="121"/>
      <c r="U63" s="121"/>
    </row>
    <row r="64">
      <c r="A64" s="125">
        <v>43416.0</v>
      </c>
      <c r="B64" s="123">
        <v>0.01853009259259259</v>
      </c>
      <c r="C64" s="124">
        <v>77801.0</v>
      </c>
      <c r="D64" s="125"/>
      <c r="E64" s="120"/>
      <c r="F64" s="125"/>
      <c r="G64" s="125"/>
      <c r="H64" s="125"/>
      <c r="I64" s="120"/>
      <c r="J64" s="120"/>
      <c r="K64" s="120"/>
      <c r="L64" s="120"/>
      <c r="M64" s="121"/>
      <c r="N64" s="121"/>
      <c r="O64" s="121"/>
      <c r="P64" s="121"/>
      <c r="Q64" s="121"/>
      <c r="R64" s="121"/>
      <c r="S64" s="121"/>
      <c r="T64" s="121"/>
      <c r="U64" s="121"/>
    </row>
    <row r="65">
      <c r="A65" s="125">
        <v>43417.0</v>
      </c>
      <c r="B65" s="123">
        <v>0.04201388888888889</v>
      </c>
      <c r="C65" s="124">
        <v>229498.0</v>
      </c>
      <c r="D65" s="125"/>
      <c r="E65" s="120"/>
      <c r="F65" s="125"/>
      <c r="G65" s="125"/>
      <c r="H65" s="125"/>
      <c r="I65" s="120"/>
      <c r="J65" s="120"/>
      <c r="K65" s="120"/>
      <c r="L65" s="120"/>
      <c r="M65" s="121"/>
      <c r="N65" s="121"/>
      <c r="O65" s="121"/>
      <c r="P65" s="121"/>
      <c r="Q65" s="121"/>
      <c r="R65" s="121"/>
      <c r="S65" s="121"/>
      <c r="T65" s="121"/>
      <c r="U65" s="121"/>
    </row>
    <row r="66">
      <c r="A66" s="125">
        <v>43418.0</v>
      </c>
      <c r="B66" s="123">
        <v>0.23275462962962962</v>
      </c>
      <c r="C66" s="124">
        <v>405571.0</v>
      </c>
      <c r="D66" s="125"/>
      <c r="E66" s="120"/>
      <c r="F66" s="125"/>
      <c r="G66" s="125"/>
      <c r="H66" s="125"/>
      <c r="I66" s="120"/>
      <c r="J66" s="120"/>
      <c r="K66" s="120"/>
      <c r="L66" s="120"/>
      <c r="M66" s="121"/>
      <c r="N66" s="121"/>
      <c r="O66" s="121"/>
      <c r="P66" s="121"/>
      <c r="Q66" s="121"/>
      <c r="R66" s="121"/>
      <c r="S66" s="121"/>
      <c r="T66" s="121"/>
      <c r="U66" s="121"/>
    </row>
    <row r="67">
      <c r="A67" s="125">
        <v>43419.0</v>
      </c>
      <c r="B67" s="123">
        <v>0.16983796296296297</v>
      </c>
      <c r="C67" s="124">
        <v>354694.0</v>
      </c>
      <c r="D67" s="125"/>
      <c r="E67" s="120"/>
      <c r="F67" s="125"/>
      <c r="G67" s="125"/>
      <c r="H67" s="125"/>
      <c r="I67" s="120"/>
      <c r="J67" s="120"/>
      <c r="K67" s="120"/>
      <c r="L67" s="120"/>
      <c r="M67" s="121"/>
      <c r="N67" s="121"/>
      <c r="O67" s="121"/>
      <c r="P67" s="121"/>
      <c r="Q67" s="121"/>
      <c r="R67" s="121"/>
      <c r="S67" s="121"/>
      <c r="T67" s="121"/>
      <c r="U67" s="121"/>
    </row>
    <row r="68">
      <c r="A68" s="125">
        <v>43420.0</v>
      </c>
      <c r="B68" s="123">
        <v>0.16480324074074074</v>
      </c>
      <c r="C68" s="124">
        <v>326596.0</v>
      </c>
      <c r="D68" s="125"/>
      <c r="E68" s="120"/>
      <c r="F68" s="125"/>
      <c r="G68" s="125"/>
      <c r="H68" s="125"/>
      <c r="I68" s="120"/>
      <c r="J68" s="120"/>
      <c r="K68" s="120"/>
      <c r="L68" s="120"/>
      <c r="M68" s="121"/>
      <c r="N68" s="121"/>
      <c r="O68" s="121"/>
      <c r="P68" s="121"/>
      <c r="Q68" s="121"/>
      <c r="R68" s="121"/>
      <c r="S68" s="121"/>
      <c r="T68" s="121"/>
      <c r="U68" s="121"/>
    </row>
    <row r="69">
      <c r="A69" s="125">
        <v>43421.0</v>
      </c>
      <c r="B69" s="123">
        <v>0.19571759259259258</v>
      </c>
      <c r="C69" s="124">
        <v>304765.0</v>
      </c>
      <c r="D69" s="125"/>
      <c r="E69" s="120"/>
      <c r="F69" s="125"/>
      <c r="G69" s="125"/>
      <c r="H69" s="125"/>
      <c r="I69" s="120"/>
      <c r="J69" s="120"/>
      <c r="K69" s="120"/>
      <c r="L69" s="120"/>
      <c r="M69" s="121"/>
      <c r="N69" s="121"/>
      <c r="O69" s="121"/>
      <c r="P69" s="121"/>
      <c r="Q69" s="121"/>
      <c r="R69" s="121"/>
      <c r="S69" s="121"/>
      <c r="T69" s="121"/>
      <c r="U69" s="121"/>
    </row>
    <row r="70">
      <c r="A70" s="125">
        <v>43422.0</v>
      </c>
      <c r="B70" s="123">
        <v>0.1883101851851852</v>
      </c>
      <c r="C70" s="124">
        <v>248524.0</v>
      </c>
      <c r="D70" s="125"/>
      <c r="E70" s="120"/>
      <c r="F70" s="125"/>
      <c r="G70" s="125"/>
      <c r="H70" s="125"/>
      <c r="I70" s="120"/>
      <c r="J70" s="120"/>
      <c r="K70" s="120"/>
      <c r="L70" s="120"/>
      <c r="M70" s="121"/>
      <c r="N70" s="121"/>
      <c r="O70" s="121"/>
      <c r="P70" s="121"/>
      <c r="Q70" s="121"/>
      <c r="R70" s="121"/>
      <c r="S70" s="121"/>
      <c r="T70" s="121"/>
      <c r="U70" s="121"/>
    </row>
    <row r="71">
      <c r="A71" s="125">
        <v>43423.0</v>
      </c>
      <c r="B71" s="123">
        <v>0.04761574074074074</v>
      </c>
      <c r="C71" s="124">
        <v>96269.0</v>
      </c>
      <c r="D71" s="125"/>
      <c r="E71" s="120"/>
      <c r="F71" s="125"/>
      <c r="G71" s="125"/>
      <c r="H71" s="125"/>
      <c r="I71" s="120"/>
      <c r="J71" s="120"/>
      <c r="K71" s="120"/>
      <c r="L71" s="120"/>
      <c r="M71" s="121"/>
      <c r="N71" s="121"/>
      <c r="O71" s="121"/>
      <c r="P71" s="121"/>
      <c r="Q71" s="121"/>
      <c r="R71" s="121"/>
      <c r="S71" s="121"/>
      <c r="T71" s="121"/>
      <c r="U71" s="121"/>
    </row>
    <row r="72">
      <c r="A72" s="120"/>
      <c r="B72" s="123"/>
      <c r="C72" s="124"/>
      <c r="D72" s="125"/>
      <c r="E72" s="120"/>
      <c r="F72" s="125"/>
      <c r="G72" s="125"/>
      <c r="H72" s="125"/>
      <c r="I72" s="120"/>
      <c r="J72" s="120"/>
      <c r="K72" s="120"/>
      <c r="L72" s="120"/>
      <c r="M72" s="121"/>
      <c r="N72" s="121"/>
      <c r="O72" s="121"/>
      <c r="P72" s="121"/>
      <c r="Q72" s="121"/>
      <c r="R72" s="121"/>
      <c r="S72" s="121"/>
      <c r="T72" s="121"/>
      <c r="U72" s="121"/>
    </row>
    <row r="73">
      <c r="A73" s="120"/>
      <c r="B73" s="123"/>
      <c r="C73" s="124"/>
      <c r="D73" s="125"/>
      <c r="E73" s="120"/>
      <c r="F73" s="125"/>
      <c r="G73" s="125"/>
      <c r="H73" s="125"/>
      <c r="I73" s="120"/>
      <c r="J73" s="120"/>
      <c r="K73" s="120"/>
      <c r="L73" s="120"/>
      <c r="M73" s="121"/>
      <c r="N73" s="121"/>
      <c r="O73" s="121"/>
      <c r="P73" s="121"/>
      <c r="Q73" s="121"/>
      <c r="R73" s="121"/>
      <c r="S73" s="121"/>
      <c r="T73" s="121"/>
      <c r="U73" s="121"/>
    </row>
    <row r="74">
      <c r="A74" s="120"/>
      <c r="B74" s="123"/>
      <c r="C74" s="124"/>
      <c r="D74" s="125"/>
      <c r="E74" s="120"/>
      <c r="F74" s="125"/>
      <c r="G74" s="125"/>
      <c r="H74" s="125"/>
      <c r="I74" s="120"/>
      <c r="J74" s="120"/>
      <c r="K74" s="120"/>
      <c r="L74" s="120"/>
      <c r="M74" s="121"/>
      <c r="N74" s="121"/>
      <c r="O74" s="121"/>
      <c r="P74" s="121"/>
      <c r="Q74" s="121"/>
      <c r="R74" s="121"/>
      <c r="S74" s="121"/>
      <c r="T74" s="121"/>
      <c r="U74" s="121"/>
    </row>
    <row r="75">
      <c r="A75" s="120"/>
      <c r="B75" s="123"/>
      <c r="C75" s="124"/>
      <c r="D75" s="125"/>
      <c r="E75" s="120"/>
      <c r="F75" s="125"/>
      <c r="G75" s="125"/>
      <c r="H75" s="125"/>
      <c r="I75" s="120"/>
      <c r="J75" s="120"/>
      <c r="K75" s="120"/>
      <c r="L75" s="120"/>
      <c r="M75" s="121"/>
      <c r="N75" s="121"/>
      <c r="O75" s="121"/>
      <c r="P75" s="121"/>
      <c r="Q75" s="121"/>
      <c r="R75" s="121"/>
      <c r="S75" s="121"/>
      <c r="T75" s="121"/>
      <c r="U75" s="121"/>
    </row>
    <row r="76">
      <c r="A76" s="120"/>
      <c r="B76" s="123"/>
      <c r="C76" s="124"/>
      <c r="D76" s="125"/>
      <c r="E76" s="120"/>
      <c r="F76" s="125"/>
      <c r="G76" s="125"/>
      <c r="H76" s="125"/>
      <c r="I76" s="120"/>
      <c r="J76" s="120"/>
      <c r="K76" s="120"/>
      <c r="L76" s="120"/>
      <c r="M76" s="121"/>
      <c r="N76" s="121"/>
      <c r="O76" s="121"/>
      <c r="P76" s="121"/>
      <c r="Q76" s="121"/>
      <c r="R76" s="121"/>
      <c r="S76" s="121"/>
      <c r="T76" s="121"/>
      <c r="U76" s="121"/>
    </row>
    <row r="77">
      <c r="A77" s="120"/>
      <c r="B77" s="123"/>
      <c r="C77" s="124"/>
      <c r="D77" s="125"/>
      <c r="E77" s="120"/>
      <c r="F77" s="125"/>
      <c r="G77" s="125"/>
      <c r="H77" s="125"/>
      <c r="I77" s="120"/>
      <c r="J77" s="120"/>
      <c r="K77" s="120"/>
      <c r="L77" s="120"/>
      <c r="M77" s="121"/>
      <c r="N77" s="121"/>
      <c r="O77" s="121"/>
      <c r="P77" s="121"/>
      <c r="Q77" s="121"/>
      <c r="R77" s="121"/>
      <c r="S77" s="121"/>
      <c r="T77" s="121"/>
      <c r="U77" s="121"/>
    </row>
    <row r="78">
      <c r="A78" s="120"/>
      <c r="B78" s="123"/>
      <c r="C78" s="124"/>
      <c r="D78" s="125"/>
      <c r="E78" s="120"/>
      <c r="F78" s="125"/>
      <c r="G78" s="125"/>
      <c r="H78" s="125"/>
      <c r="I78" s="120"/>
      <c r="J78" s="120"/>
      <c r="K78" s="120"/>
      <c r="L78" s="120"/>
      <c r="M78" s="121"/>
      <c r="N78" s="121"/>
      <c r="O78" s="121"/>
      <c r="P78" s="121"/>
      <c r="Q78" s="121"/>
      <c r="R78" s="121"/>
      <c r="S78" s="121"/>
      <c r="T78" s="121"/>
      <c r="U78" s="121"/>
    </row>
    <row r="79">
      <c r="A79" s="120"/>
      <c r="B79" s="123"/>
      <c r="C79" s="124"/>
      <c r="D79" s="125"/>
      <c r="E79" s="120"/>
      <c r="F79" s="125"/>
      <c r="G79" s="125"/>
      <c r="H79" s="125"/>
      <c r="I79" s="120"/>
      <c r="J79" s="120"/>
      <c r="K79" s="120"/>
      <c r="L79" s="120"/>
      <c r="M79" s="121"/>
      <c r="N79" s="121"/>
      <c r="O79" s="121"/>
      <c r="P79" s="121"/>
      <c r="Q79" s="121"/>
      <c r="R79" s="121"/>
      <c r="S79" s="121"/>
      <c r="T79" s="121"/>
      <c r="U79" s="121"/>
    </row>
    <row r="80">
      <c r="A80" s="120"/>
      <c r="B80" s="123"/>
      <c r="C80" s="124"/>
      <c r="D80" s="125"/>
      <c r="E80" s="120"/>
      <c r="F80" s="125"/>
      <c r="G80" s="125"/>
      <c r="H80" s="125"/>
      <c r="I80" s="120"/>
      <c r="J80" s="120"/>
      <c r="K80" s="120"/>
      <c r="L80" s="120"/>
      <c r="M80" s="121"/>
      <c r="N80" s="121"/>
      <c r="O80" s="121"/>
      <c r="P80" s="121"/>
      <c r="Q80" s="121"/>
      <c r="R80" s="121"/>
      <c r="S80" s="121"/>
      <c r="T80" s="121"/>
      <c r="U80" s="121"/>
    </row>
    <row r="81">
      <c r="A81" s="120"/>
      <c r="B81" s="123"/>
      <c r="C81" s="124"/>
      <c r="D81" s="125"/>
      <c r="E81" s="120"/>
      <c r="F81" s="125"/>
      <c r="G81" s="125"/>
      <c r="H81" s="125"/>
      <c r="I81" s="120"/>
      <c r="J81" s="120"/>
      <c r="K81" s="120"/>
      <c r="L81" s="120"/>
      <c r="M81" s="121"/>
      <c r="N81" s="121"/>
      <c r="O81" s="121"/>
      <c r="P81" s="121"/>
      <c r="Q81" s="121"/>
      <c r="R81" s="121"/>
      <c r="S81" s="121"/>
      <c r="T81" s="121"/>
      <c r="U81" s="121"/>
    </row>
    <row r="82">
      <c r="A82" s="120"/>
      <c r="B82" s="123"/>
      <c r="C82" s="124"/>
      <c r="D82" s="125"/>
      <c r="E82" s="120"/>
      <c r="F82" s="125"/>
      <c r="G82" s="125"/>
      <c r="H82" s="125"/>
      <c r="I82" s="120"/>
      <c r="J82" s="120"/>
      <c r="K82" s="120"/>
      <c r="L82" s="120"/>
      <c r="M82" s="121"/>
      <c r="N82" s="121"/>
      <c r="O82" s="121"/>
      <c r="P82" s="121"/>
      <c r="Q82" s="121"/>
      <c r="R82" s="121"/>
      <c r="S82" s="121"/>
      <c r="T82" s="121"/>
      <c r="U82" s="121"/>
    </row>
    <row r="83">
      <c r="A83" s="120"/>
      <c r="B83" s="123"/>
      <c r="C83" s="124"/>
      <c r="D83" s="125"/>
      <c r="E83" s="120"/>
      <c r="F83" s="125"/>
      <c r="G83" s="125"/>
      <c r="H83" s="125"/>
      <c r="I83" s="120"/>
      <c r="J83" s="120"/>
      <c r="K83" s="120"/>
      <c r="L83" s="120"/>
      <c r="M83" s="121"/>
      <c r="N83" s="121"/>
      <c r="O83" s="121"/>
      <c r="P83" s="121"/>
      <c r="Q83" s="121"/>
      <c r="R83" s="121"/>
      <c r="S83" s="121"/>
      <c r="T83" s="121"/>
      <c r="U83" s="121"/>
    </row>
    <row r="84">
      <c r="A84" s="120"/>
      <c r="B84" s="123"/>
      <c r="C84" s="124"/>
      <c r="D84" s="125"/>
      <c r="E84" s="120"/>
      <c r="F84" s="125"/>
      <c r="G84" s="125"/>
      <c r="H84" s="125"/>
      <c r="I84" s="120"/>
      <c r="J84" s="120"/>
      <c r="K84" s="120"/>
      <c r="L84" s="120"/>
      <c r="M84" s="121"/>
      <c r="N84" s="121"/>
      <c r="O84" s="121"/>
      <c r="P84" s="121"/>
      <c r="Q84" s="121"/>
      <c r="R84" s="121"/>
      <c r="S84" s="121"/>
      <c r="T84" s="121"/>
      <c r="U84" s="121"/>
    </row>
    <row r="85">
      <c r="A85" s="120"/>
      <c r="B85" s="123"/>
      <c r="C85" s="124"/>
      <c r="D85" s="125"/>
      <c r="E85" s="120"/>
      <c r="F85" s="125"/>
      <c r="G85" s="125"/>
      <c r="H85" s="125"/>
      <c r="I85" s="120"/>
      <c r="J85" s="120"/>
      <c r="K85" s="120"/>
      <c r="L85" s="120"/>
      <c r="M85" s="121"/>
      <c r="N85" s="121"/>
      <c r="O85" s="121"/>
      <c r="P85" s="121"/>
      <c r="Q85" s="121"/>
      <c r="R85" s="121"/>
      <c r="S85" s="121"/>
      <c r="T85" s="121"/>
      <c r="U85" s="121"/>
    </row>
    <row r="86">
      <c r="A86" s="120"/>
      <c r="B86" s="123"/>
      <c r="C86" s="124"/>
      <c r="D86" s="122"/>
      <c r="E86" s="120"/>
      <c r="F86" s="122"/>
      <c r="G86" s="122"/>
      <c r="H86" s="122"/>
      <c r="I86" s="120"/>
      <c r="J86" s="120"/>
      <c r="K86" s="120"/>
      <c r="L86" s="120"/>
      <c r="M86" s="121"/>
      <c r="N86" s="121"/>
      <c r="O86" s="121"/>
      <c r="P86" s="121"/>
      <c r="Q86" s="121"/>
      <c r="R86" s="121"/>
      <c r="S86" s="121"/>
      <c r="T86" s="121"/>
      <c r="U86" s="121"/>
    </row>
    <row r="87">
      <c r="A87" s="120"/>
      <c r="B87" s="123"/>
      <c r="C87" s="124"/>
      <c r="D87" s="122"/>
      <c r="E87" s="120"/>
      <c r="F87" s="122"/>
      <c r="G87" s="122"/>
      <c r="H87" s="122"/>
      <c r="I87" s="120"/>
      <c r="J87" s="120"/>
      <c r="K87" s="120"/>
      <c r="L87" s="120"/>
      <c r="M87" s="121"/>
      <c r="N87" s="121"/>
      <c r="O87" s="121"/>
      <c r="P87" s="121"/>
      <c r="Q87" s="121"/>
      <c r="R87" s="121"/>
      <c r="S87" s="121"/>
      <c r="T87" s="121"/>
      <c r="U87" s="121"/>
    </row>
    <row r="88">
      <c r="A88" s="120"/>
      <c r="B88" s="123"/>
      <c r="C88" s="124"/>
      <c r="D88" s="122"/>
      <c r="E88" s="120"/>
      <c r="F88" s="122"/>
      <c r="G88" s="122"/>
      <c r="H88" s="122"/>
      <c r="I88" s="120"/>
      <c r="J88" s="120"/>
      <c r="K88" s="120"/>
      <c r="L88" s="120"/>
      <c r="M88" s="121"/>
      <c r="N88" s="121"/>
      <c r="O88" s="121"/>
      <c r="P88" s="121"/>
      <c r="Q88" s="121"/>
      <c r="R88" s="121"/>
      <c r="S88" s="121"/>
      <c r="T88" s="121"/>
      <c r="U88" s="121"/>
    </row>
    <row r="89">
      <c r="A89" s="120"/>
      <c r="B89" s="123"/>
      <c r="C89" s="124"/>
      <c r="D89" s="122"/>
      <c r="E89" s="120"/>
      <c r="F89" s="122"/>
      <c r="G89" s="122"/>
      <c r="H89" s="122"/>
      <c r="I89" s="120"/>
      <c r="J89" s="120"/>
      <c r="K89" s="120"/>
      <c r="L89" s="120"/>
      <c r="M89" s="121"/>
      <c r="N89" s="121"/>
      <c r="O89" s="121"/>
      <c r="P89" s="121"/>
      <c r="Q89" s="121"/>
      <c r="R89" s="121"/>
      <c r="S89" s="121"/>
      <c r="T89" s="121"/>
      <c r="U89" s="121"/>
    </row>
    <row r="90">
      <c r="A90" s="120"/>
      <c r="B90" s="123"/>
      <c r="C90" s="124"/>
      <c r="D90" s="122"/>
      <c r="E90" s="120"/>
      <c r="F90" s="122"/>
      <c r="G90" s="122"/>
      <c r="H90" s="122"/>
      <c r="I90" s="120"/>
      <c r="J90" s="120"/>
      <c r="K90" s="120"/>
      <c r="L90" s="120"/>
      <c r="M90" s="121"/>
      <c r="N90" s="121"/>
      <c r="O90" s="121"/>
      <c r="P90" s="121"/>
      <c r="Q90" s="121"/>
      <c r="R90" s="121"/>
      <c r="S90" s="121"/>
      <c r="T90" s="121"/>
      <c r="U90" s="121"/>
    </row>
    <row r="91">
      <c r="A91" s="120"/>
      <c r="B91" s="123"/>
      <c r="C91" s="124"/>
      <c r="D91" s="122"/>
      <c r="E91" s="120"/>
      <c r="F91" s="122"/>
      <c r="G91" s="122"/>
      <c r="H91" s="122"/>
      <c r="I91" s="120"/>
      <c r="J91" s="120"/>
      <c r="K91" s="120"/>
      <c r="L91" s="120"/>
      <c r="M91" s="121"/>
      <c r="N91" s="121"/>
      <c r="O91" s="121"/>
      <c r="P91" s="121"/>
      <c r="Q91" s="121"/>
      <c r="R91" s="121"/>
      <c r="S91" s="121"/>
      <c r="T91" s="121"/>
      <c r="U91" s="121"/>
    </row>
    <row r="92">
      <c r="A92" s="120"/>
      <c r="B92" s="123"/>
      <c r="C92" s="124"/>
      <c r="D92" s="122"/>
      <c r="E92" s="120"/>
      <c r="F92" s="122"/>
      <c r="G92" s="122"/>
      <c r="H92" s="122"/>
      <c r="I92" s="120"/>
      <c r="J92" s="120"/>
      <c r="K92" s="120"/>
      <c r="L92" s="120"/>
      <c r="M92" s="121"/>
      <c r="N92" s="121"/>
      <c r="O92" s="121"/>
      <c r="P92" s="121"/>
      <c r="Q92" s="121"/>
      <c r="R92" s="121"/>
      <c r="S92" s="121"/>
      <c r="T92" s="121"/>
      <c r="U92" s="121"/>
    </row>
    <row r="93">
      <c r="A93" s="120"/>
      <c r="B93" s="123"/>
      <c r="C93" s="124"/>
      <c r="D93" s="122"/>
      <c r="E93" s="120"/>
      <c r="F93" s="122"/>
      <c r="G93" s="122"/>
      <c r="H93" s="122"/>
      <c r="I93" s="120"/>
      <c r="J93" s="120"/>
      <c r="K93" s="120"/>
      <c r="L93" s="120"/>
      <c r="M93" s="121"/>
      <c r="N93" s="121"/>
      <c r="O93" s="121"/>
      <c r="P93" s="121"/>
      <c r="Q93" s="121"/>
      <c r="R93" s="121"/>
      <c r="S93" s="121"/>
      <c r="T93" s="121"/>
      <c r="U93" s="121"/>
    </row>
    <row r="94">
      <c r="A94" s="120"/>
      <c r="B94" s="123"/>
      <c r="C94" s="124"/>
      <c r="D94" s="122"/>
      <c r="E94" s="120"/>
      <c r="F94" s="122"/>
      <c r="G94" s="122"/>
      <c r="H94" s="122"/>
      <c r="I94" s="120"/>
      <c r="J94" s="120"/>
      <c r="K94" s="120"/>
      <c r="L94" s="120"/>
      <c r="M94" s="121"/>
      <c r="N94" s="121"/>
      <c r="O94" s="121"/>
      <c r="P94" s="121"/>
      <c r="Q94" s="121"/>
      <c r="R94" s="121"/>
      <c r="S94" s="121"/>
      <c r="T94" s="121"/>
      <c r="U94" s="121"/>
    </row>
    <row r="95">
      <c r="A95" s="120"/>
      <c r="B95" s="123"/>
      <c r="C95" s="124"/>
      <c r="D95" s="122"/>
      <c r="E95" s="120"/>
      <c r="F95" s="122"/>
      <c r="G95" s="122"/>
      <c r="H95" s="122"/>
      <c r="I95" s="120"/>
      <c r="J95" s="120"/>
      <c r="K95" s="120"/>
      <c r="L95" s="120"/>
      <c r="M95" s="121"/>
      <c r="N95" s="121"/>
      <c r="O95" s="121"/>
      <c r="P95" s="121"/>
      <c r="Q95" s="121"/>
      <c r="R95" s="121"/>
      <c r="S95" s="121"/>
      <c r="T95" s="121"/>
      <c r="U95" s="121"/>
    </row>
    <row r="96">
      <c r="A96" s="120"/>
      <c r="B96" s="123"/>
      <c r="C96" s="124"/>
      <c r="D96" s="122"/>
      <c r="E96" s="120"/>
      <c r="F96" s="122"/>
      <c r="G96" s="122"/>
      <c r="H96" s="122"/>
      <c r="I96" s="120"/>
      <c r="J96" s="120"/>
      <c r="K96" s="120"/>
      <c r="L96" s="120"/>
      <c r="M96" s="121"/>
      <c r="N96" s="121"/>
      <c r="O96" s="121"/>
      <c r="P96" s="121"/>
      <c r="Q96" s="121"/>
      <c r="R96" s="121"/>
      <c r="S96" s="121"/>
      <c r="T96" s="121"/>
      <c r="U96" s="121"/>
    </row>
    <row r="97">
      <c r="A97" s="120"/>
      <c r="B97" s="123"/>
      <c r="C97" s="124"/>
      <c r="D97" s="122"/>
      <c r="E97" s="120"/>
      <c r="F97" s="122"/>
      <c r="G97" s="122"/>
      <c r="H97" s="122"/>
      <c r="I97" s="120"/>
      <c r="J97" s="120"/>
      <c r="K97" s="120"/>
      <c r="L97" s="120"/>
      <c r="M97" s="121"/>
      <c r="N97" s="121"/>
      <c r="O97" s="121"/>
      <c r="P97" s="121"/>
      <c r="Q97" s="121"/>
      <c r="R97" s="121"/>
      <c r="S97" s="121"/>
      <c r="T97" s="121"/>
      <c r="U97" s="121"/>
    </row>
    <row r="98">
      <c r="A98" s="120"/>
      <c r="B98" s="123"/>
      <c r="C98" s="124"/>
      <c r="D98" s="122"/>
      <c r="E98" s="120"/>
      <c r="F98" s="122"/>
      <c r="G98" s="122"/>
      <c r="H98" s="122"/>
      <c r="I98" s="120"/>
      <c r="J98" s="120"/>
      <c r="K98" s="120"/>
      <c r="L98" s="120"/>
      <c r="M98" s="121"/>
      <c r="N98" s="121"/>
      <c r="O98" s="121"/>
      <c r="P98" s="121"/>
      <c r="Q98" s="121"/>
      <c r="R98" s="121"/>
      <c r="S98" s="121"/>
      <c r="T98" s="121"/>
      <c r="U98" s="121"/>
    </row>
    <row r="99">
      <c r="A99" s="120"/>
      <c r="B99" s="123"/>
      <c r="C99" s="124"/>
      <c r="D99" s="122"/>
      <c r="E99" s="120"/>
      <c r="F99" s="122"/>
      <c r="G99" s="122"/>
      <c r="H99" s="122"/>
      <c r="I99" s="120"/>
      <c r="J99" s="120"/>
      <c r="K99" s="120"/>
      <c r="L99" s="120"/>
      <c r="M99" s="121"/>
      <c r="N99" s="121"/>
      <c r="O99" s="121"/>
      <c r="P99" s="121"/>
      <c r="Q99" s="121"/>
      <c r="R99" s="121"/>
      <c r="S99" s="121"/>
      <c r="T99" s="121"/>
      <c r="U99" s="121"/>
    </row>
    <row r="100">
      <c r="A100" s="120"/>
      <c r="B100" s="123"/>
      <c r="C100" s="124"/>
      <c r="D100" s="122"/>
      <c r="E100" s="120"/>
      <c r="F100" s="122"/>
      <c r="G100" s="122"/>
      <c r="H100" s="122"/>
      <c r="I100" s="120"/>
      <c r="J100" s="120"/>
      <c r="K100" s="120"/>
      <c r="L100" s="120"/>
      <c r="M100" s="121"/>
      <c r="N100" s="121"/>
      <c r="O100" s="121"/>
      <c r="P100" s="121"/>
      <c r="Q100" s="121"/>
      <c r="R100" s="121"/>
      <c r="S100" s="121"/>
      <c r="T100" s="121"/>
      <c r="U100" s="121"/>
    </row>
    <row r="101">
      <c r="A101" s="120"/>
      <c r="B101" s="123"/>
      <c r="C101" s="124"/>
      <c r="D101" s="122"/>
      <c r="E101" s="120"/>
      <c r="F101" s="122"/>
      <c r="G101" s="122"/>
      <c r="H101" s="122"/>
      <c r="I101" s="120"/>
      <c r="J101" s="120"/>
      <c r="K101" s="120"/>
      <c r="L101" s="120"/>
      <c r="M101" s="121"/>
      <c r="N101" s="121"/>
      <c r="O101" s="121"/>
      <c r="P101" s="121"/>
      <c r="Q101" s="121"/>
      <c r="R101" s="121"/>
      <c r="S101" s="121"/>
      <c r="T101" s="121"/>
      <c r="U101" s="121"/>
    </row>
    <row r="102">
      <c r="A102" s="120"/>
      <c r="B102" s="123"/>
      <c r="C102" s="124"/>
      <c r="D102" s="122"/>
      <c r="E102" s="120"/>
      <c r="F102" s="122"/>
      <c r="G102" s="122"/>
      <c r="H102" s="122"/>
      <c r="I102" s="120"/>
      <c r="J102" s="120"/>
      <c r="K102" s="120"/>
      <c r="L102" s="120"/>
      <c r="M102" s="121"/>
      <c r="N102" s="121"/>
      <c r="O102" s="121"/>
      <c r="P102" s="121"/>
      <c r="Q102" s="121"/>
      <c r="R102" s="121"/>
      <c r="S102" s="121"/>
      <c r="T102" s="121"/>
      <c r="U102" s="121"/>
    </row>
    <row r="103">
      <c r="A103" s="120"/>
      <c r="B103" s="123"/>
      <c r="C103" s="124"/>
      <c r="D103" s="122"/>
      <c r="E103" s="120"/>
      <c r="F103" s="122"/>
      <c r="G103" s="122"/>
      <c r="H103" s="122"/>
      <c r="I103" s="120"/>
      <c r="J103" s="120"/>
      <c r="K103" s="120"/>
      <c r="L103" s="120"/>
      <c r="M103" s="121"/>
      <c r="N103" s="121"/>
      <c r="O103" s="121"/>
      <c r="P103" s="121"/>
      <c r="Q103" s="121"/>
      <c r="R103" s="121"/>
      <c r="S103" s="121"/>
      <c r="T103" s="121"/>
      <c r="U103" s="121"/>
    </row>
    <row r="104">
      <c r="A104" s="120"/>
      <c r="B104" s="123"/>
      <c r="C104" s="124"/>
      <c r="D104" s="122"/>
      <c r="E104" s="120"/>
      <c r="F104" s="122"/>
      <c r="G104" s="122"/>
      <c r="H104" s="122"/>
      <c r="I104" s="120"/>
      <c r="J104" s="120"/>
      <c r="K104" s="120"/>
      <c r="L104" s="120"/>
      <c r="M104" s="121"/>
      <c r="N104" s="121"/>
      <c r="O104" s="121"/>
      <c r="P104" s="121"/>
      <c r="Q104" s="121"/>
      <c r="R104" s="121"/>
      <c r="S104" s="121"/>
      <c r="T104" s="121"/>
      <c r="U104" s="121"/>
    </row>
    <row r="105">
      <c r="A105" s="120"/>
      <c r="B105" s="123"/>
      <c r="C105" s="124"/>
      <c r="D105" s="122"/>
      <c r="E105" s="120"/>
      <c r="F105" s="122"/>
      <c r="G105" s="122"/>
      <c r="H105" s="122"/>
      <c r="I105" s="120"/>
      <c r="J105" s="120"/>
      <c r="K105" s="120"/>
      <c r="L105" s="120"/>
      <c r="M105" s="121"/>
      <c r="N105" s="121"/>
      <c r="O105" s="121"/>
      <c r="P105" s="121"/>
      <c r="Q105" s="121"/>
      <c r="R105" s="121"/>
      <c r="S105" s="121"/>
      <c r="T105" s="121"/>
      <c r="U105" s="121"/>
    </row>
    <row r="106">
      <c r="A106" s="120"/>
      <c r="B106" s="123"/>
      <c r="C106" s="124"/>
      <c r="D106" s="125"/>
      <c r="E106" s="120"/>
      <c r="F106" s="125"/>
      <c r="G106" s="125"/>
      <c r="H106" s="125"/>
      <c r="I106" s="120"/>
      <c r="J106" s="120"/>
      <c r="K106" s="120"/>
      <c r="L106" s="120"/>
      <c r="M106" s="121"/>
      <c r="N106" s="121"/>
      <c r="O106" s="121"/>
      <c r="P106" s="121"/>
      <c r="Q106" s="121"/>
      <c r="R106" s="121"/>
      <c r="S106" s="121"/>
      <c r="T106" s="121"/>
      <c r="U106" s="121"/>
    </row>
    <row r="107">
      <c r="A107" s="120"/>
      <c r="B107" s="123"/>
      <c r="C107" s="124"/>
      <c r="D107" s="125"/>
      <c r="E107" s="120"/>
      <c r="F107" s="125"/>
      <c r="G107" s="125"/>
      <c r="H107" s="125"/>
      <c r="I107" s="120"/>
      <c r="J107" s="120"/>
      <c r="K107" s="120"/>
      <c r="L107" s="120"/>
      <c r="M107" s="121"/>
      <c r="N107" s="121"/>
      <c r="O107" s="121"/>
      <c r="P107" s="121"/>
      <c r="Q107" s="121"/>
      <c r="R107" s="121"/>
      <c r="S107" s="121"/>
      <c r="T107" s="121"/>
      <c r="U107" s="121"/>
    </row>
    <row r="108">
      <c r="A108" s="120"/>
      <c r="B108" s="123"/>
      <c r="C108" s="124"/>
      <c r="D108" s="125"/>
      <c r="E108" s="120"/>
      <c r="F108" s="125"/>
      <c r="G108" s="125"/>
      <c r="H108" s="125"/>
      <c r="I108" s="120"/>
      <c r="J108" s="120"/>
      <c r="K108" s="120"/>
      <c r="L108" s="120"/>
      <c r="M108" s="121"/>
      <c r="N108" s="121"/>
      <c r="O108" s="121"/>
      <c r="P108" s="121"/>
      <c r="Q108" s="121"/>
      <c r="R108" s="121"/>
      <c r="S108" s="121"/>
      <c r="T108" s="121"/>
      <c r="U108" s="121"/>
    </row>
    <row r="109">
      <c r="A109" s="120"/>
      <c r="B109" s="123"/>
      <c r="C109" s="124"/>
      <c r="D109" s="125"/>
      <c r="E109" s="120"/>
      <c r="F109" s="125"/>
      <c r="G109" s="125"/>
      <c r="H109" s="125"/>
      <c r="I109" s="120"/>
      <c r="J109" s="120"/>
      <c r="K109" s="120"/>
      <c r="L109" s="120"/>
      <c r="M109" s="121"/>
      <c r="N109" s="121"/>
      <c r="O109" s="121"/>
      <c r="P109" s="121"/>
      <c r="Q109" s="121"/>
      <c r="R109" s="121"/>
      <c r="S109" s="121"/>
      <c r="T109" s="121"/>
      <c r="U109" s="121"/>
    </row>
    <row r="110">
      <c r="A110" s="120"/>
      <c r="B110" s="123"/>
      <c r="C110" s="124"/>
      <c r="D110" s="125"/>
      <c r="E110" s="120"/>
      <c r="F110" s="125"/>
      <c r="G110" s="125"/>
      <c r="H110" s="125"/>
      <c r="I110" s="120"/>
      <c r="J110" s="120"/>
      <c r="K110" s="120"/>
      <c r="L110" s="120"/>
      <c r="M110" s="121"/>
      <c r="N110" s="121"/>
      <c r="O110" s="121"/>
      <c r="P110" s="121"/>
      <c r="Q110" s="121"/>
      <c r="R110" s="121"/>
      <c r="S110" s="121"/>
      <c r="T110" s="121"/>
      <c r="U110" s="121"/>
    </row>
    <row r="111">
      <c r="A111" s="120"/>
      <c r="B111" s="123"/>
      <c r="C111" s="124"/>
      <c r="D111" s="125"/>
      <c r="E111" s="120"/>
      <c r="F111" s="125"/>
      <c r="G111" s="125"/>
      <c r="H111" s="125"/>
      <c r="I111" s="120"/>
      <c r="J111" s="120"/>
      <c r="K111" s="120"/>
      <c r="L111" s="120"/>
      <c r="M111" s="121"/>
      <c r="N111" s="121"/>
      <c r="O111" s="121"/>
      <c r="P111" s="121"/>
      <c r="Q111" s="121"/>
      <c r="R111" s="121"/>
      <c r="S111" s="121"/>
      <c r="T111" s="121"/>
      <c r="U111" s="121"/>
    </row>
    <row r="112">
      <c r="A112" s="120"/>
      <c r="B112" s="123"/>
      <c r="C112" s="124"/>
      <c r="D112" s="125"/>
      <c r="E112" s="120"/>
      <c r="F112" s="125"/>
      <c r="G112" s="125"/>
      <c r="H112" s="125"/>
      <c r="I112" s="120"/>
      <c r="J112" s="120"/>
      <c r="K112" s="120"/>
      <c r="L112" s="120"/>
      <c r="M112" s="121"/>
      <c r="N112" s="121"/>
      <c r="O112" s="121"/>
      <c r="P112" s="121"/>
      <c r="Q112" s="121"/>
      <c r="R112" s="121"/>
      <c r="S112" s="121"/>
      <c r="T112" s="121"/>
      <c r="U112" s="121"/>
    </row>
    <row r="113">
      <c r="A113" s="120"/>
      <c r="B113" s="123"/>
      <c r="C113" s="124"/>
      <c r="D113" s="125"/>
      <c r="E113" s="120"/>
      <c r="F113" s="125"/>
      <c r="G113" s="125"/>
      <c r="H113" s="125"/>
      <c r="I113" s="120"/>
      <c r="J113" s="120"/>
      <c r="K113" s="120"/>
      <c r="L113" s="120"/>
      <c r="M113" s="121"/>
      <c r="N113" s="121"/>
      <c r="O113" s="121"/>
      <c r="P113" s="121"/>
      <c r="Q113" s="121"/>
      <c r="R113" s="121"/>
      <c r="S113" s="121"/>
      <c r="T113" s="121"/>
      <c r="U113" s="121"/>
    </row>
    <row r="114">
      <c r="A114" s="120"/>
      <c r="B114" s="123"/>
      <c r="C114" s="124"/>
      <c r="D114" s="125"/>
      <c r="E114" s="120"/>
      <c r="F114" s="125"/>
      <c r="G114" s="125"/>
      <c r="H114" s="125"/>
      <c r="I114" s="120"/>
      <c r="J114" s="120"/>
      <c r="K114" s="120"/>
      <c r="L114" s="120"/>
      <c r="M114" s="121"/>
      <c r="N114" s="121"/>
      <c r="O114" s="121"/>
      <c r="P114" s="121"/>
      <c r="Q114" s="121"/>
      <c r="R114" s="121"/>
      <c r="S114" s="121"/>
      <c r="T114" s="121"/>
      <c r="U114" s="121"/>
    </row>
    <row r="115">
      <c r="A115" s="120"/>
      <c r="B115" s="123"/>
      <c r="C115" s="124"/>
      <c r="D115" s="125"/>
      <c r="E115" s="120"/>
      <c r="F115" s="125"/>
      <c r="G115" s="125"/>
      <c r="H115" s="125"/>
      <c r="I115" s="120"/>
      <c r="J115" s="120"/>
      <c r="K115" s="120"/>
      <c r="L115" s="120"/>
      <c r="M115" s="121"/>
      <c r="N115" s="121"/>
      <c r="O115" s="121"/>
      <c r="P115" s="121"/>
      <c r="Q115" s="121"/>
      <c r="R115" s="121"/>
      <c r="S115" s="121"/>
      <c r="T115" s="121"/>
      <c r="U115" s="121"/>
    </row>
    <row r="116">
      <c r="A116" s="120"/>
      <c r="B116" s="123"/>
      <c r="C116" s="124"/>
      <c r="D116" s="125"/>
      <c r="E116" s="120"/>
      <c r="F116" s="125"/>
      <c r="G116" s="125"/>
      <c r="H116" s="125"/>
      <c r="I116" s="120"/>
      <c r="J116" s="120"/>
      <c r="K116" s="120"/>
      <c r="L116" s="120"/>
      <c r="M116" s="121"/>
      <c r="N116" s="121"/>
      <c r="O116" s="121"/>
      <c r="P116" s="121"/>
      <c r="Q116" s="121"/>
      <c r="R116" s="121"/>
      <c r="S116" s="121"/>
      <c r="T116" s="121"/>
      <c r="U116" s="121"/>
    </row>
    <row r="117">
      <c r="A117" s="120"/>
      <c r="B117" s="123"/>
      <c r="C117" s="124"/>
      <c r="D117" s="125"/>
      <c r="E117" s="120"/>
      <c r="F117" s="125"/>
      <c r="G117" s="125"/>
      <c r="H117" s="125"/>
      <c r="I117" s="120"/>
      <c r="J117" s="120"/>
      <c r="K117" s="120"/>
      <c r="L117" s="120"/>
      <c r="M117" s="121"/>
      <c r="N117" s="121"/>
      <c r="O117" s="121"/>
      <c r="P117" s="121"/>
      <c r="Q117" s="121"/>
      <c r="R117" s="121"/>
      <c r="S117" s="121"/>
      <c r="T117" s="121"/>
      <c r="U117" s="121"/>
    </row>
    <row r="118">
      <c r="A118" s="120"/>
      <c r="B118" s="123"/>
      <c r="C118" s="124"/>
      <c r="D118" s="125"/>
      <c r="E118" s="120"/>
      <c r="F118" s="125"/>
      <c r="G118" s="125"/>
      <c r="H118" s="125"/>
      <c r="I118" s="120"/>
      <c r="J118" s="120"/>
      <c r="K118" s="120"/>
      <c r="L118" s="120"/>
      <c r="M118" s="121"/>
      <c r="N118" s="121"/>
      <c r="O118" s="121"/>
      <c r="P118" s="121"/>
      <c r="Q118" s="121"/>
      <c r="R118" s="121"/>
      <c r="S118" s="121"/>
      <c r="T118" s="121"/>
      <c r="U118" s="121"/>
    </row>
    <row r="119">
      <c r="A119" s="120"/>
      <c r="B119" s="123"/>
      <c r="C119" s="124"/>
      <c r="D119" s="125"/>
      <c r="E119" s="120"/>
      <c r="F119" s="125"/>
      <c r="G119" s="125"/>
      <c r="H119" s="125"/>
      <c r="I119" s="120"/>
      <c r="J119" s="120"/>
      <c r="K119" s="120"/>
      <c r="L119" s="120"/>
      <c r="M119" s="121"/>
      <c r="N119" s="121"/>
      <c r="O119" s="121"/>
      <c r="P119" s="121"/>
      <c r="Q119" s="121"/>
      <c r="R119" s="121"/>
      <c r="S119" s="121"/>
      <c r="T119" s="121"/>
      <c r="U119" s="121"/>
    </row>
    <row r="120">
      <c r="A120" s="120"/>
      <c r="B120" s="123"/>
      <c r="C120" s="124"/>
      <c r="D120" s="125"/>
      <c r="E120" s="120"/>
      <c r="F120" s="125"/>
      <c r="G120" s="125"/>
      <c r="H120" s="125"/>
      <c r="I120" s="120"/>
      <c r="J120" s="120"/>
      <c r="K120" s="120"/>
      <c r="L120" s="120"/>
      <c r="M120" s="121"/>
      <c r="N120" s="121"/>
      <c r="O120" s="121"/>
      <c r="P120" s="121"/>
      <c r="Q120" s="121"/>
      <c r="R120" s="121"/>
      <c r="S120" s="121"/>
      <c r="T120" s="121"/>
      <c r="U120" s="121"/>
    </row>
    <row r="121">
      <c r="A121" s="120"/>
      <c r="B121" s="123"/>
      <c r="C121" s="124"/>
      <c r="D121" s="125"/>
      <c r="E121" s="120"/>
      <c r="F121" s="125"/>
      <c r="G121" s="125"/>
      <c r="H121" s="125"/>
      <c r="I121" s="120"/>
      <c r="J121" s="120"/>
      <c r="K121" s="120"/>
      <c r="L121" s="120"/>
      <c r="M121" s="121"/>
      <c r="N121" s="121"/>
      <c r="O121" s="121"/>
      <c r="P121" s="121"/>
      <c r="Q121" s="121"/>
      <c r="R121" s="121"/>
      <c r="S121" s="121"/>
      <c r="T121" s="121"/>
      <c r="U121" s="121"/>
    </row>
    <row r="122">
      <c r="A122" s="120"/>
      <c r="B122" s="123"/>
      <c r="C122" s="124"/>
      <c r="D122" s="125"/>
      <c r="E122" s="120"/>
      <c r="F122" s="125"/>
      <c r="G122" s="125"/>
      <c r="H122" s="125"/>
      <c r="I122" s="120"/>
      <c r="J122" s="120"/>
      <c r="K122" s="120"/>
      <c r="L122" s="120"/>
      <c r="M122" s="121"/>
      <c r="N122" s="121"/>
      <c r="O122" s="121"/>
      <c r="P122" s="121"/>
      <c r="Q122" s="121"/>
      <c r="R122" s="121"/>
      <c r="S122" s="121"/>
      <c r="T122" s="121"/>
      <c r="U122" s="121"/>
    </row>
    <row r="123">
      <c r="A123" s="120"/>
      <c r="B123" s="123"/>
      <c r="C123" s="124"/>
      <c r="D123" s="125"/>
      <c r="E123" s="120"/>
      <c r="F123" s="125"/>
      <c r="G123" s="125"/>
      <c r="H123" s="125"/>
      <c r="I123" s="120"/>
      <c r="J123" s="120"/>
      <c r="K123" s="120"/>
      <c r="L123" s="120"/>
      <c r="M123" s="121"/>
      <c r="N123" s="121"/>
      <c r="O123" s="121"/>
      <c r="P123" s="121"/>
      <c r="Q123" s="121"/>
      <c r="R123" s="121"/>
      <c r="S123" s="121"/>
      <c r="T123" s="121"/>
      <c r="U123" s="121"/>
    </row>
    <row r="124">
      <c r="A124" s="120"/>
      <c r="B124" s="123"/>
      <c r="C124" s="124"/>
      <c r="D124" s="125"/>
      <c r="E124" s="120"/>
      <c r="F124" s="125"/>
      <c r="G124" s="125"/>
      <c r="H124" s="125"/>
      <c r="I124" s="120"/>
      <c r="J124" s="120"/>
      <c r="K124" s="120"/>
      <c r="L124" s="120"/>
      <c r="M124" s="121"/>
      <c r="N124" s="121"/>
      <c r="O124" s="121"/>
      <c r="P124" s="121"/>
      <c r="Q124" s="121"/>
      <c r="R124" s="121"/>
      <c r="S124" s="121"/>
      <c r="T124" s="121"/>
      <c r="U124" s="121"/>
    </row>
    <row r="125">
      <c r="A125" s="120"/>
      <c r="B125" s="123"/>
      <c r="C125" s="124"/>
      <c r="D125" s="125"/>
      <c r="E125" s="120"/>
      <c r="F125" s="125"/>
      <c r="G125" s="125"/>
      <c r="H125" s="125"/>
      <c r="I125" s="120"/>
      <c r="J125" s="120"/>
      <c r="K125" s="120"/>
      <c r="L125" s="120"/>
      <c r="M125" s="121"/>
      <c r="N125" s="121"/>
      <c r="O125" s="121"/>
      <c r="P125" s="121"/>
      <c r="Q125" s="121"/>
      <c r="R125" s="121"/>
      <c r="S125" s="121"/>
      <c r="T125" s="121"/>
      <c r="U125" s="121"/>
    </row>
    <row r="126">
      <c r="A126" s="120"/>
      <c r="B126" s="123"/>
      <c r="C126" s="124"/>
      <c r="D126" s="125"/>
      <c r="E126" s="120"/>
      <c r="F126" s="125"/>
      <c r="G126" s="125"/>
      <c r="H126" s="125"/>
      <c r="I126" s="120"/>
      <c r="J126" s="120"/>
      <c r="K126" s="120"/>
      <c r="L126" s="120"/>
      <c r="M126" s="121"/>
      <c r="N126" s="121"/>
      <c r="O126" s="121"/>
      <c r="P126" s="121"/>
      <c r="Q126" s="121"/>
      <c r="R126" s="121"/>
      <c r="S126" s="121"/>
      <c r="T126" s="121"/>
      <c r="U126" s="121"/>
    </row>
    <row r="127">
      <c r="A127" s="120"/>
      <c r="B127" s="123"/>
      <c r="C127" s="124"/>
      <c r="D127" s="125"/>
      <c r="E127" s="120"/>
      <c r="F127" s="125"/>
      <c r="G127" s="125"/>
      <c r="H127" s="125"/>
      <c r="I127" s="120"/>
      <c r="J127" s="120"/>
      <c r="K127" s="120"/>
      <c r="L127" s="120"/>
      <c r="M127" s="121"/>
      <c r="N127" s="121"/>
      <c r="O127" s="121"/>
      <c r="P127" s="121"/>
      <c r="Q127" s="121"/>
      <c r="R127" s="121"/>
      <c r="S127" s="121"/>
      <c r="T127" s="121"/>
      <c r="U127" s="121"/>
    </row>
    <row r="128">
      <c r="A128" s="120"/>
      <c r="B128" s="123"/>
      <c r="C128" s="124"/>
      <c r="D128" s="125"/>
      <c r="E128" s="120"/>
      <c r="F128" s="125"/>
      <c r="G128" s="125"/>
      <c r="H128" s="125"/>
      <c r="I128" s="120"/>
      <c r="J128" s="120"/>
      <c r="K128" s="120"/>
      <c r="L128" s="120"/>
      <c r="M128" s="121"/>
      <c r="N128" s="121"/>
      <c r="O128" s="121"/>
      <c r="P128" s="121"/>
      <c r="Q128" s="121"/>
      <c r="R128" s="121"/>
      <c r="S128" s="121"/>
      <c r="T128" s="121"/>
      <c r="U128" s="121"/>
    </row>
    <row r="129">
      <c r="A129" s="120"/>
      <c r="B129" s="123"/>
      <c r="C129" s="124"/>
      <c r="D129" s="125"/>
      <c r="E129" s="120"/>
      <c r="F129" s="125"/>
      <c r="G129" s="125"/>
      <c r="H129" s="125"/>
      <c r="I129" s="120"/>
      <c r="J129" s="120"/>
      <c r="K129" s="120"/>
      <c r="L129" s="120"/>
      <c r="M129" s="121"/>
      <c r="N129" s="121"/>
      <c r="O129" s="121"/>
      <c r="P129" s="121"/>
      <c r="Q129" s="121"/>
      <c r="R129" s="121"/>
      <c r="S129" s="121"/>
      <c r="T129" s="121"/>
      <c r="U129" s="121"/>
    </row>
    <row r="130">
      <c r="A130" s="120"/>
      <c r="B130" s="123"/>
      <c r="C130" s="124"/>
      <c r="D130" s="125"/>
      <c r="E130" s="120"/>
      <c r="F130" s="125"/>
      <c r="G130" s="125"/>
      <c r="H130" s="125"/>
      <c r="I130" s="120"/>
      <c r="J130" s="120"/>
      <c r="K130" s="120"/>
      <c r="L130" s="120"/>
      <c r="M130" s="121"/>
      <c r="N130" s="121"/>
      <c r="O130" s="121"/>
      <c r="P130" s="121"/>
      <c r="Q130" s="121"/>
      <c r="R130" s="121"/>
      <c r="S130" s="121"/>
      <c r="T130" s="121"/>
      <c r="U130" s="121"/>
    </row>
    <row r="131">
      <c r="A131" s="120"/>
      <c r="B131" s="123"/>
      <c r="C131" s="124"/>
      <c r="D131" s="125"/>
      <c r="E131" s="120"/>
      <c r="F131" s="125"/>
      <c r="G131" s="125"/>
      <c r="H131" s="125"/>
      <c r="I131" s="120"/>
      <c r="J131" s="120"/>
      <c r="K131" s="120"/>
      <c r="L131" s="120"/>
      <c r="M131" s="121"/>
      <c r="N131" s="121"/>
      <c r="O131" s="121"/>
      <c r="P131" s="121"/>
      <c r="Q131" s="121"/>
      <c r="R131" s="121"/>
      <c r="S131" s="121"/>
      <c r="T131" s="121"/>
      <c r="U131" s="121"/>
    </row>
    <row r="132">
      <c r="A132" s="120"/>
      <c r="B132" s="123"/>
      <c r="C132" s="124"/>
      <c r="D132" s="125"/>
      <c r="E132" s="120"/>
      <c r="F132" s="125"/>
      <c r="G132" s="125"/>
      <c r="H132" s="125"/>
      <c r="I132" s="120"/>
      <c r="J132" s="120"/>
      <c r="K132" s="120"/>
      <c r="L132" s="120"/>
      <c r="M132" s="121"/>
      <c r="N132" s="121"/>
      <c r="O132" s="121"/>
      <c r="P132" s="121"/>
      <c r="Q132" s="121"/>
      <c r="R132" s="121"/>
      <c r="S132" s="121"/>
      <c r="T132" s="121"/>
      <c r="U132" s="121"/>
    </row>
    <row r="133">
      <c r="A133" s="120"/>
      <c r="B133" s="123"/>
      <c r="C133" s="124"/>
      <c r="D133" s="125"/>
      <c r="E133" s="120"/>
      <c r="F133" s="125"/>
      <c r="G133" s="125"/>
      <c r="H133" s="125"/>
      <c r="I133" s="120"/>
      <c r="J133" s="120"/>
      <c r="K133" s="120"/>
      <c r="L133" s="120"/>
      <c r="M133" s="121"/>
      <c r="N133" s="121"/>
      <c r="O133" s="121"/>
      <c r="P133" s="121"/>
      <c r="Q133" s="121"/>
      <c r="R133" s="121"/>
      <c r="S133" s="121"/>
      <c r="T133" s="121"/>
      <c r="U133" s="121"/>
    </row>
    <row r="134">
      <c r="A134" s="120"/>
      <c r="B134" s="123"/>
      <c r="C134" s="124"/>
      <c r="D134" s="125"/>
      <c r="E134" s="120"/>
      <c r="F134" s="125"/>
      <c r="G134" s="125"/>
      <c r="H134" s="125"/>
      <c r="I134" s="120"/>
      <c r="J134" s="120"/>
      <c r="K134" s="120"/>
      <c r="L134" s="120"/>
      <c r="M134" s="121"/>
      <c r="N134" s="121"/>
      <c r="O134" s="121"/>
      <c r="P134" s="121"/>
      <c r="Q134" s="121"/>
      <c r="R134" s="121"/>
      <c r="S134" s="121"/>
      <c r="T134" s="121"/>
      <c r="U134" s="121"/>
    </row>
    <row r="135">
      <c r="A135" s="120"/>
      <c r="B135" s="123"/>
      <c r="C135" s="124"/>
      <c r="D135" s="125"/>
      <c r="E135" s="120"/>
      <c r="F135" s="125"/>
      <c r="G135" s="125"/>
      <c r="H135" s="125"/>
      <c r="I135" s="120"/>
      <c r="J135" s="120"/>
      <c r="K135" s="120"/>
      <c r="L135" s="120"/>
      <c r="M135" s="121"/>
      <c r="N135" s="121"/>
      <c r="O135" s="121"/>
      <c r="P135" s="121"/>
      <c r="Q135" s="121"/>
      <c r="R135" s="121"/>
      <c r="S135" s="121"/>
      <c r="T135" s="121"/>
      <c r="U135" s="121"/>
    </row>
    <row r="136">
      <c r="A136" s="120"/>
      <c r="B136" s="123"/>
      <c r="C136" s="124"/>
      <c r="D136" s="125"/>
      <c r="E136" s="120"/>
      <c r="F136" s="125"/>
      <c r="G136" s="125"/>
      <c r="H136" s="125"/>
      <c r="I136" s="120"/>
      <c r="J136" s="120"/>
      <c r="K136" s="120"/>
      <c r="L136" s="120"/>
      <c r="M136" s="121"/>
      <c r="N136" s="121"/>
      <c r="O136" s="121"/>
      <c r="P136" s="121"/>
      <c r="Q136" s="121"/>
      <c r="R136" s="121"/>
      <c r="S136" s="121"/>
      <c r="T136" s="121"/>
      <c r="U136" s="121"/>
    </row>
    <row r="137">
      <c r="A137" s="120"/>
      <c r="B137" s="123"/>
      <c r="C137" s="124"/>
      <c r="D137" s="125"/>
      <c r="E137" s="120"/>
      <c r="F137" s="125"/>
      <c r="G137" s="125"/>
      <c r="H137" s="121"/>
      <c r="I137" s="121"/>
      <c r="J137" s="121"/>
      <c r="K137" s="121"/>
      <c r="L137" s="120"/>
      <c r="M137" s="121"/>
      <c r="N137" s="121"/>
      <c r="O137" s="121"/>
      <c r="P137" s="121"/>
      <c r="Q137" s="121"/>
      <c r="R137" s="121"/>
      <c r="S137" s="121"/>
      <c r="T137" s="121"/>
      <c r="U137" s="121"/>
    </row>
    <row r="138">
      <c r="A138" s="120"/>
      <c r="B138" s="123"/>
      <c r="C138" s="124"/>
      <c r="D138" s="125"/>
      <c r="E138" s="120"/>
      <c r="F138" s="125"/>
      <c r="G138" s="125"/>
      <c r="H138" s="125"/>
      <c r="I138" s="120"/>
      <c r="J138" s="120"/>
      <c r="K138" s="120"/>
      <c r="L138" s="120"/>
      <c r="M138" s="121"/>
      <c r="N138" s="121"/>
      <c r="O138" s="121"/>
      <c r="P138" s="121"/>
      <c r="Q138" s="121"/>
      <c r="R138" s="121"/>
      <c r="S138" s="121"/>
      <c r="T138" s="121"/>
      <c r="U138" s="121"/>
    </row>
    <row r="139">
      <c r="A139" s="120"/>
      <c r="B139" s="123"/>
      <c r="C139" s="124"/>
      <c r="D139" s="125"/>
      <c r="E139" s="120"/>
      <c r="F139" s="125"/>
      <c r="G139" s="125"/>
      <c r="H139" s="125"/>
      <c r="I139" s="120"/>
      <c r="J139" s="120"/>
      <c r="K139" s="120"/>
      <c r="L139" s="120"/>
      <c r="M139" s="121"/>
      <c r="N139" s="121"/>
      <c r="O139" s="121"/>
      <c r="P139" s="121"/>
      <c r="Q139" s="121"/>
      <c r="R139" s="121"/>
      <c r="S139" s="121"/>
      <c r="T139" s="121"/>
      <c r="U139" s="121"/>
    </row>
    <row r="140">
      <c r="A140" s="120"/>
      <c r="B140" s="123"/>
      <c r="C140" s="124"/>
      <c r="D140" s="125"/>
      <c r="E140" s="120"/>
      <c r="F140" s="125"/>
      <c r="G140" s="125"/>
      <c r="H140" s="125"/>
      <c r="I140" s="120"/>
      <c r="J140" s="120"/>
      <c r="K140" s="120"/>
      <c r="L140" s="120"/>
      <c r="M140" s="121"/>
      <c r="N140" s="121"/>
      <c r="O140" s="121"/>
      <c r="P140" s="121"/>
      <c r="Q140" s="121"/>
      <c r="R140" s="121"/>
      <c r="S140" s="121"/>
      <c r="T140" s="121"/>
      <c r="U140" s="121"/>
    </row>
    <row r="141">
      <c r="A141" s="120"/>
      <c r="B141" s="123"/>
      <c r="C141" s="124"/>
      <c r="D141" s="125"/>
      <c r="E141" s="120"/>
      <c r="F141" s="125"/>
      <c r="G141" s="125"/>
      <c r="H141" s="125"/>
      <c r="I141" s="120"/>
      <c r="J141" s="120"/>
      <c r="K141" s="120"/>
      <c r="L141" s="120"/>
      <c r="M141" s="121"/>
      <c r="N141" s="121"/>
      <c r="O141" s="121"/>
      <c r="P141" s="121"/>
      <c r="Q141" s="121"/>
      <c r="R141" s="121"/>
      <c r="S141" s="121"/>
      <c r="T141" s="121"/>
      <c r="U141" s="121"/>
    </row>
    <row r="142">
      <c r="A142" s="120"/>
      <c r="B142" s="123"/>
      <c r="C142" s="124"/>
      <c r="D142" s="125"/>
      <c r="E142" s="120"/>
      <c r="F142" s="125"/>
      <c r="G142" s="125"/>
      <c r="H142" s="125"/>
      <c r="I142" s="120"/>
      <c r="J142" s="120"/>
      <c r="K142" s="120"/>
      <c r="L142" s="120"/>
      <c r="M142" s="121"/>
      <c r="N142" s="121"/>
      <c r="O142" s="121"/>
      <c r="P142" s="121"/>
      <c r="Q142" s="121"/>
      <c r="R142" s="121"/>
      <c r="S142" s="121"/>
      <c r="T142" s="121"/>
      <c r="U142" s="121"/>
    </row>
    <row r="143">
      <c r="A143" s="120"/>
      <c r="B143" s="123"/>
      <c r="C143" s="124"/>
      <c r="D143" s="125"/>
      <c r="E143" s="120"/>
      <c r="F143" s="125"/>
      <c r="G143" s="125"/>
      <c r="H143" s="125"/>
      <c r="I143" s="120"/>
      <c r="J143" s="120"/>
      <c r="K143" s="120"/>
      <c r="L143" s="120"/>
      <c r="M143" s="121"/>
      <c r="N143" s="121"/>
      <c r="O143" s="121"/>
      <c r="P143" s="121"/>
      <c r="Q143" s="121"/>
      <c r="R143" s="121"/>
      <c r="S143" s="121"/>
      <c r="T143" s="121"/>
      <c r="U143" s="121"/>
    </row>
    <row r="144">
      <c r="A144" s="120"/>
      <c r="B144" s="123"/>
      <c r="C144" s="124"/>
      <c r="D144" s="125"/>
      <c r="E144" s="120"/>
      <c r="F144" s="125"/>
      <c r="G144" s="125"/>
      <c r="H144" s="125"/>
      <c r="I144" s="120"/>
      <c r="J144" s="120"/>
      <c r="K144" s="120"/>
      <c r="L144" s="120"/>
      <c r="M144" s="121"/>
      <c r="N144" s="121"/>
      <c r="O144" s="121"/>
      <c r="P144" s="121"/>
      <c r="Q144" s="121"/>
      <c r="R144" s="121"/>
      <c r="S144" s="121"/>
      <c r="T144" s="121"/>
      <c r="U144" s="121"/>
    </row>
    <row r="145">
      <c r="A145" s="120"/>
      <c r="B145" s="123"/>
      <c r="C145" s="124"/>
      <c r="D145" s="125"/>
      <c r="E145" s="120"/>
      <c r="F145" s="125"/>
      <c r="G145" s="125"/>
      <c r="H145" s="125"/>
      <c r="I145" s="120"/>
      <c r="J145" s="120"/>
      <c r="K145" s="120"/>
      <c r="L145" s="120"/>
      <c r="M145" s="121"/>
      <c r="N145" s="121"/>
      <c r="O145" s="121"/>
      <c r="P145" s="121"/>
      <c r="Q145" s="121"/>
      <c r="R145" s="121"/>
      <c r="S145" s="121"/>
      <c r="T145" s="121"/>
      <c r="U145" s="121"/>
    </row>
    <row r="146">
      <c r="A146" s="120"/>
      <c r="B146" s="123"/>
      <c r="C146" s="124"/>
      <c r="D146" s="125"/>
      <c r="E146" s="120"/>
      <c r="F146" s="125"/>
      <c r="G146" s="125"/>
      <c r="H146" s="125"/>
      <c r="I146" s="120"/>
      <c r="J146" s="120"/>
      <c r="K146" s="120"/>
      <c r="L146" s="120"/>
      <c r="M146" s="121"/>
      <c r="N146" s="121"/>
      <c r="O146" s="121"/>
      <c r="P146" s="121"/>
      <c r="Q146" s="121"/>
      <c r="R146" s="121"/>
      <c r="S146" s="121"/>
      <c r="T146" s="121"/>
      <c r="U146" s="121"/>
    </row>
    <row r="147">
      <c r="A147" s="120"/>
      <c r="B147" s="123"/>
      <c r="C147" s="124"/>
      <c r="D147" s="125"/>
      <c r="E147" s="120"/>
      <c r="F147" s="125"/>
      <c r="G147" s="125"/>
      <c r="H147" s="125"/>
      <c r="I147" s="120"/>
      <c r="J147" s="120"/>
      <c r="K147" s="120"/>
      <c r="L147" s="120"/>
      <c r="M147" s="121"/>
      <c r="N147" s="121"/>
      <c r="O147" s="121"/>
      <c r="P147" s="121"/>
      <c r="Q147" s="121"/>
      <c r="R147" s="121"/>
      <c r="S147" s="121"/>
      <c r="T147" s="121"/>
      <c r="U147" s="121"/>
    </row>
    <row r="148">
      <c r="A148" s="120"/>
      <c r="B148" s="123"/>
      <c r="C148" s="124"/>
      <c r="D148" s="125"/>
      <c r="E148" s="120"/>
      <c r="F148" s="125"/>
      <c r="G148" s="125"/>
      <c r="H148" s="125"/>
      <c r="I148" s="120"/>
      <c r="J148" s="120"/>
      <c r="K148" s="120"/>
      <c r="L148" s="120"/>
      <c r="M148" s="121"/>
      <c r="N148" s="121"/>
      <c r="O148" s="121"/>
      <c r="P148" s="121"/>
      <c r="Q148" s="121"/>
      <c r="R148" s="121"/>
      <c r="S148" s="121"/>
      <c r="T148" s="121"/>
      <c r="U148" s="121"/>
    </row>
    <row r="149">
      <c r="A149" s="120"/>
      <c r="B149" s="123"/>
      <c r="C149" s="124"/>
      <c r="D149" s="125"/>
      <c r="E149" s="120"/>
      <c r="F149" s="125"/>
      <c r="G149" s="125"/>
      <c r="H149" s="125"/>
      <c r="I149" s="120"/>
      <c r="J149" s="120"/>
      <c r="K149" s="120"/>
      <c r="L149" s="120"/>
      <c r="M149" s="121"/>
      <c r="N149" s="121"/>
      <c r="O149" s="121"/>
      <c r="P149" s="121"/>
      <c r="Q149" s="121"/>
      <c r="R149" s="121"/>
      <c r="S149" s="121"/>
      <c r="T149" s="121"/>
      <c r="U149" s="121"/>
    </row>
    <row r="150">
      <c r="A150" s="120"/>
      <c r="B150" s="123"/>
      <c r="C150" s="124"/>
      <c r="D150" s="125"/>
      <c r="E150" s="120"/>
      <c r="F150" s="125"/>
      <c r="G150" s="125"/>
      <c r="H150" s="125"/>
      <c r="I150" s="120"/>
      <c r="J150" s="120"/>
      <c r="K150" s="120"/>
      <c r="L150" s="120"/>
      <c r="M150" s="121"/>
      <c r="N150" s="121"/>
      <c r="O150" s="121"/>
      <c r="P150" s="121"/>
      <c r="Q150" s="121"/>
      <c r="R150" s="121"/>
      <c r="S150" s="121"/>
      <c r="T150" s="121"/>
      <c r="U150" s="121"/>
    </row>
    <row r="151">
      <c r="A151" s="120"/>
      <c r="B151" s="123"/>
      <c r="C151" s="124"/>
      <c r="D151" s="125"/>
      <c r="E151" s="120"/>
      <c r="F151" s="125"/>
      <c r="G151" s="125"/>
      <c r="H151" s="125"/>
      <c r="I151" s="120"/>
      <c r="J151" s="120"/>
      <c r="K151" s="120"/>
      <c r="L151" s="120"/>
      <c r="M151" s="121"/>
      <c r="N151" s="121"/>
      <c r="O151" s="121"/>
      <c r="P151" s="121"/>
      <c r="Q151" s="121"/>
      <c r="R151" s="121"/>
      <c r="S151" s="121"/>
      <c r="T151" s="121"/>
      <c r="U151" s="121"/>
    </row>
    <row r="152">
      <c r="A152" s="120"/>
      <c r="B152" s="123"/>
      <c r="C152" s="124"/>
      <c r="D152" s="125"/>
      <c r="E152" s="120"/>
      <c r="F152" s="125"/>
      <c r="G152" s="125"/>
      <c r="H152" s="125"/>
      <c r="I152" s="120"/>
      <c r="J152" s="120"/>
      <c r="K152" s="120"/>
      <c r="L152" s="120"/>
      <c r="M152" s="121"/>
      <c r="N152" s="121"/>
      <c r="O152" s="121"/>
      <c r="P152" s="121"/>
      <c r="Q152" s="121"/>
      <c r="R152" s="121"/>
      <c r="S152" s="121"/>
      <c r="T152" s="121"/>
      <c r="U152" s="121"/>
    </row>
    <row r="153">
      <c r="A153" s="120"/>
      <c r="B153" s="123"/>
      <c r="C153" s="124"/>
      <c r="D153" s="125"/>
      <c r="E153" s="120"/>
      <c r="F153" s="125"/>
      <c r="G153" s="125"/>
      <c r="H153" s="125"/>
      <c r="I153" s="120"/>
      <c r="J153" s="120"/>
      <c r="K153" s="120"/>
      <c r="L153" s="120"/>
      <c r="M153" s="121"/>
      <c r="N153" s="121"/>
      <c r="O153" s="121"/>
      <c r="P153" s="121"/>
      <c r="Q153" s="121"/>
      <c r="R153" s="121"/>
      <c r="S153" s="121"/>
      <c r="T153" s="121"/>
      <c r="U153" s="121"/>
    </row>
    <row r="154">
      <c r="A154" s="120"/>
      <c r="B154" s="123"/>
      <c r="C154" s="124"/>
      <c r="D154" s="122"/>
      <c r="E154" s="120"/>
      <c r="F154" s="122"/>
      <c r="G154" s="122"/>
      <c r="H154" s="122"/>
      <c r="I154" s="120"/>
      <c r="J154" s="120"/>
      <c r="K154" s="120"/>
      <c r="L154" s="120"/>
      <c r="M154" s="121"/>
      <c r="N154" s="121"/>
      <c r="O154" s="121"/>
      <c r="P154" s="121"/>
      <c r="Q154" s="121"/>
      <c r="R154" s="121"/>
      <c r="S154" s="121"/>
      <c r="T154" s="121"/>
      <c r="U154" s="121"/>
    </row>
    <row r="155">
      <c r="A155" s="120"/>
      <c r="B155" s="123"/>
      <c r="C155" s="124"/>
      <c r="D155" s="122"/>
      <c r="E155" s="120"/>
      <c r="F155" s="122"/>
      <c r="G155" s="122"/>
      <c r="H155" s="122"/>
      <c r="I155" s="120"/>
      <c r="J155" s="120"/>
      <c r="K155" s="120"/>
      <c r="L155" s="120"/>
      <c r="M155" s="121"/>
      <c r="N155" s="121"/>
      <c r="O155" s="121"/>
      <c r="P155" s="121"/>
      <c r="Q155" s="121"/>
      <c r="R155" s="121"/>
      <c r="S155" s="121"/>
      <c r="T155" s="121"/>
      <c r="U155" s="121"/>
    </row>
    <row r="156">
      <c r="A156" s="120"/>
      <c r="B156" s="123"/>
      <c r="C156" s="124"/>
      <c r="D156" s="122"/>
      <c r="E156" s="120"/>
      <c r="F156" s="122"/>
      <c r="G156" s="122"/>
      <c r="H156" s="122"/>
      <c r="I156" s="120"/>
      <c r="J156" s="120"/>
      <c r="K156" s="120"/>
      <c r="L156" s="120"/>
      <c r="M156" s="121"/>
      <c r="N156" s="121"/>
      <c r="O156" s="121"/>
      <c r="P156" s="121"/>
      <c r="Q156" s="121"/>
      <c r="R156" s="121"/>
      <c r="S156" s="121"/>
      <c r="T156" s="121"/>
      <c r="U156" s="121"/>
    </row>
    <row r="157">
      <c r="A157" s="120"/>
      <c r="B157" s="123"/>
      <c r="C157" s="124"/>
      <c r="D157" s="122"/>
      <c r="E157" s="120"/>
      <c r="F157" s="122"/>
      <c r="G157" s="122"/>
      <c r="H157" s="122"/>
      <c r="I157" s="120"/>
      <c r="J157" s="120"/>
      <c r="K157" s="120"/>
      <c r="L157" s="120"/>
      <c r="M157" s="121"/>
      <c r="N157" s="121"/>
      <c r="O157" s="121"/>
      <c r="P157" s="121"/>
      <c r="Q157" s="121"/>
      <c r="R157" s="121"/>
      <c r="S157" s="121"/>
      <c r="T157" s="121"/>
      <c r="U157" s="121"/>
    </row>
    <row r="158">
      <c r="A158" s="120"/>
      <c r="B158" s="123"/>
      <c r="C158" s="124"/>
      <c r="D158" s="122"/>
      <c r="E158" s="120"/>
      <c r="F158" s="122"/>
      <c r="G158" s="122"/>
      <c r="H158" s="122"/>
      <c r="I158" s="120"/>
      <c r="J158" s="120"/>
      <c r="K158" s="120"/>
      <c r="L158" s="120"/>
      <c r="M158" s="121"/>
      <c r="N158" s="121"/>
      <c r="O158" s="121"/>
      <c r="P158" s="121"/>
      <c r="Q158" s="121"/>
      <c r="R158" s="121"/>
      <c r="S158" s="121"/>
      <c r="T158" s="121"/>
      <c r="U158" s="121"/>
    </row>
    <row r="159">
      <c r="A159" s="120"/>
      <c r="B159" s="123"/>
      <c r="C159" s="124"/>
      <c r="D159" s="122"/>
      <c r="E159" s="120"/>
      <c r="F159" s="122"/>
      <c r="G159" s="122"/>
      <c r="H159" s="122"/>
      <c r="I159" s="120"/>
      <c r="J159" s="120"/>
      <c r="K159" s="120"/>
      <c r="L159" s="120"/>
      <c r="M159" s="121"/>
      <c r="N159" s="121"/>
      <c r="O159" s="121"/>
      <c r="P159" s="121"/>
      <c r="Q159" s="121"/>
      <c r="R159" s="121"/>
      <c r="S159" s="121"/>
      <c r="T159" s="121"/>
      <c r="U159" s="121"/>
    </row>
    <row r="160">
      <c r="A160" s="120"/>
      <c r="B160" s="123"/>
      <c r="C160" s="124"/>
      <c r="D160" s="122"/>
      <c r="E160" s="120"/>
      <c r="F160" s="122"/>
      <c r="G160" s="122"/>
      <c r="H160" s="122"/>
      <c r="I160" s="120"/>
      <c r="J160" s="120"/>
      <c r="K160" s="120"/>
      <c r="L160" s="120"/>
      <c r="M160" s="121"/>
      <c r="N160" s="121"/>
      <c r="O160" s="121"/>
      <c r="P160" s="121"/>
      <c r="Q160" s="121"/>
      <c r="R160" s="121"/>
      <c r="S160" s="121"/>
      <c r="T160" s="121"/>
      <c r="U160" s="121"/>
    </row>
    <row r="161">
      <c r="A161" s="120"/>
      <c r="B161" s="123"/>
      <c r="C161" s="124"/>
      <c r="D161" s="122"/>
      <c r="E161" s="120"/>
      <c r="F161" s="122"/>
      <c r="G161" s="122"/>
      <c r="H161" s="122"/>
      <c r="I161" s="120"/>
      <c r="J161" s="120"/>
      <c r="K161" s="120"/>
      <c r="L161" s="120"/>
      <c r="M161" s="121"/>
      <c r="N161" s="121"/>
      <c r="O161" s="121"/>
      <c r="P161" s="121"/>
      <c r="Q161" s="121"/>
      <c r="R161" s="121"/>
      <c r="S161" s="121"/>
      <c r="T161" s="121"/>
      <c r="U161" s="121"/>
    </row>
    <row r="162">
      <c r="A162" s="120"/>
      <c r="B162" s="123"/>
      <c r="C162" s="124"/>
      <c r="D162" s="122"/>
      <c r="E162" s="120"/>
      <c r="F162" s="122"/>
      <c r="G162" s="122"/>
      <c r="H162" s="122"/>
      <c r="I162" s="120"/>
      <c r="J162" s="120"/>
      <c r="K162" s="120"/>
      <c r="L162" s="120"/>
      <c r="M162" s="121"/>
      <c r="N162" s="121"/>
      <c r="O162" s="121"/>
      <c r="P162" s="121"/>
      <c r="Q162" s="121"/>
      <c r="R162" s="121"/>
      <c r="S162" s="121"/>
      <c r="T162" s="121"/>
      <c r="U162" s="121"/>
    </row>
    <row r="163">
      <c r="A163" s="120"/>
      <c r="B163" s="123"/>
      <c r="C163" s="124"/>
      <c r="D163" s="122"/>
      <c r="E163" s="120"/>
      <c r="F163" s="122"/>
      <c r="G163" s="122"/>
      <c r="H163" s="122"/>
      <c r="I163" s="120"/>
      <c r="J163" s="120"/>
      <c r="K163" s="120"/>
      <c r="L163" s="120"/>
      <c r="M163" s="121"/>
      <c r="N163" s="121"/>
      <c r="O163" s="121"/>
      <c r="P163" s="121"/>
      <c r="Q163" s="121"/>
      <c r="R163" s="121"/>
      <c r="S163" s="121"/>
      <c r="T163" s="121"/>
      <c r="U163" s="121"/>
    </row>
    <row r="164">
      <c r="A164" s="120"/>
      <c r="B164" s="123"/>
      <c r="C164" s="124"/>
      <c r="D164" s="122"/>
      <c r="E164" s="120"/>
      <c r="F164" s="122"/>
      <c r="G164" s="122"/>
      <c r="H164" s="122"/>
      <c r="I164" s="120"/>
      <c r="J164" s="120"/>
      <c r="K164" s="120"/>
      <c r="L164" s="120"/>
      <c r="M164" s="121"/>
      <c r="N164" s="121"/>
      <c r="O164" s="121"/>
      <c r="P164" s="121"/>
      <c r="Q164" s="121"/>
      <c r="R164" s="121"/>
      <c r="S164" s="121"/>
      <c r="T164" s="121"/>
      <c r="U164" s="121"/>
    </row>
    <row r="165">
      <c r="A165" s="120"/>
      <c r="B165" s="123"/>
      <c r="C165" s="124"/>
      <c r="D165" s="122"/>
      <c r="E165" s="120"/>
      <c r="F165" s="122"/>
      <c r="G165" s="122"/>
      <c r="H165" s="122"/>
      <c r="I165" s="120"/>
      <c r="J165" s="120"/>
      <c r="K165" s="120"/>
      <c r="L165" s="120"/>
      <c r="M165" s="121"/>
      <c r="N165" s="121"/>
      <c r="O165" s="121"/>
      <c r="P165" s="121"/>
      <c r="Q165" s="121"/>
      <c r="R165" s="121"/>
      <c r="S165" s="121"/>
      <c r="T165" s="121"/>
      <c r="U165" s="121"/>
    </row>
    <row r="166">
      <c r="A166" s="120"/>
      <c r="B166" s="123"/>
      <c r="C166" s="124"/>
      <c r="D166" s="122"/>
      <c r="E166" s="120"/>
      <c r="F166" s="122"/>
      <c r="G166" s="122"/>
      <c r="H166" s="122"/>
      <c r="I166" s="120"/>
      <c r="J166" s="120"/>
      <c r="K166" s="120"/>
      <c r="L166" s="120"/>
      <c r="M166" s="121"/>
      <c r="N166" s="121"/>
      <c r="O166" s="121"/>
      <c r="P166" s="121"/>
      <c r="Q166" s="121"/>
      <c r="R166" s="121"/>
      <c r="S166" s="121"/>
      <c r="T166" s="121"/>
      <c r="U166" s="121"/>
    </row>
    <row r="167">
      <c r="A167" s="120"/>
      <c r="B167" s="123"/>
      <c r="C167" s="124"/>
      <c r="D167" s="122"/>
      <c r="E167" s="120"/>
      <c r="F167" s="122"/>
      <c r="G167" s="122"/>
      <c r="H167" s="122"/>
      <c r="I167" s="120"/>
      <c r="J167" s="120"/>
      <c r="K167" s="120"/>
      <c r="L167" s="120"/>
      <c r="M167" s="121"/>
      <c r="N167" s="121"/>
      <c r="O167" s="121"/>
      <c r="P167" s="121"/>
      <c r="Q167" s="121"/>
      <c r="R167" s="121"/>
      <c r="S167" s="121"/>
      <c r="T167" s="121"/>
      <c r="U167" s="121"/>
    </row>
    <row r="168">
      <c r="A168" s="120"/>
      <c r="B168" s="123"/>
      <c r="C168" s="124"/>
      <c r="D168" s="122"/>
      <c r="E168" s="120"/>
      <c r="F168" s="122"/>
      <c r="G168" s="122"/>
      <c r="H168" s="122"/>
      <c r="I168" s="120"/>
      <c r="J168" s="120"/>
      <c r="K168" s="120"/>
      <c r="L168" s="120"/>
      <c r="M168" s="121"/>
      <c r="N168" s="121"/>
      <c r="O168" s="121"/>
      <c r="P168" s="121"/>
      <c r="Q168" s="121"/>
      <c r="R168" s="121"/>
      <c r="S168" s="121"/>
      <c r="T168" s="121"/>
      <c r="U168" s="121"/>
    </row>
    <row r="169">
      <c r="A169" s="120"/>
      <c r="B169" s="123"/>
      <c r="C169" s="124"/>
      <c r="D169" s="122"/>
      <c r="E169" s="120"/>
      <c r="F169" s="122"/>
      <c r="G169" s="122"/>
      <c r="H169" s="122"/>
      <c r="I169" s="120"/>
      <c r="J169" s="120"/>
      <c r="K169" s="120"/>
      <c r="L169" s="120"/>
      <c r="M169" s="121"/>
      <c r="N169" s="121"/>
      <c r="O169" s="121"/>
      <c r="P169" s="121"/>
      <c r="Q169" s="121"/>
      <c r="R169" s="121"/>
      <c r="S169" s="121"/>
      <c r="T169" s="121"/>
      <c r="U169" s="121"/>
    </row>
    <row r="170">
      <c r="A170" s="120"/>
      <c r="B170" s="123"/>
      <c r="C170" s="124"/>
      <c r="D170" s="122"/>
      <c r="E170" s="120"/>
      <c r="F170" s="122"/>
      <c r="G170" s="122"/>
      <c r="H170" s="122"/>
      <c r="I170" s="120"/>
      <c r="J170" s="120"/>
      <c r="K170" s="120"/>
      <c r="L170" s="120"/>
      <c r="M170" s="121"/>
      <c r="N170" s="121"/>
      <c r="O170" s="121"/>
      <c r="P170" s="121"/>
      <c r="Q170" s="121"/>
      <c r="R170" s="121"/>
      <c r="S170" s="121"/>
      <c r="T170" s="121"/>
      <c r="U170" s="121"/>
    </row>
    <row r="171">
      <c r="A171" s="120"/>
      <c r="B171" s="123"/>
      <c r="C171" s="124"/>
      <c r="D171" s="122"/>
      <c r="E171" s="120"/>
      <c r="F171" s="122"/>
      <c r="G171" s="122"/>
      <c r="H171" s="122"/>
      <c r="I171" s="120"/>
      <c r="J171" s="120"/>
      <c r="K171" s="120"/>
      <c r="L171" s="120"/>
      <c r="M171" s="121"/>
      <c r="N171" s="121"/>
      <c r="O171" s="121"/>
      <c r="P171" s="121"/>
      <c r="Q171" s="121"/>
      <c r="R171" s="121"/>
      <c r="S171" s="121"/>
      <c r="T171" s="121"/>
      <c r="U171" s="121"/>
    </row>
    <row r="172">
      <c r="A172" s="120"/>
      <c r="B172" s="123"/>
      <c r="C172" s="124"/>
      <c r="D172" s="125"/>
      <c r="E172" s="120"/>
      <c r="F172" s="125"/>
      <c r="G172" s="125"/>
      <c r="H172" s="125"/>
      <c r="I172" s="120"/>
      <c r="J172" s="120"/>
      <c r="K172" s="120"/>
      <c r="L172" s="120"/>
      <c r="M172" s="121"/>
      <c r="N172" s="121"/>
      <c r="O172" s="121"/>
      <c r="P172" s="121"/>
      <c r="Q172" s="121"/>
      <c r="R172" s="121"/>
      <c r="S172" s="121"/>
      <c r="T172" s="121"/>
      <c r="U172" s="121"/>
    </row>
    <row r="173">
      <c r="A173" s="120"/>
      <c r="B173" s="123"/>
      <c r="C173" s="124"/>
      <c r="D173" s="125"/>
      <c r="E173" s="120"/>
      <c r="F173" s="125"/>
      <c r="G173" s="125"/>
      <c r="H173" s="125"/>
      <c r="I173" s="120"/>
      <c r="J173" s="120"/>
      <c r="K173" s="120"/>
      <c r="L173" s="120"/>
      <c r="M173" s="121"/>
      <c r="N173" s="121"/>
      <c r="O173" s="121"/>
      <c r="P173" s="121"/>
      <c r="Q173" s="121"/>
      <c r="R173" s="121"/>
      <c r="S173" s="121"/>
      <c r="T173" s="121"/>
      <c r="U173" s="121"/>
    </row>
    <row r="174">
      <c r="A174" s="120"/>
      <c r="B174" s="123"/>
      <c r="C174" s="124"/>
      <c r="D174" s="125"/>
      <c r="E174" s="120"/>
      <c r="F174" s="125"/>
      <c r="G174" s="125"/>
      <c r="H174" s="125"/>
      <c r="I174" s="120"/>
      <c r="J174" s="120"/>
      <c r="K174" s="120"/>
      <c r="L174" s="120"/>
      <c r="M174" s="121"/>
      <c r="N174" s="121"/>
      <c r="O174" s="121"/>
      <c r="P174" s="121"/>
      <c r="Q174" s="121"/>
      <c r="R174" s="121"/>
      <c r="S174" s="121"/>
      <c r="T174" s="121"/>
      <c r="U174" s="121"/>
    </row>
    <row r="175">
      <c r="A175" s="120"/>
      <c r="B175" s="123"/>
      <c r="C175" s="124"/>
      <c r="D175" s="125"/>
      <c r="E175" s="120"/>
      <c r="F175" s="125"/>
      <c r="G175" s="125"/>
      <c r="H175" s="125"/>
      <c r="I175" s="120"/>
      <c r="J175" s="120"/>
      <c r="K175" s="120"/>
      <c r="L175" s="120"/>
      <c r="M175" s="121"/>
      <c r="N175" s="121"/>
      <c r="O175" s="121"/>
      <c r="P175" s="121"/>
      <c r="Q175" s="121"/>
      <c r="R175" s="121"/>
      <c r="S175" s="121"/>
      <c r="T175" s="121"/>
      <c r="U175" s="121"/>
    </row>
    <row r="176">
      <c r="A176" s="120"/>
      <c r="B176" s="123"/>
      <c r="C176" s="124"/>
      <c r="D176" s="125"/>
      <c r="E176" s="120"/>
      <c r="F176" s="125"/>
      <c r="G176" s="125"/>
      <c r="H176" s="125"/>
      <c r="I176" s="120"/>
      <c r="J176" s="120"/>
      <c r="K176" s="120"/>
      <c r="L176" s="120"/>
      <c r="M176" s="121"/>
      <c r="N176" s="121"/>
      <c r="O176" s="121"/>
      <c r="P176" s="121"/>
      <c r="Q176" s="121"/>
      <c r="R176" s="121"/>
      <c r="S176" s="121"/>
      <c r="T176" s="121"/>
      <c r="U176" s="121"/>
    </row>
    <row r="177">
      <c r="A177" s="120"/>
      <c r="B177" s="123"/>
      <c r="C177" s="124"/>
      <c r="D177" s="125"/>
      <c r="E177" s="120"/>
      <c r="F177" s="125"/>
      <c r="G177" s="125"/>
      <c r="H177" s="125"/>
      <c r="I177" s="120"/>
      <c r="J177" s="120"/>
      <c r="K177" s="120"/>
      <c r="L177" s="120"/>
      <c r="M177" s="121"/>
      <c r="N177" s="121"/>
      <c r="O177" s="121"/>
      <c r="P177" s="121"/>
      <c r="Q177" s="121"/>
      <c r="R177" s="121"/>
      <c r="S177" s="121"/>
      <c r="T177" s="121"/>
      <c r="U177" s="121"/>
    </row>
    <row r="178">
      <c r="A178" s="120"/>
      <c r="B178" s="123"/>
      <c r="C178" s="124"/>
      <c r="D178" s="125"/>
      <c r="E178" s="120"/>
      <c r="F178" s="125"/>
      <c r="G178" s="125"/>
      <c r="H178" s="125"/>
      <c r="I178" s="120"/>
      <c r="J178" s="120"/>
      <c r="K178" s="120"/>
      <c r="L178" s="120"/>
      <c r="M178" s="121"/>
      <c r="N178" s="121"/>
      <c r="O178" s="121"/>
      <c r="P178" s="121"/>
      <c r="Q178" s="121"/>
      <c r="R178" s="121"/>
      <c r="S178" s="121"/>
      <c r="T178" s="121"/>
      <c r="U178" s="121"/>
    </row>
    <row r="179">
      <c r="A179" s="120"/>
      <c r="B179" s="123"/>
      <c r="C179" s="124"/>
      <c r="D179" s="125"/>
      <c r="E179" s="120"/>
      <c r="F179" s="125"/>
      <c r="G179" s="125"/>
      <c r="H179" s="125"/>
      <c r="I179" s="120"/>
      <c r="J179" s="120"/>
      <c r="K179" s="120"/>
      <c r="L179" s="120"/>
      <c r="M179" s="121"/>
      <c r="N179" s="121"/>
      <c r="O179" s="121"/>
      <c r="P179" s="121"/>
      <c r="Q179" s="121"/>
      <c r="R179" s="121"/>
      <c r="S179" s="121"/>
      <c r="T179" s="121"/>
      <c r="U179" s="121"/>
    </row>
    <row r="180">
      <c r="A180" s="120"/>
      <c r="B180" s="123"/>
      <c r="C180" s="124"/>
      <c r="D180" s="125"/>
      <c r="E180" s="120"/>
      <c r="F180" s="125"/>
      <c r="G180" s="125"/>
      <c r="H180" s="125"/>
      <c r="I180" s="120"/>
      <c r="J180" s="120"/>
      <c r="K180" s="120"/>
      <c r="L180" s="120"/>
      <c r="M180" s="121"/>
      <c r="N180" s="121"/>
      <c r="O180" s="121"/>
      <c r="P180" s="121"/>
      <c r="Q180" s="121"/>
      <c r="R180" s="121"/>
      <c r="S180" s="121"/>
      <c r="T180" s="121"/>
      <c r="U180" s="121"/>
    </row>
    <row r="181">
      <c r="A181" s="120"/>
      <c r="B181" s="123"/>
      <c r="C181" s="124"/>
      <c r="D181" s="125"/>
      <c r="E181" s="120"/>
      <c r="F181" s="125"/>
      <c r="G181" s="125"/>
      <c r="H181" s="125"/>
      <c r="I181" s="120"/>
      <c r="J181" s="120"/>
      <c r="K181" s="120"/>
      <c r="L181" s="120"/>
      <c r="M181" s="121"/>
      <c r="N181" s="121"/>
      <c r="O181" s="121"/>
      <c r="P181" s="121"/>
      <c r="Q181" s="121"/>
      <c r="R181" s="121"/>
      <c r="S181" s="121"/>
      <c r="T181" s="121"/>
      <c r="U181" s="121"/>
    </row>
    <row r="182">
      <c r="A182" s="120"/>
      <c r="B182" s="123"/>
      <c r="C182" s="124"/>
      <c r="D182" s="125"/>
      <c r="E182" s="120"/>
      <c r="F182" s="125"/>
      <c r="G182" s="125"/>
      <c r="H182" s="125"/>
      <c r="I182" s="120"/>
      <c r="J182" s="120"/>
      <c r="K182" s="120"/>
      <c r="L182" s="120"/>
      <c r="M182" s="121"/>
      <c r="N182" s="121"/>
      <c r="O182" s="121"/>
      <c r="P182" s="121"/>
      <c r="Q182" s="121"/>
      <c r="R182" s="121"/>
      <c r="S182" s="121"/>
      <c r="T182" s="121"/>
      <c r="U182" s="121"/>
    </row>
    <row r="183">
      <c r="A183" s="120"/>
      <c r="B183" s="123"/>
      <c r="C183" s="124"/>
      <c r="D183" s="125"/>
      <c r="E183" s="120"/>
      <c r="F183" s="125"/>
      <c r="G183" s="125"/>
      <c r="H183" s="125"/>
      <c r="I183" s="120"/>
      <c r="J183" s="120"/>
      <c r="K183" s="120"/>
      <c r="L183" s="120"/>
      <c r="M183" s="121"/>
      <c r="N183" s="121"/>
      <c r="O183" s="121"/>
      <c r="P183" s="121"/>
      <c r="Q183" s="121"/>
      <c r="R183" s="121"/>
      <c r="S183" s="121"/>
      <c r="T183" s="121"/>
      <c r="U183" s="121"/>
    </row>
    <row r="184">
      <c r="A184" s="120"/>
      <c r="B184" s="123"/>
      <c r="C184" s="124"/>
      <c r="D184" s="125"/>
      <c r="E184" s="120"/>
      <c r="F184" s="125"/>
      <c r="G184" s="125"/>
      <c r="H184" s="125"/>
      <c r="I184" s="120"/>
      <c r="J184" s="120"/>
      <c r="K184" s="120"/>
      <c r="L184" s="120"/>
      <c r="M184" s="121"/>
      <c r="N184" s="121"/>
      <c r="O184" s="121"/>
      <c r="P184" s="121"/>
      <c r="Q184" s="121"/>
      <c r="R184" s="121"/>
      <c r="S184" s="121"/>
      <c r="T184" s="121"/>
      <c r="U184" s="121"/>
    </row>
    <row r="185">
      <c r="A185" s="120"/>
      <c r="B185" s="123"/>
      <c r="C185" s="124"/>
      <c r="D185" s="125"/>
      <c r="E185" s="120"/>
      <c r="F185" s="125"/>
      <c r="G185" s="125"/>
      <c r="H185" s="125"/>
      <c r="I185" s="120"/>
      <c r="J185" s="120"/>
      <c r="K185" s="120"/>
      <c r="L185" s="120"/>
      <c r="M185" s="121"/>
      <c r="N185" s="121"/>
      <c r="O185" s="121"/>
      <c r="P185" s="121"/>
      <c r="Q185" s="121"/>
      <c r="R185" s="121"/>
      <c r="S185" s="121"/>
      <c r="T185" s="121"/>
      <c r="U185" s="121"/>
    </row>
    <row r="186">
      <c r="A186" s="120"/>
      <c r="B186" s="123"/>
      <c r="C186" s="124"/>
      <c r="D186" s="125"/>
      <c r="E186" s="120"/>
      <c r="F186" s="125"/>
      <c r="G186" s="125"/>
      <c r="H186" s="125"/>
      <c r="I186" s="120"/>
      <c r="J186" s="120"/>
      <c r="K186" s="120"/>
      <c r="L186" s="120"/>
      <c r="M186" s="121"/>
      <c r="N186" s="121"/>
      <c r="O186" s="121"/>
      <c r="P186" s="121"/>
      <c r="Q186" s="121"/>
      <c r="R186" s="121"/>
      <c r="S186" s="121"/>
      <c r="T186" s="121"/>
      <c r="U186" s="121"/>
    </row>
    <row r="187">
      <c r="A187" s="120"/>
      <c r="B187" s="123"/>
      <c r="C187" s="124"/>
      <c r="D187" s="125"/>
      <c r="E187" s="120"/>
      <c r="F187" s="125"/>
      <c r="G187" s="125"/>
      <c r="H187" s="125"/>
      <c r="I187" s="120"/>
      <c r="J187" s="120"/>
      <c r="K187" s="120"/>
      <c r="L187" s="120"/>
      <c r="M187" s="121"/>
      <c r="N187" s="121"/>
      <c r="O187" s="121"/>
      <c r="P187" s="121"/>
      <c r="Q187" s="121"/>
      <c r="R187" s="121"/>
      <c r="S187" s="121"/>
      <c r="T187" s="121"/>
      <c r="U187" s="121"/>
    </row>
    <row r="188">
      <c r="A188" s="120"/>
      <c r="B188" s="123"/>
      <c r="C188" s="124"/>
      <c r="D188" s="125"/>
      <c r="E188" s="120"/>
      <c r="F188" s="125"/>
      <c r="G188" s="125"/>
      <c r="H188" s="125"/>
      <c r="I188" s="120"/>
      <c r="J188" s="120"/>
      <c r="K188" s="120"/>
      <c r="L188" s="120"/>
      <c r="M188" s="121"/>
      <c r="N188" s="121"/>
      <c r="O188" s="121"/>
      <c r="P188" s="121"/>
      <c r="Q188" s="121"/>
      <c r="R188" s="121"/>
      <c r="S188" s="121"/>
      <c r="T188" s="121"/>
      <c r="U188" s="121"/>
    </row>
    <row r="189">
      <c r="A189" s="120"/>
      <c r="B189" s="123"/>
      <c r="C189" s="124"/>
      <c r="D189" s="125"/>
      <c r="E189" s="120"/>
      <c r="F189" s="125"/>
      <c r="G189" s="125"/>
      <c r="H189" s="125"/>
      <c r="I189" s="120"/>
      <c r="J189" s="120"/>
      <c r="K189" s="120"/>
      <c r="L189" s="120"/>
      <c r="M189" s="121"/>
      <c r="N189" s="121"/>
      <c r="O189" s="121"/>
      <c r="P189" s="121"/>
      <c r="Q189" s="121"/>
      <c r="R189" s="121"/>
      <c r="S189" s="121"/>
      <c r="T189" s="121"/>
      <c r="U189" s="121"/>
    </row>
    <row r="190">
      <c r="A190" s="120"/>
      <c r="B190" s="123"/>
      <c r="C190" s="124"/>
      <c r="D190" s="125"/>
      <c r="E190" s="120"/>
      <c r="F190" s="125"/>
      <c r="G190" s="125"/>
      <c r="H190" s="125"/>
      <c r="I190" s="120"/>
      <c r="J190" s="120"/>
      <c r="K190" s="120"/>
      <c r="L190" s="120"/>
      <c r="M190" s="121"/>
      <c r="N190" s="121"/>
      <c r="O190" s="121"/>
      <c r="P190" s="121"/>
      <c r="Q190" s="121"/>
      <c r="R190" s="121"/>
      <c r="S190" s="121"/>
      <c r="T190" s="121"/>
      <c r="U190" s="121"/>
    </row>
    <row r="191">
      <c r="A191" s="120"/>
      <c r="B191" s="123"/>
      <c r="C191" s="124"/>
      <c r="D191" s="125"/>
      <c r="E191" s="120"/>
      <c r="F191" s="125"/>
      <c r="G191" s="125"/>
      <c r="H191" s="125"/>
      <c r="I191" s="120"/>
      <c r="J191" s="120"/>
      <c r="K191" s="120"/>
      <c r="L191" s="120"/>
      <c r="M191" s="121"/>
      <c r="N191" s="121"/>
      <c r="O191" s="121"/>
      <c r="P191" s="121"/>
      <c r="Q191" s="121"/>
      <c r="R191" s="121"/>
      <c r="S191" s="121"/>
      <c r="T191" s="121"/>
      <c r="U191" s="121"/>
    </row>
    <row r="192">
      <c r="A192" s="120"/>
      <c r="B192" s="123"/>
      <c r="C192" s="124"/>
      <c r="D192" s="125"/>
      <c r="E192" s="120"/>
      <c r="F192" s="125"/>
      <c r="G192" s="125"/>
      <c r="H192" s="125"/>
      <c r="I192" s="120"/>
      <c r="J192" s="120"/>
      <c r="K192" s="120"/>
      <c r="L192" s="120"/>
      <c r="M192" s="121"/>
      <c r="N192" s="121"/>
      <c r="O192" s="121"/>
      <c r="P192" s="121"/>
      <c r="Q192" s="121"/>
      <c r="R192" s="121"/>
      <c r="S192" s="121"/>
      <c r="T192" s="121"/>
      <c r="U192" s="121"/>
    </row>
    <row r="193">
      <c r="A193" s="120"/>
      <c r="B193" s="123"/>
      <c r="C193" s="124"/>
      <c r="D193" s="125"/>
      <c r="E193" s="120"/>
      <c r="F193" s="125"/>
      <c r="G193" s="125"/>
      <c r="H193" s="125"/>
      <c r="I193" s="120"/>
      <c r="J193" s="120"/>
      <c r="K193" s="120"/>
      <c r="L193" s="120"/>
      <c r="M193" s="121"/>
      <c r="N193" s="121"/>
      <c r="O193" s="121"/>
      <c r="P193" s="121"/>
      <c r="Q193" s="121"/>
      <c r="R193" s="121"/>
      <c r="S193" s="121"/>
      <c r="T193" s="121"/>
      <c r="U193" s="121"/>
    </row>
    <row r="194">
      <c r="A194" s="120"/>
      <c r="B194" s="123"/>
      <c r="C194" s="124"/>
      <c r="D194" s="125"/>
      <c r="E194" s="120"/>
      <c r="F194" s="125"/>
      <c r="G194" s="125"/>
      <c r="H194" s="125"/>
      <c r="I194" s="120"/>
      <c r="J194" s="120"/>
      <c r="K194" s="120"/>
      <c r="L194" s="120"/>
      <c r="M194" s="121"/>
      <c r="N194" s="121"/>
      <c r="O194" s="121"/>
      <c r="P194" s="121"/>
      <c r="Q194" s="121"/>
      <c r="R194" s="121"/>
      <c r="S194" s="121"/>
      <c r="T194" s="121"/>
      <c r="U194" s="121"/>
    </row>
    <row r="195">
      <c r="A195" s="120"/>
      <c r="B195" s="123"/>
      <c r="C195" s="124"/>
      <c r="D195" s="125"/>
      <c r="E195" s="120"/>
      <c r="F195" s="125"/>
      <c r="G195" s="125"/>
      <c r="H195" s="125"/>
      <c r="I195" s="120"/>
      <c r="J195" s="120"/>
      <c r="K195" s="120"/>
      <c r="L195" s="120"/>
      <c r="M195" s="121"/>
      <c r="N195" s="121"/>
      <c r="O195" s="121"/>
      <c r="P195" s="121"/>
      <c r="Q195" s="121"/>
      <c r="R195" s="121"/>
      <c r="S195" s="121"/>
      <c r="T195" s="121"/>
      <c r="U195" s="121"/>
    </row>
    <row r="196">
      <c r="A196" s="120"/>
      <c r="B196" s="123"/>
      <c r="C196" s="124"/>
      <c r="D196" s="125"/>
      <c r="E196" s="120"/>
      <c r="F196" s="125"/>
      <c r="G196" s="125"/>
      <c r="H196" s="125"/>
      <c r="I196" s="120"/>
      <c r="J196" s="120"/>
      <c r="K196" s="120"/>
      <c r="L196" s="120"/>
      <c r="M196" s="121"/>
      <c r="N196" s="121"/>
      <c r="O196" s="121"/>
      <c r="P196" s="121"/>
      <c r="Q196" s="121"/>
      <c r="R196" s="121"/>
      <c r="S196" s="121"/>
      <c r="T196" s="121"/>
      <c r="U196" s="121"/>
    </row>
    <row r="197">
      <c r="A197" s="120"/>
      <c r="B197" s="123"/>
      <c r="C197" s="124"/>
      <c r="D197" s="125"/>
      <c r="E197" s="120"/>
      <c r="F197" s="125"/>
      <c r="G197" s="125"/>
      <c r="H197" s="125"/>
      <c r="I197" s="120"/>
      <c r="J197" s="120"/>
      <c r="K197" s="120"/>
      <c r="L197" s="120"/>
      <c r="M197" s="121"/>
      <c r="N197" s="121"/>
      <c r="O197" s="121"/>
      <c r="P197" s="121"/>
      <c r="Q197" s="121"/>
      <c r="R197" s="121"/>
      <c r="S197" s="121"/>
      <c r="T197" s="121"/>
      <c r="U197" s="121"/>
    </row>
    <row r="198">
      <c r="A198" s="120"/>
      <c r="B198" s="123"/>
      <c r="C198" s="124"/>
      <c r="D198" s="125"/>
      <c r="E198" s="120"/>
      <c r="F198" s="125"/>
      <c r="G198" s="125"/>
      <c r="H198" s="125"/>
      <c r="I198" s="120"/>
      <c r="J198" s="120"/>
      <c r="K198" s="120"/>
      <c r="L198" s="120"/>
      <c r="M198" s="121"/>
      <c r="N198" s="121"/>
      <c r="O198" s="121"/>
      <c r="P198" s="121"/>
      <c r="Q198" s="121"/>
      <c r="R198" s="121"/>
      <c r="S198" s="121"/>
      <c r="T198" s="121"/>
      <c r="U198" s="121"/>
    </row>
    <row r="199">
      <c r="A199" s="120"/>
      <c r="B199" s="123"/>
      <c r="C199" s="124"/>
      <c r="D199" s="125"/>
      <c r="E199" s="120"/>
      <c r="F199" s="125"/>
      <c r="G199" s="125"/>
      <c r="H199" s="125"/>
      <c r="I199" s="120"/>
      <c r="J199" s="120"/>
      <c r="K199" s="120"/>
      <c r="L199" s="120"/>
      <c r="M199" s="121"/>
      <c r="N199" s="121"/>
      <c r="O199" s="121"/>
      <c r="P199" s="121"/>
      <c r="Q199" s="121"/>
      <c r="R199" s="121"/>
      <c r="S199" s="121"/>
      <c r="T199" s="121"/>
      <c r="U199" s="121"/>
    </row>
    <row r="200">
      <c r="A200" s="120"/>
      <c r="B200" s="123"/>
      <c r="C200" s="124"/>
      <c r="D200" s="125"/>
      <c r="E200" s="120"/>
      <c r="F200" s="125"/>
      <c r="G200" s="125"/>
      <c r="H200" s="125"/>
      <c r="I200" s="120"/>
      <c r="J200" s="120"/>
      <c r="K200" s="120"/>
      <c r="L200" s="120"/>
      <c r="M200" s="121"/>
      <c r="N200" s="121"/>
      <c r="O200" s="121"/>
      <c r="P200" s="121"/>
      <c r="Q200" s="121"/>
      <c r="R200" s="121"/>
      <c r="S200" s="121"/>
      <c r="T200" s="121"/>
      <c r="U200" s="121"/>
    </row>
    <row r="201">
      <c r="A201" s="120"/>
      <c r="B201" s="123"/>
      <c r="C201" s="124"/>
      <c r="D201" s="125"/>
      <c r="E201" s="120"/>
      <c r="F201" s="125"/>
      <c r="G201" s="125"/>
      <c r="H201" s="125"/>
      <c r="I201" s="120"/>
      <c r="J201" s="120"/>
      <c r="K201" s="120"/>
      <c r="L201" s="120"/>
      <c r="M201" s="121"/>
      <c r="N201" s="121"/>
      <c r="O201" s="121"/>
      <c r="P201" s="121"/>
      <c r="Q201" s="121"/>
      <c r="R201" s="121"/>
      <c r="S201" s="121"/>
      <c r="T201" s="121"/>
      <c r="U201" s="121"/>
    </row>
    <row r="202">
      <c r="A202" s="120"/>
      <c r="B202" s="123"/>
      <c r="C202" s="124"/>
      <c r="D202" s="125"/>
      <c r="E202" s="120"/>
      <c r="F202" s="125"/>
      <c r="G202" s="125"/>
      <c r="H202" s="125"/>
      <c r="I202" s="120"/>
      <c r="J202" s="120"/>
      <c r="K202" s="120"/>
      <c r="L202" s="120"/>
      <c r="M202" s="121"/>
      <c r="N202" s="121"/>
      <c r="O202" s="121"/>
      <c r="P202" s="121"/>
      <c r="Q202" s="121"/>
      <c r="R202" s="121"/>
      <c r="S202" s="121"/>
      <c r="T202" s="121"/>
      <c r="U202" s="121"/>
    </row>
    <row r="203">
      <c r="A203" s="120"/>
      <c r="B203" s="123"/>
      <c r="C203" s="124"/>
      <c r="D203" s="125"/>
      <c r="E203" s="120"/>
      <c r="F203" s="125"/>
      <c r="G203" s="125"/>
      <c r="H203" s="125"/>
      <c r="I203" s="120"/>
      <c r="J203" s="120"/>
      <c r="K203" s="120"/>
      <c r="L203" s="120"/>
      <c r="M203" s="121"/>
      <c r="N203" s="121"/>
      <c r="O203" s="121"/>
      <c r="P203" s="121"/>
      <c r="Q203" s="121"/>
      <c r="R203" s="121"/>
      <c r="S203" s="121"/>
      <c r="T203" s="121"/>
      <c r="U203" s="121"/>
    </row>
    <row r="204">
      <c r="A204" s="120"/>
      <c r="B204" s="123"/>
      <c r="C204" s="124"/>
      <c r="D204" s="125"/>
      <c r="E204" s="120"/>
      <c r="F204" s="125"/>
      <c r="G204" s="125"/>
      <c r="H204" s="125"/>
      <c r="I204" s="120"/>
      <c r="J204" s="120"/>
      <c r="K204" s="120"/>
      <c r="L204" s="120"/>
      <c r="M204" s="121"/>
      <c r="N204" s="121"/>
      <c r="O204" s="121"/>
      <c r="P204" s="121"/>
      <c r="Q204" s="121"/>
      <c r="R204" s="121"/>
      <c r="S204" s="121"/>
      <c r="T204" s="121"/>
      <c r="U204" s="121"/>
    </row>
    <row r="205">
      <c r="A205" s="120"/>
      <c r="B205" s="123"/>
      <c r="C205" s="124"/>
      <c r="D205" s="125"/>
      <c r="E205" s="120"/>
      <c r="F205" s="125"/>
      <c r="G205" s="125"/>
      <c r="H205" s="125"/>
      <c r="I205" s="120"/>
      <c r="J205" s="120"/>
      <c r="K205" s="120"/>
      <c r="L205" s="120"/>
      <c r="M205" s="121"/>
      <c r="N205" s="121"/>
      <c r="O205" s="121"/>
      <c r="P205" s="121"/>
      <c r="Q205" s="121"/>
      <c r="R205" s="121"/>
      <c r="S205" s="121"/>
      <c r="T205" s="121"/>
      <c r="U205" s="121"/>
    </row>
    <row r="206">
      <c r="A206" s="120"/>
      <c r="B206" s="123"/>
      <c r="C206" s="124"/>
      <c r="D206" s="125"/>
      <c r="E206" s="120"/>
      <c r="F206" s="125"/>
      <c r="G206" s="125"/>
      <c r="H206" s="125"/>
      <c r="I206" s="120"/>
      <c r="J206" s="120"/>
      <c r="K206" s="120"/>
      <c r="L206" s="120"/>
      <c r="M206" s="121"/>
      <c r="N206" s="121"/>
      <c r="O206" s="121"/>
      <c r="P206" s="121"/>
      <c r="Q206" s="121"/>
      <c r="R206" s="121"/>
      <c r="S206" s="121"/>
      <c r="T206" s="121"/>
      <c r="U206" s="121"/>
    </row>
    <row r="207">
      <c r="A207" s="120"/>
      <c r="B207" s="123"/>
      <c r="C207" s="124"/>
      <c r="D207" s="125"/>
      <c r="E207" s="120"/>
      <c r="F207" s="125"/>
      <c r="G207" s="125"/>
      <c r="H207" s="125"/>
      <c r="I207" s="120"/>
      <c r="J207" s="120"/>
      <c r="K207" s="120"/>
      <c r="L207" s="120"/>
      <c r="M207" s="121"/>
      <c r="N207" s="121"/>
      <c r="O207" s="121"/>
      <c r="P207" s="121"/>
      <c r="Q207" s="121"/>
      <c r="R207" s="121"/>
      <c r="S207" s="121"/>
      <c r="T207" s="121"/>
      <c r="U207" s="121"/>
    </row>
    <row r="208">
      <c r="A208" s="120"/>
      <c r="B208" s="123"/>
      <c r="C208" s="124"/>
      <c r="D208" s="125"/>
      <c r="E208" s="120"/>
      <c r="F208" s="125"/>
      <c r="G208" s="125"/>
      <c r="H208" s="125"/>
      <c r="I208" s="120"/>
      <c r="J208" s="120"/>
      <c r="K208" s="120"/>
      <c r="L208" s="120"/>
      <c r="M208" s="121"/>
      <c r="N208" s="121"/>
      <c r="O208" s="121"/>
      <c r="P208" s="121"/>
      <c r="Q208" s="121"/>
      <c r="R208" s="121"/>
      <c r="S208" s="121"/>
      <c r="T208" s="121"/>
      <c r="U208" s="121"/>
    </row>
    <row r="209">
      <c r="A209" s="120"/>
      <c r="B209" s="123"/>
      <c r="C209" s="124"/>
      <c r="D209" s="125"/>
      <c r="E209" s="120"/>
      <c r="F209" s="125"/>
      <c r="G209" s="125"/>
      <c r="H209" s="125"/>
      <c r="I209" s="120"/>
      <c r="J209" s="120"/>
      <c r="K209" s="120"/>
      <c r="L209" s="120"/>
      <c r="M209" s="121"/>
      <c r="N209" s="121"/>
      <c r="O209" s="121"/>
      <c r="P209" s="121"/>
      <c r="Q209" s="121"/>
      <c r="R209" s="121"/>
      <c r="S209" s="121"/>
      <c r="T209" s="121"/>
      <c r="U209" s="121"/>
    </row>
    <row r="210">
      <c r="A210" s="120"/>
      <c r="B210" s="123"/>
      <c r="C210" s="124"/>
      <c r="D210" s="125"/>
      <c r="E210" s="120"/>
      <c r="F210" s="125"/>
      <c r="G210" s="125"/>
      <c r="H210" s="125"/>
      <c r="I210" s="120"/>
      <c r="J210" s="120"/>
      <c r="K210" s="120"/>
      <c r="L210" s="120"/>
      <c r="M210" s="121"/>
      <c r="N210" s="121"/>
      <c r="O210" s="121"/>
      <c r="P210" s="121"/>
      <c r="Q210" s="121"/>
      <c r="R210" s="121"/>
      <c r="S210" s="121"/>
      <c r="T210" s="121"/>
      <c r="U210" s="121"/>
    </row>
    <row r="211">
      <c r="A211" s="120"/>
      <c r="B211" s="123"/>
      <c r="C211" s="124"/>
      <c r="D211" s="125"/>
      <c r="E211" s="120"/>
      <c r="F211" s="125"/>
      <c r="G211" s="125"/>
      <c r="H211" s="125"/>
      <c r="I211" s="120"/>
      <c r="J211" s="120"/>
      <c r="K211" s="120"/>
      <c r="L211" s="120"/>
      <c r="M211" s="121"/>
      <c r="N211" s="121"/>
      <c r="O211" s="121"/>
      <c r="P211" s="121"/>
      <c r="Q211" s="121"/>
      <c r="R211" s="121"/>
      <c r="S211" s="121"/>
      <c r="T211" s="121"/>
      <c r="U211" s="121"/>
    </row>
    <row r="212">
      <c r="A212" s="120"/>
      <c r="B212" s="123"/>
      <c r="C212" s="124"/>
      <c r="D212" s="125"/>
      <c r="E212" s="120"/>
      <c r="F212" s="125"/>
      <c r="G212" s="125"/>
      <c r="H212" s="125"/>
      <c r="I212" s="120"/>
      <c r="J212" s="120"/>
      <c r="K212" s="120"/>
      <c r="L212" s="120"/>
      <c r="M212" s="121"/>
      <c r="N212" s="121"/>
      <c r="O212" s="121"/>
      <c r="P212" s="121"/>
      <c r="Q212" s="121"/>
      <c r="R212" s="121"/>
      <c r="S212" s="121"/>
      <c r="T212" s="121"/>
      <c r="U212" s="121"/>
    </row>
    <row r="213">
      <c r="A213" s="120"/>
      <c r="B213" s="123"/>
      <c r="C213" s="124"/>
      <c r="D213" s="125"/>
      <c r="E213" s="120"/>
      <c r="F213" s="125"/>
      <c r="G213" s="125"/>
      <c r="H213" s="125"/>
      <c r="I213" s="120"/>
      <c r="J213" s="120"/>
      <c r="K213" s="120"/>
      <c r="L213" s="120"/>
      <c r="M213" s="121"/>
      <c r="N213" s="121"/>
      <c r="O213" s="121"/>
      <c r="P213" s="121"/>
      <c r="Q213" s="121"/>
      <c r="R213" s="121"/>
      <c r="S213" s="121"/>
      <c r="T213" s="121"/>
      <c r="U213" s="121"/>
    </row>
    <row r="214">
      <c r="A214" s="120"/>
      <c r="B214" s="123"/>
      <c r="C214" s="124"/>
      <c r="D214" s="125"/>
      <c r="E214" s="120"/>
      <c r="F214" s="125"/>
      <c r="G214" s="125"/>
      <c r="H214" s="125"/>
      <c r="I214" s="120"/>
      <c r="J214" s="120"/>
      <c r="K214" s="120"/>
      <c r="L214" s="120"/>
      <c r="M214" s="121"/>
      <c r="N214" s="121"/>
      <c r="O214" s="121"/>
      <c r="P214" s="121"/>
      <c r="Q214" s="121"/>
      <c r="R214" s="121"/>
      <c r="S214" s="121"/>
      <c r="T214" s="121"/>
      <c r="U214" s="121"/>
    </row>
    <row r="215">
      <c r="A215" s="120"/>
      <c r="B215" s="123"/>
      <c r="C215" s="124"/>
      <c r="D215" s="125"/>
      <c r="E215" s="120"/>
      <c r="F215" s="125"/>
      <c r="G215" s="125"/>
      <c r="H215" s="125"/>
      <c r="I215" s="120"/>
      <c r="J215" s="120"/>
      <c r="K215" s="120"/>
      <c r="L215" s="120"/>
      <c r="M215" s="121"/>
      <c r="N215" s="121"/>
      <c r="O215" s="121"/>
      <c r="P215" s="121"/>
      <c r="Q215" s="121"/>
      <c r="R215" s="121"/>
      <c r="S215" s="121"/>
      <c r="T215" s="121"/>
      <c r="U215" s="121"/>
    </row>
    <row r="216">
      <c r="A216" s="120"/>
      <c r="B216" s="123"/>
      <c r="C216" s="124"/>
      <c r="D216" s="125"/>
      <c r="E216" s="120"/>
      <c r="F216" s="125"/>
      <c r="G216" s="125"/>
      <c r="H216" s="125"/>
      <c r="I216" s="120"/>
      <c r="J216" s="120"/>
      <c r="K216" s="120"/>
      <c r="L216" s="120"/>
      <c r="M216" s="121"/>
      <c r="N216" s="121"/>
      <c r="O216" s="121"/>
      <c r="P216" s="121"/>
      <c r="Q216" s="121"/>
      <c r="R216" s="121"/>
      <c r="S216" s="121"/>
      <c r="T216" s="121"/>
      <c r="U216" s="121"/>
    </row>
    <row r="217">
      <c r="A217" s="120"/>
      <c r="B217" s="123"/>
      <c r="C217" s="124"/>
      <c r="D217" s="125"/>
      <c r="E217" s="120"/>
      <c r="F217" s="125"/>
      <c r="G217" s="125"/>
      <c r="H217" s="125"/>
      <c r="I217" s="120"/>
      <c r="J217" s="120"/>
      <c r="K217" s="120"/>
      <c r="L217" s="120"/>
      <c r="M217" s="121"/>
      <c r="N217" s="121"/>
      <c r="O217" s="121"/>
      <c r="P217" s="121"/>
      <c r="Q217" s="121"/>
      <c r="R217" s="121"/>
      <c r="S217" s="121"/>
      <c r="T217" s="121"/>
      <c r="U217" s="121"/>
    </row>
    <row r="218">
      <c r="A218" s="120"/>
      <c r="B218" s="123"/>
      <c r="C218" s="124"/>
      <c r="D218" s="125"/>
      <c r="E218" s="120"/>
      <c r="F218" s="125"/>
      <c r="G218" s="125"/>
      <c r="H218" s="125"/>
      <c r="I218" s="120"/>
      <c r="J218" s="120"/>
      <c r="K218" s="120"/>
      <c r="L218" s="120"/>
      <c r="M218" s="121"/>
      <c r="N218" s="121"/>
      <c r="O218" s="121"/>
      <c r="P218" s="121"/>
      <c r="Q218" s="121"/>
      <c r="R218" s="121"/>
      <c r="S218" s="121"/>
      <c r="T218" s="121"/>
      <c r="U218" s="121"/>
    </row>
    <row r="219">
      <c r="A219" s="120"/>
      <c r="B219" s="123"/>
      <c r="C219" s="124"/>
      <c r="D219" s="122"/>
      <c r="E219" s="120"/>
      <c r="F219" s="122"/>
      <c r="G219" s="122"/>
      <c r="H219" s="122"/>
      <c r="I219" s="120"/>
      <c r="J219" s="120"/>
      <c r="K219" s="120"/>
      <c r="L219" s="120"/>
      <c r="M219" s="121"/>
      <c r="N219" s="121"/>
      <c r="O219" s="121"/>
      <c r="P219" s="121"/>
      <c r="Q219" s="121"/>
      <c r="R219" s="121"/>
      <c r="S219" s="121"/>
      <c r="T219" s="121"/>
      <c r="U219" s="121"/>
    </row>
    <row r="220">
      <c r="A220" s="120"/>
      <c r="B220" s="123"/>
      <c r="C220" s="124"/>
      <c r="D220" s="122"/>
      <c r="E220" s="120"/>
      <c r="F220" s="122"/>
      <c r="G220" s="122"/>
      <c r="H220" s="122"/>
      <c r="I220" s="120"/>
      <c r="J220" s="120"/>
      <c r="K220" s="120"/>
      <c r="L220" s="120"/>
      <c r="M220" s="121"/>
      <c r="N220" s="121"/>
      <c r="O220" s="121"/>
      <c r="P220" s="121"/>
      <c r="Q220" s="121"/>
      <c r="R220" s="121"/>
      <c r="S220" s="121"/>
      <c r="T220" s="121"/>
      <c r="U220" s="121"/>
    </row>
    <row r="221">
      <c r="A221" s="120"/>
      <c r="B221" s="123"/>
      <c r="C221" s="124"/>
      <c r="D221" s="122"/>
      <c r="E221" s="120"/>
      <c r="F221" s="122"/>
      <c r="G221" s="122"/>
      <c r="H221" s="122"/>
      <c r="I221" s="120"/>
      <c r="J221" s="120"/>
      <c r="K221" s="120"/>
      <c r="L221" s="120"/>
      <c r="M221" s="121"/>
      <c r="N221" s="121"/>
      <c r="O221" s="121"/>
      <c r="P221" s="121"/>
      <c r="Q221" s="121"/>
      <c r="R221" s="121"/>
      <c r="S221" s="121"/>
      <c r="T221" s="121"/>
      <c r="U221" s="121"/>
    </row>
    <row r="222">
      <c r="A222" s="120"/>
      <c r="B222" s="123"/>
      <c r="C222" s="124"/>
      <c r="D222" s="122"/>
      <c r="E222" s="120"/>
      <c r="F222" s="122"/>
      <c r="G222" s="122"/>
      <c r="H222" s="122"/>
      <c r="I222" s="120"/>
      <c r="J222" s="120"/>
      <c r="K222" s="120"/>
      <c r="L222" s="120"/>
      <c r="M222" s="121"/>
      <c r="N222" s="121"/>
      <c r="O222" s="121"/>
      <c r="P222" s="121"/>
      <c r="Q222" s="121"/>
      <c r="R222" s="121"/>
      <c r="S222" s="121"/>
      <c r="T222" s="121"/>
      <c r="U222" s="121"/>
    </row>
    <row r="223">
      <c r="A223" s="120"/>
      <c r="B223" s="123"/>
      <c r="C223" s="124"/>
      <c r="D223" s="122"/>
      <c r="E223" s="120"/>
      <c r="F223" s="122"/>
      <c r="G223" s="122"/>
      <c r="H223" s="122"/>
      <c r="I223" s="120"/>
      <c r="J223" s="120"/>
      <c r="K223" s="120"/>
      <c r="L223" s="120"/>
      <c r="M223" s="121"/>
      <c r="N223" s="121"/>
      <c r="O223" s="121"/>
      <c r="P223" s="121"/>
      <c r="Q223" s="121"/>
      <c r="R223" s="121"/>
      <c r="S223" s="121"/>
      <c r="T223" s="121"/>
      <c r="U223" s="121"/>
    </row>
    <row r="224">
      <c r="A224" s="120"/>
      <c r="B224" s="123"/>
      <c r="C224" s="124"/>
      <c r="D224" s="122"/>
      <c r="E224" s="120"/>
      <c r="F224" s="122"/>
      <c r="G224" s="122"/>
      <c r="H224" s="122"/>
      <c r="I224" s="120"/>
      <c r="J224" s="120"/>
      <c r="K224" s="120"/>
      <c r="L224" s="120"/>
      <c r="M224" s="121"/>
      <c r="N224" s="121"/>
      <c r="O224" s="121"/>
      <c r="P224" s="121"/>
      <c r="Q224" s="121"/>
      <c r="R224" s="121"/>
      <c r="S224" s="121"/>
      <c r="T224" s="121"/>
      <c r="U224" s="121"/>
    </row>
    <row r="225">
      <c r="A225" s="120"/>
      <c r="B225" s="123"/>
      <c r="C225" s="124"/>
      <c r="D225" s="122"/>
      <c r="E225" s="120"/>
      <c r="F225" s="122"/>
      <c r="G225" s="122"/>
      <c r="H225" s="122"/>
      <c r="I225" s="120"/>
      <c r="J225" s="120"/>
      <c r="K225" s="120"/>
      <c r="L225" s="120"/>
      <c r="M225" s="121"/>
      <c r="N225" s="121"/>
      <c r="O225" s="121"/>
      <c r="P225" s="121"/>
      <c r="Q225" s="121"/>
      <c r="R225" s="121"/>
      <c r="S225" s="121"/>
      <c r="T225" s="121"/>
      <c r="U225" s="121"/>
    </row>
    <row r="226">
      <c r="A226" s="120"/>
      <c r="B226" s="123"/>
      <c r="C226" s="124"/>
      <c r="D226" s="122"/>
      <c r="E226" s="120"/>
      <c r="F226" s="122"/>
      <c r="G226" s="122"/>
      <c r="H226" s="122"/>
      <c r="I226" s="120"/>
      <c r="J226" s="120"/>
      <c r="K226" s="120"/>
      <c r="L226" s="120"/>
      <c r="M226" s="121"/>
      <c r="N226" s="121"/>
      <c r="O226" s="121"/>
      <c r="P226" s="121"/>
      <c r="Q226" s="121"/>
      <c r="R226" s="121"/>
      <c r="S226" s="121"/>
      <c r="T226" s="121"/>
      <c r="U226" s="121"/>
    </row>
    <row r="227">
      <c r="A227" s="120"/>
      <c r="B227" s="123"/>
      <c r="C227" s="124"/>
      <c r="D227" s="122"/>
      <c r="E227" s="120"/>
      <c r="F227" s="122"/>
      <c r="G227" s="122"/>
      <c r="H227" s="122"/>
      <c r="I227" s="120"/>
      <c r="J227" s="120"/>
      <c r="K227" s="120"/>
      <c r="L227" s="120"/>
      <c r="M227" s="121"/>
      <c r="N227" s="121"/>
      <c r="O227" s="121"/>
      <c r="P227" s="121"/>
      <c r="Q227" s="121"/>
      <c r="R227" s="121"/>
      <c r="S227" s="121"/>
      <c r="T227" s="121"/>
      <c r="U227" s="121"/>
    </row>
    <row r="228">
      <c r="A228" s="120"/>
      <c r="B228" s="123"/>
      <c r="C228" s="124"/>
      <c r="D228" s="122"/>
      <c r="E228" s="120"/>
      <c r="F228" s="122"/>
      <c r="G228" s="122"/>
      <c r="H228" s="122"/>
      <c r="I228" s="120"/>
      <c r="J228" s="120"/>
      <c r="K228" s="120"/>
      <c r="L228" s="120"/>
      <c r="M228" s="121"/>
      <c r="N228" s="121"/>
      <c r="O228" s="121"/>
      <c r="P228" s="121"/>
      <c r="Q228" s="121"/>
      <c r="R228" s="121"/>
      <c r="S228" s="121"/>
      <c r="T228" s="121"/>
      <c r="U228" s="121"/>
    </row>
    <row r="229">
      <c r="A229" s="120"/>
      <c r="B229" s="123"/>
      <c r="C229" s="124"/>
      <c r="D229" s="122"/>
      <c r="E229" s="120"/>
      <c r="F229" s="122"/>
      <c r="G229" s="122"/>
      <c r="H229" s="122"/>
      <c r="I229" s="120"/>
      <c r="J229" s="120"/>
      <c r="K229" s="120"/>
      <c r="L229" s="120"/>
      <c r="M229" s="121"/>
      <c r="N229" s="121"/>
      <c r="O229" s="121"/>
      <c r="P229" s="121"/>
      <c r="Q229" s="121"/>
      <c r="R229" s="121"/>
      <c r="S229" s="121"/>
      <c r="T229" s="121"/>
      <c r="U229" s="121"/>
    </row>
    <row r="230">
      <c r="A230" s="120"/>
      <c r="B230" s="123"/>
      <c r="C230" s="124"/>
      <c r="D230" s="122"/>
      <c r="E230" s="120"/>
      <c r="F230" s="122"/>
      <c r="G230" s="122"/>
      <c r="H230" s="122"/>
      <c r="I230" s="120"/>
      <c r="J230" s="120"/>
      <c r="K230" s="120"/>
      <c r="L230" s="120"/>
      <c r="M230" s="121"/>
      <c r="N230" s="121"/>
      <c r="O230" s="121"/>
      <c r="P230" s="121"/>
      <c r="Q230" s="121"/>
      <c r="R230" s="121"/>
      <c r="S230" s="121"/>
      <c r="T230" s="121"/>
      <c r="U230" s="121"/>
    </row>
    <row r="231">
      <c r="A231" s="120"/>
      <c r="B231" s="123"/>
      <c r="C231" s="124"/>
      <c r="D231" s="122"/>
      <c r="E231" s="120"/>
      <c r="F231" s="122"/>
      <c r="G231" s="122"/>
      <c r="H231" s="122"/>
      <c r="I231" s="120"/>
      <c r="J231" s="120"/>
      <c r="K231" s="120"/>
      <c r="L231" s="120"/>
      <c r="M231" s="121"/>
      <c r="N231" s="121"/>
      <c r="O231" s="121"/>
      <c r="P231" s="121"/>
      <c r="Q231" s="121"/>
      <c r="R231" s="121"/>
      <c r="S231" s="121"/>
      <c r="T231" s="121"/>
      <c r="U231" s="121"/>
    </row>
    <row r="232">
      <c r="A232" s="120"/>
      <c r="B232" s="123"/>
      <c r="C232" s="124"/>
      <c r="D232" s="122"/>
      <c r="E232" s="120"/>
      <c r="F232" s="122"/>
      <c r="G232" s="122"/>
      <c r="H232" s="122"/>
      <c r="I232" s="120"/>
      <c r="J232" s="120"/>
      <c r="K232" s="120"/>
      <c r="L232" s="120"/>
      <c r="M232" s="121"/>
      <c r="N232" s="121"/>
      <c r="O232" s="121"/>
      <c r="P232" s="121"/>
      <c r="Q232" s="121"/>
      <c r="R232" s="121"/>
      <c r="S232" s="121"/>
      <c r="T232" s="121"/>
      <c r="U232" s="121"/>
    </row>
    <row r="233">
      <c r="A233" s="120"/>
      <c r="B233" s="123"/>
      <c r="C233" s="124"/>
      <c r="D233" s="122"/>
      <c r="E233" s="120"/>
      <c r="F233" s="122"/>
      <c r="G233" s="122"/>
      <c r="H233" s="122"/>
      <c r="I233" s="120"/>
      <c r="J233" s="120"/>
      <c r="K233" s="120"/>
      <c r="L233" s="120"/>
      <c r="M233" s="121"/>
      <c r="N233" s="121"/>
      <c r="O233" s="121"/>
      <c r="P233" s="121"/>
      <c r="Q233" s="121"/>
      <c r="R233" s="121"/>
      <c r="S233" s="121"/>
      <c r="T233" s="121"/>
      <c r="U233" s="121"/>
    </row>
    <row r="234">
      <c r="A234" s="120"/>
      <c r="B234" s="123"/>
      <c r="C234" s="124"/>
      <c r="D234" s="122"/>
      <c r="E234" s="120"/>
      <c r="F234" s="122"/>
      <c r="G234" s="122"/>
      <c r="H234" s="122"/>
      <c r="I234" s="120"/>
      <c r="J234" s="120"/>
      <c r="K234" s="120"/>
      <c r="L234" s="120"/>
      <c r="M234" s="121"/>
      <c r="N234" s="121"/>
      <c r="O234" s="121"/>
      <c r="P234" s="121"/>
      <c r="Q234" s="121"/>
      <c r="R234" s="121"/>
      <c r="S234" s="121"/>
      <c r="T234" s="121"/>
      <c r="U234" s="121"/>
    </row>
    <row r="235">
      <c r="A235" s="120"/>
      <c r="B235" s="123"/>
      <c r="C235" s="124"/>
      <c r="D235" s="122"/>
      <c r="E235" s="120"/>
      <c r="F235" s="122"/>
      <c r="G235" s="122"/>
      <c r="H235" s="122"/>
      <c r="I235" s="120"/>
      <c r="J235" s="120"/>
      <c r="K235" s="120"/>
      <c r="L235" s="120"/>
      <c r="M235" s="121"/>
      <c r="N235" s="121"/>
      <c r="O235" s="121"/>
      <c r="P235" s="121"/>
      <c r="Q235" s="121"/>
      <c r="R235" s="121"/>
      <c r="S235" s="121"/>
      <c r="T235" s="121"/>
      <c r="U235" s="121"/>
    </row>
    <row r="236">
      <c r="A236" s="120"/>
      <c r="B236" s="123"/>
      <c r="C236" s="124"/>
      <c r="D236" s="122"/>
      <c r="E236" s="120"/>
      <c r="F236" s="122"/>
      <c r="G236" s="122"/>
      <c r="H236" s="122"/>
      <c r="I236" s="120"/>
      <c r="J236" s="120"/>
      <c r="K236" s="120"/>
      <c r="L236" s="120"/>
      <c r="M236" s="121"/>
      <c r="N236" s="121"/>
      <c r="O236" s="121"/>
      <c r="P236" s="121"/>
      <c r="Q236" s="121"/>
      <c r="R236" s="121"/>
      <c r="S236" s="121"/>
      <c r="T236" s="121"/>
      <c r="U236" s="121"/>
    </row>
    <row r="237">
      <c r="A237" s="120"/>
      <c r="B237" s="123"/>
      <c r="C237" s="124"/>
      <c r="D237" s="125"/>
      <c r="E237" s="120"/>
      <c r="F237" s="125"/>
      <c r="G237" s="125"/>
      <c r="H237" s="125"/>
      <c r="I237" s="120"/>
      <c r="J237" s="120"/>
      <c r="K237" s="120"/>
      <c r="L237" s="120"/>
      <c r="M237" s="121"/>
      <c r="N237" s="121"/>
      <c r="O237" s="121"/>
      <c r="P237" s="121"/>
      <c r="Q237" s="121"/>
      <c r="R237" s="121"/>
      <c r="S237" s="121"/>
      <c r="T237" s="121"/>
      <c r="U237" s="121"/>
    </row>
    <row r="238">
      <c r="A238" s="120"/>
      <c r="B238" s="123"/>
      <c r="C238" s="124"/>
      <c r="D238" s="125"/>
      <c r="E238" s="120"/>
      <c r="F238" s="125"/>
      <c r="G238" s="125"/>
      <c r="H238" s="125"/>
      <c r="I238" s="120"/>
      <c r="J238" s="120"/>
      <c r="K238" s="120"/>
      <c r="L238" s="120"/>
      <c r="M238" s="121"/>
      <c r="N238" s="121"/>
      <c r="O238" s="121"/>
      <c r="P238" s="121"/>
      <c r="Q238" s="121"/>
      <c r="R238" s="121"/>
      <c r="S238" s="121"/>
      <c r="T238" s="121"/>
      <c r="U238" s="121"/>
    </row>
    <row r="239">
      <c r="A239" s="120"/>
      <c r="B239" s="123"/>
      <c r="C239" s="124"/>
      <c r="D239" s="125"/>
      <c r="E239" s="120"/>
      <c r="F239" s="125"/>
      <c r="G239" s="125"/>
      <c r="H239" s="125"/>
      <c r="I239" s="120"/>
      <c r="J239" s="120"/>
      <c r="K239" s="120"/>
      <c r="L239" s="120"/>
      <c r="M239" s="121"/>
      <c r="N239" s="121"/>
      <c r="O239" s="121"/>
      <c r="P239" s="121"/>
      <c r="Q239" s="121"/>
      <c r="R239" s="121"/>
      <c r="S239" s="121"/>
      <c r="T239" s="121"/>
      <c r="U239" s="121"/>
    </row>
    <row r="240">
      <c r="A240" s="120"/>
      <c r="B240" s="123"/>
      <c r="C240" s="124"/>
      <c r="D240" s="125"/>
      <c r="E240" s="120"/>
      <c r="F240" s="125"/>
      <c r="G240" s="125"/>
      <c r="H240" s="125"/>
      <c r="I240" s="120"/>
      <c r="J240" s="120"/>
      <c r="K240" s="120"/>
      <c r="L240" s="120"/>
      <c r="M240" s="121"/>
      <c r="N240" s="121"/>
      <c r="O240" s="121"/>
      <c r="P240" s="121"/>
      <c r="Q240" s="121"/>
      <c r="R240" s="121"/>
      <c r="S240" s="121"/>
      <c r="T240" s="121"/>
      <c r="U240" s="121"/>
    </row>
    <row r="241">
      <c r="A241" s="120"/>
      <c r="B241" s="123"/>
      <c r="C241" s="124"/>
      <c r="D241" s="125"/>
      <c r="E241" s="120"/>
      <c r="F241" s="125"/>
      <c r="G241" s="125"/>
      <c r="H241" s="125"/>
      <c r="I241" s="120"/>
      <c r="J241" s="120"/>
      <c r="K241" s="120"/>
      <c r="L241" s="120"/>
      <c r="M241" s="121"/>
      <c r="N241" s="121"/>
      <c r="O241" s="121"/>
      <c r="P241" s="121"/>
      <c r="Q241" s="121"/>
      <c r="R241" s="121"/>
      <c r="S241" s="121"/>
      <c r="T241" s="121"/>
      <c r="U241" s="121"/>
    </row>
    <row r="242">
      <c r="A242" s="120"/>
      <c r="B242" s="123"/>
      <c r="C242" s="124"/>
      <c r="D242" s="125"/>
      <c r="E242" s="120"/>
      <c r="F242" s="125"/>
      <c r="G242" s="125"/>
      <c r="H242" s="125"/>
      <c r="I242" s="120"/>
      <c r="J242" s="120"/>
      <c r="K242" s="120"/>
      <c r="L242" s="120"/>
      <c r="M242" s="121"/>
      <c r="N242" s="121"/>
      <c r="O242" s="121"/>
      <c r="P242" s="121"/>
      <c r="Q242" s="121"/>
      <c r="R242" s="121"/>
      <c r="S242" s="121"/>
      <c r="T242" s="121"/>
      <c r="U242" s="121"/>
    </row>
    <row r="243">
      <c r="A243" s="120"/>
      <c r="B243" s="123"/>
      <c r="C243" s="124"/>
      <c r="D243" s="125"/>
      <c r="E243" s="120"/>
      <c r="F243" s="125"/>
      <c r="G243" s="125"/>
      <c r="H243" s="125"/>
      <c r="I243" s="120"/>
      <c r="J243" s="120"/>
      <c r="K243" s="120"/>
      <c r="L243" s="120"/>
      <c r="M243" s="121"/>
      <c r="N243" s="121"/>
      <c r="O243" s="121"/>
      <c r="P243" s="121"/>
      <c r="Q243" s="121"/>
      <c r="R243" s="121"/>
      <c r="S243" s="121"/>
      <c r="T243" s="121"/>
      <c r="U243" s="121"/>
    </row>
    <row r="244">
      <c r="A244" s="120"/>
      <c r="B244" s="123"/>
      <c r="C244" s="124"/>
      <c r="D244" s="125"/>
      <c r="E244" s="120"/>
      <c r="F244" s="125"/>
      <c r="G244" s="125"/>
      <c r="H244" s="125"/>
      <c r="I244" s="120"/>
      <c r="J244" s="120"/>
      <c r="K244" s="120"/>
      <c r="L244" s="120"/>
      <c r="M244" s="121"/>
      <c r="N244" s="121"/>
      <c r="O244" s="121"/>
      <c r="P244" s="121"/>
      <c r="Q244" s="121"/>
      <c r="R244" s="121"/>
      <c r="S244" s="121"/>
      <c r="T244" s="121"/>
      <c r="U244" s="121"/>
    </row>
    <row r="245">
      <c r="A245" s="120"/>
      <c r="B245" s="123"/>
      <c r="C245" s="124"/>
      <c r="D245" s="125"/>
      <c r="E245" s="120"/>
      <c r="F245" s="125"/>
      <c r="G245" s="125"/>
      <c r="H245" s="125"/>
      <c r="I245" s="120"/>
      <c r="J245" s="120"/>
      <c r="K245" s="120"/>
      <c r="L245" s="120"/>
      <c r="M245" s="121"/>
      <c r="N245" s="121"/>
      <c r="O245" s="121"/>
      <c r="P245" s="121"/>
      <c r="Q245" s="121"/>
      <c r="R245" s="121"/>
      <c r="S245" s="121"/>
      <c r="T245" s="121"/>
      <c r="U245" s="121"/>
    </row>
    <row r="246">
      <c r="A246" s="120"/>
      <c r="B246" s="123"/>
      <c r="C246" s="124"/>
      <c r="D246" s="125"/>
      <c r="E246" s="120"/>
      <c r="F246" s="125"/>
      <c r="G246" s="125"/>
      <c r="H246" s="125"/>
      <c r="I246" s="120"/>
      <c r="J246" s="120"/>
      <c r="K246" s="120"/>
      <c r="L246" s="120"/>
      <c r="M246" s="121"/>
      <c r="N246" s="121"/>
      <c r="O246" s="121"/>
      <c r="P246" s="121"/>
      <c r="Q246" s="121"/>
      <c r="R246" s="121"/>
      <c r="S246" s="121"/>
      <c r="T246" s="121"/>
      <c r="U246" s="121"/>
    </row>
    <row r="247">
      <c r="A247" s="120"/>
      <c r="B247" s="123"/>
      <c r="C247" s="124"/>
      <c r="D247" s="125"/>
      <c r="E247" s="120"/>
      <c r="F247" s="125"/>
      <c r="G247" s="125"/>
      <c r="H247" s="125"/>
      <c r="I247" s="120"/>
      <c r="J247" s="120"/>
      <c r="K247" s="120"/>
      <c r="L247" s="120"/>
      <c r="M247" s="121"/>
      <c r="N247" s="121"/>
      <c r="O247" s="121"/>
      <c r="P247" s="121"/>
      <c r="Q247" s="121"/>
      <c r="R247" s="121"/>
      <c r="S247" s="121"/>
      <c r="T247" s="121"/>
      <c r="U247" s="121"/>
    </row>
    <row r="248">
      <c r="A248" s="120"/>
      <c r="B248" s="123"/>
      <c r="C248" s="124"/>
      <c r="D248" s="125"/>
      <c r="E248" s="120"/>
      <c r="F248" s="125"/>
      <c r="G248" s="125"/>
      <c r="H248" s="125"/>
      <c r="I248" s="120"/>
      <c r="J248" s="120"/>
      <c r="K248" s="120"/>
      <c r="L248" s="120"/>
      <c r="M248" s="121"/>
      <c r="N248" s="121"/>
      <c r="O248" s="121"/>
      <c r="P248" s="121"/>
      <c r="Q248" s="121"/>
      <c r="R248" s="121"/>
      <c r="S248" s="121"/>
      <c r="T248" s="121"/>
      <c r="U248" s="121"/>
    </row>
    <row r="249">
      <c r="A249" s="120"/>
      <c r="B249" s="123"/>
      <c r="C249" s="124"/>
      <c r="D249" s="125"/>
      <c r="E249" s="120"/>
      <c r="F249" s="125"/>
      <c r="G249" s="125"/>
      <c r="H249" s="125"/>
      <c r="I249" s="120"/>
      <c r="J249" s="120"/>
      <c r="K249" s="120"/>
      <c r="L249" s="120"/>
      <c r="M249" s="121"/>
      <c r="N249" s="121"/>
      <c r="O249" s="121"/>
      <c r="P249" s="121"/>
      <c r="Q249" s="121"/>
      <c r="R249" s="121"/>
      <c r="S249" s="121"/>
      <c r="T249" s="121"/>
      <c r="U249" s="121"/>
    </row>
    <row r="250">
      <c r="A250" s="120"/>
      <c r="B250" s="123"/>
      <c r="C250" s="124"/>
      <c r="D250" s="125"/>
      <c r="E250" s="120"/>
      <c r="F250" s="125"/>
      <c r="G250" s="125"/>
      <c r="H250" s="125"/>
      <c r="I250" s="120"/>
      <c r="J250" s="120"/>
      <c r="K250" s="120"/>
      <c r="L250" s="120"/>
      <c r="M250" s="121"/>
      <c r="N250" s="121"/>
      <c r="O250" s="121"/>
      <c r="P250" s="121"/>
      <c r="Q250" s="121"/>
      <c r="R250" s="121"/>
      <c r="S250" s="121"/>
      <c r="T250" s="121"/>
      <c r="U250" s="121"/>
    </row>
    <row r="251">
      <c r="A251" s="120"/>
      <c r="B251" s="123"/>
      <c r="C251" s="124"/>
      <c r="D251" s="125"/>
      <c r="E251" s="120"/>
      <c r="F251" s="125"/>
      <c r="G251" s="125"/>
      <c r="H251" s="125"/>
      <c r="I251" s="120"/>
      <c r="J251" s="120"/>
      <c r="K251" s="120"/>
      <c r="L251" s="120"/>
      <c r="M251" s="121"/>
      <c r="N251" s="121"/>
      <c r="O251" s="121"/>
      <c r="P251" s="121"/>
      <c r="Q251" s="121"/>
      <c r="R251" s="121"/>
      <c r="S251" s="121"/>
      <c r="T251" s="121"/>
      <c r="U251" s="121"/>
    </row>
    <row r="252">
      <c r="A252" s="120"/>
      <c r="B252" s="123"/>
      <c r="C252" s="124"/>
      <c r="D252" s="125"/>
      <c r="E252" s="120"/>
      <c r="F252" s="125"/>
      <c r="G252" s="125"/>
      <c r="H252" s="125"/>
      <c r="I252" s="120"/>
      <c r="J252" s="120"/>
      <c r="K252" s="120"/>
      <c r="L252" s="120"/>
      <c r="M252" s="121"/>
      <c r="N252" s="121"/>
      <c r="O252" s="121"/>
      <c r="P252" s="121"/>
      <c r="Q252" s="121"/>
      <c r="R252" s="121"/>
      <c r="S252" s="121"/>
      <c r="T252" s="121"/>
      <c r="U252" s="121"/>
    </row>
    <row r="253">
      <c r="A253" s="120"/>
      <c r="B253" s="123"/>
      <c r="C253" s="124"/>
      <c r="D253" s="125"/>
      <c r="E253" s="120"/>
      <c r="F253" s="125"/>
      <c r="G253" s="125"/>
      <c r="H253" s="125"/>
      <c r="I253" s="120"/>
      <c r="J253" s="120"/>
      <c r="K253" s="120"/>
      <c r="L253" s="120"/>
      <c r="M253" s="121"/>
      <c r="N253" s="121"/>
      <c r="O253" s="121"/>
      <c r="P253" s="121"/>
      <c r="Q253" s="121"/>
      <c r="R253" s="121"/>
      <c r="S253" s="121"/>
      <c r="T253" s="121"/>
      <c r="U253" s="121"/>
    </row>
    <row r="254">
      <c r="A254" s="120"/>
      <c r="B254" s="123"/>
      <c r="C254" s="124"/>
      <c r="D254" s="125"/>
      <c r="E254" s="120"/>
      <c r="F254" s="125"/>
      <c r="G254" s="125"/>
      <c r="H254" s="125"/>
      <c r="I254" s="120"/>
      <c r="J254" s="120"/>
      <c r="K254" s="120"/>
      <c r="L254" s="120"/>
      <c r="M254" s="121"/>
      <c r="N254" s="121"/>
      <c r="O254" s="121"/>
      <c r="P254" s="121"/>
      <c r="Q254" s="121"/>
      <c r="R254" s="121"/>
      <c r="S254" s="121"/>
      <c r="T254" s="121"/>
      <c r="U254" s="121"/>
    </row>
    <row r="255">
      <c r="A255" s="120"/>
      <c r="B255" s="123"/>
      <c r="C255" s="124"/>
      <c r="D255" s="125"/>
      <c r="E255" s="120"/>
      <c r="F255" s="125"/>
      <c r="G255" s="125"/>
      <c r="H255" s="125"/>
      <c r="I255" s="120"/>
      <c r="J255" s="120"/>
      <c r="K255" s="120"/>
      <c r="L255" s="120"/>
      <c r="M255" s="121"/>
      <c r="N255" s="121"/>
      <c r="O255" s="121"/>
      <c r="P255" s="121"/>
      <c r="Q255" s="121"/>
      <c r="R255" s="121"/>
      <c r="S255" s="121"/>
      <c r="T255" s="121"/>
      <c r="U255" s="121"/>
    </row>
    <row r="256">
      <c r="A256" s="120"/>
      <c r="B256" s="123"/>
      <c r="C256" s="124"/>
      <c r="D256" s="125"/>
      <c r="E256" s="120"/>
      <c r="F256" s="125"/>
      <c r="G256" s="125"/>
      <c r="H256" s="125"/>
      <c r="I256" s="120"/>
      <c r="J256" s="120"/>
      <c r="K256" s="120"/>
      <c r="L256" s="120"/>
      <c r="M256" s="121"/>
      <c r="N256" s="121"/>
      <c r="O256" s="121"/>
      <c r="P256" s="121"/>
      <c r="Q256" s="121"/>
      <c r="R256" s="121"/>
      <c r="S256" s="121"/>
      <c r="T256" s="121"/>
      <c r="U256" s="121"/>
    </row>
    <row r="257">
      <c r="A257" s="120"/>
      <c r="B257" s="123"/>
      <c r="C257" s="124"/>
      <c r="D257" s="125"/>
      <c r="E257" s="120"/>
      <c r="F257" s="125"/>
      <c r="G257" s="125"/>
      <c r="H257" s="125"/>
      <c r="I257" s="120"/>
      <c r="J257" s="120"/>
      <c r="K257" s="120"/>
      <c r="L257" s="120"/>
      <c r="M257" s="121"/>
      <c r="N257" s="121"/>
      <c r="O257" s="121"/>
      <c r="P257" s="121"/>
      <c r="Q257" s="121"/>
      <c r="R257" s="121"/>
      <c r="S257" s="121"/>
      <c r="T257" s="121"/>
      <c r="U257" s="121"/>
    </row>
    <row r="258">
      <c r="A258" s="120"/>
      <c r="B258" s="123"/>
      <c r="C258" s="124"/>
      <c r="D258" s="125"/>
      <c r="E258" s="120"/>
      <c r="F258" s="125"/>
      <c r="G258" s="125"/>
      <c r="H258" s="125"/>
      <c r="I258" s="120"/>
      <c r="J258" s="120"/>
      <c r="K258" s="120"/>
      <c r="L258" s="120"/>
      <c r="M258" s="121"/>
      <c r="N258" s="121"/>
      <c r="O258" s="121"/>
      <c r="P258" s="121"/>
      <c r="Q258" s="121"/>
      <c r="R258" s="121"/>
      <c r="S258" s="121"/>
      <c r="T258" s="121"/>
      <c r="U258" s="121"/>
    </row>
    <row r="259">
      <c r="A259" s="120"/>
      <c r="B259" s="123"/>
      <c r="C259" s="124"/>
      <c r="D259" s="125"/>
      <c r="E259" s="120"/>
      <c r="F259" s="125"/>
      <c r="G259" s="125"/>
      <c r="H259" s="125"/>
      <c r="I259" s="120"/>
      <c r="J259" s="120"/>
      <c r="K259" s="120"/>
      <c r="L259" s="120"/>
      <c r="M259" s="121"/>
      <c r="N259" s="121"/>
      <c r="O259" s="121"/>
      <c r="P259" s="121"/>
      <c r="Q259" s="121"/>
      <c r="R259" s="121"/>
      <c r="S259" s="121"/>
      <c r="T259" s="121"/>
      <c r="U259" s="121"/>
    </row>
    <row r="260">
      <c r="A260" s="120"/>
      <c r="B260" s="123"/>
      <c r="C260" s="124"/>
      <c r="D260" s="125"/>
      <c r="E260" s="120"/>
      <c r="F260" s="125"/>
      <c r="G260" s="125"/>
      <c r="H260" s="125"/>
      <c r="I260" s="120"/>
      <c r="J260" s="120"/>
      <c r="K260" s="120"/>
      <c r="L260" s="120"/>
      <c r="M260" s="121"/>
      <c r="N260" s="121"/>
      <c r="O260" s="121"/>
      <c r="P260" s="121"/>
      <c r="Q260" s="121"/>
      <c r="R260" s="121"/>
      <c r="S260" s="121"/>
      <c r="T260" s="121"/>
      <c r="U260" s="121"/>
    </row>
    <row r="261">
      <c r="A261" s="120"/>
      <c r="B261" s="123"/>
      <c r="C261" s="124"/>
      <c r="D261" s="125"/>
      <c r="E261" s="120"/>
      <c r="F261" s="125"/>
      <c r="G261" s="125"/>
      <c r="H261" s="125"/>
      <c r="I261" s="120"/>
      <c r="J261" s="120"/>
      <c r="K261" s="120"/>
      <c r="L261" s="120"/>
      <c r="M261" s="121"/>
      <c r="N261" s="121"/>
      <c r="O261" s="121"/>
      <c r="P261" s="121"/>
      <c r="Q261" s="121"/>
      <c r="R261" s="121"/>
      <c r="S261" s="121"/>
      <c r="T261" s="121"/>
      <c r="U261" s="121"/>
    </row>
    <row r="262">
      <c r="A262" s="120"/>
      <c r="B262" s="123"/>
      <c r="C262" s="124"/>
      <c r="D262" s="125"/>
      <c r="E262" s="120"/>
      <c r="F262" s="125"/>
      <c r="G262" s="125"/>
      <c r="H262" s="125"/>
      <c r="I262" s="120"/>
      <c r="J262" s="120"/>
      <c r="K262" s="120"/>
      <c r="L262" s="120"/>
      <c r="M262" s="121"/>
      <c r="N262" s="121"/>
      <c r="O262" s="121"/>
      <c r="P262" s="121"/>
      <c r="Q262" s="121"/>
      <c r="R262" s="121"/>
      <c r="S262" s="121"/>
      <c r="T262" s="121"/>
      <c r="U262" s="121"/>
    </row>
    <row r="263">
      <c r="A263" s="120"/>
      <c r="B263" s="123"/>
      <c r="C263" s="124"/>
      <c r="D263" s="125"/>
      <c r="E263" s="120"/>
      <c r="F263" s="125"/>
      <c r="G263" s="125"/>
      <c r="H263" s="125"/>
      <c r="I263" s="120"/>
      <c r="J263" s="120"/>
      <c r="K263" s="120"/>
      <c r="L263" s="120"/>
      <c r="M263" s="121"/>
      <c r="N263" s="121"/>
      <c r="O263" s="121"/>
      <c r="P263" s="121"/>
      <c r="Q263" s="121"/>
      <c r="R263" s="121"/>
      <c r="S263" s="121"/>
      <c r="T263" s="121"/>
      <c r="U263" s="121"/>
    </row>
    <row r="264">
      <c r="A264" s="120"/>
      <c r="B264" s="123"/>
      <c r="C264" s="124"/>
      <c r="D264" s="125"/>
      <c r="E264" s="120"/>
      <c r="F264" s="125"/>
      <c r="G264" s="125"/>
      <c r="H264" s="125"/>
      <c r="I264" s="120"/>
      <c r="J264" s="120"/>
      <c r="K264" s="120"/>
      <c r="L264" s="120"/>
      <c r="M264" s="121"/>
      <c r="N264" s="121"/>
      <c r="O264" s="121"/>
      <c r="P264" s="121"/>
      <c r="Q264" s="121"/>
      <c r="R264" s="121"/>
      <c r="S264" s="121"/>
      <c r="T264" s="121"/>
      <c r="U264" s="121"/>
    </row>
    <row r="265">
      <c r="A265" s="120"/>
      <c r="B265" s="123"/>
      <c r="C265" s="124"/>
      <c r="D265" s="125"/>
      <c r="E265" s="120"/>
      <c r="F265" s="125"/>
      <c r="G265" s="125"/>
      <c r="H265" s="125"/>
      <c r="I265" s="120"/>
      <c r="J265" s="120"/>
      <c r="K265" s="120"/>
      <c r="L265" s="120"/>
      <c r="M265" s="121"/>
      <c r="N265" s="121"/>
      <c r="O265" s="121"/>
      <c r="P265" s="121"/>
      <c r="Q265" s="121"/>
      <c r="R265" s="121"/>
      <c r="S265" s="121"/>
      <c r="T265" s="121"/>
      <c r="U265" s="121"/>
    </row>
    <row r="266">
      <c r="A266" s="120"/>
      <c r="B266" s="123"/>
      <c r="C266" s="124"/>
      <c r="D266" s="125"/>
      <c r="E266" s="120"/>
      <c r="F266" s="125"/>
      <c r="G266" s="125"/>
      <c r="H266" s="125"/>
      <c r="I266" s="120"/>
      <c r="J266" s="120"/>
      <c r="K266" s="120"/>
      <c r="L266" s="120"/>
      <c r="M266" s="121"/>
      <c r="N266" s="121"/>
      <c r="O266" s="121"/>
      <c r="P266" s="121"/>
      <c r="Q266" s="121"/>
      <c r="R266" s="121"/>
      <c r="S266" s="121"/>
      <c r="T266" s="121"/>
      <c r="U266" s="121"/>
    </row>
    <row r="267">
      <c r="A267" s="120"/>
      <c r="B267" s="123"/>
      <c r="C267" s="124"/>
      <c r="D267" s="125"/>
      <c r="E267" s="120"/>
      <c r="F267" s="125"/>
      <c r="G267" s="125"/>
      <c r="H267" s="125"/>
      <c r="I267" s="120"/>
      <c r="J267" s="120"/>
      <c r="K267" s="120"/>
      <c r="L267" s="120"/>
      <c r="M267" s="121"/>
      <c r="N267" s="121"/>
      <c r="O267" s="121"/>
      <c r="P267" s="121"/>
      <c r="Q267" s="121"/>
      <c r="R267" s="121"/>
      <c r="S267" s="121"/>
      <c r="T267" s="121"/>
      <c r="U267" s="121"/>
    </row>
    <row r="268">
      <c r="A268" s="120"/>
      <c r="B268" s="123"/>
      <c r="C268" s="124"/>
      <c r="D268" s="125"/>
      <c r="E268" s="120"/>
      <c r="F268" s="125"/>
      <c r="G268" s="125"/>
      <c r="H268" s="125"/>
      <c r="I268" s="120"/>
      <c r="J268" s="120"/>
      <c r="K268" s="120"/>
      <c r="L268" s="120"/>
      <c r="M268" s="121"/>
      <c r="N268" s="121"/>
      <c r="O268" s="121"/>
      <c r="P268" s="121"/>
      <c r="Q268" s="121"/>
      <c r="R268" s="121"/>
      <c r="S268" s="121"/>
      <c r="T268" s="121"/>
      <c r="U268" s="121"/>
    </row>
    <row r="269">
      <c r="A269" s="120"/>
      <c r="B269" s="123"/>
      <c r="C269" s="124"/>
      <c r="D269" s="125"/>
      <c r="E269" s="120"/>
      <c r="F269" s="125"/>
      <c r="G269" s="125"/>
      <c r="H269" s="125"/>
      <c r="I269" s="120"/>
      <c r="J269" s="120"/>
      <c r="K269" s="120"/>
      <c r="L269" s="120"/>
      <c r="M269" s="121"/>
      <c r="N269" s="121"/>
      <c r="O269" s="121"/>
      <c r="P269" s="121"/>
      <c r="Q269" s="121"/>
      <c r="R269" s="121"/>
      <c r="S269" s="121"/>
      <c r="T269" s="121"/>
      <c r="U269" s="121"/>
    </row>
    <row r="270">
      <c r="A270" s="120"/>
      <c r="B270" s="123"/>
      <c r="C270" s="124"/>
      <c r="D270" s="125"/>
      <c r="E270" s="120"/>
      <c r="F270" s="125"/>
      <c r="G270" s="125"/>
      <c r="H270" s="125"/>
      <c r="I270" s="120"/>
      <c r="J270" s="120"/>
      <c r="K270" s="120"/>
      <c r="L270" s="120"/>
      <c r="M270" s="121"/>
      <c r="N270" s="121"/>
      <c r="O270" s="121"/>
      <c r="P270" s="121"/>
      <c r="Q270" s="121"/>
      <c r="R270" s="121"/>
      <c r="S270" s="121"/>
      <c r="T270" s="121"/>
      <c r="U270" s="121"/>
    </row>
    <row r="271">
      <c r="A271" s="120"/>
      <c r="B271" s="123"/>
      <c r="C271" s="124"/>
      <c r="D271" s="125"/>
      <c r="E271" s="120"/>
      <c r="F271" s="125"/>
      <c r="G271" s="125"/>
      <c r="H271" s="125"/>
      <c r="I271" s="120"/>
      <c r="J271" s="120"/>
      <c r="K271" s="120"/>
      <c r="L271" s="120"/>
      <c r="M271" s="121"/>
      <c r="N271" s="121"/>
      <c r="O271" s="121"/>
      <c r="P271" s="121"/>
      <c r="Q271" s="121"/>
      <c r="R271" s="121"/>
      <c r="S271" s="121"/>
      <c r="T271" s="121"/>
      <c r="U271" s="121"/>
    </row>
    <row r="272">
      <c r="A272" s="120"/>
      <c r="B272" s="123"/>
      <c r="C272" s="124"/>
      <c r="D272" s="125"/>
      <c r="E272" s="120"/>
      <c r="F272" s="125"/>
      <c r="G272" s="125"/>
      <c r="H272" s="125"/>
      <c r="I272" s="120"/>
      <c r="J272" s="120"/>
      <c r="K272" s="120"/>
      <c r="L272" s="120"/>
      <c r="M272" s="121"/>
      <c r="N272" s="121"/>
      <c r="O272" s="121"/>
      <c r="P272" s="121"/>
      <c r="Q272" s="121"/>
      <c r="R272" s="121"/>
      <c r="S272" s="121"/>
      <c r="T272" s="121"/>
      <c r="U272" s="121"/>
    </row>
    <row r="273">
      <c r="A273" s="120"/>
      <c r="B273" s="123"/>
      <c r="C273" s="124"/>
      <c r="D273" s="125"/>
      <c r="E273" s="120"/>
      <c r="F273" s="125"/>
      <c r="G273" s="125"/>
      <c r="H273" s="125"/>
      <c r="I273" s="120"/>
      <c r="J273" s="120"/>
      <c r="K273" s="120"/>
      <c r="L273" s="120"/>
      <c r="M273" s="121"/>
      <c r="N273" s="121"/>
      <c r="O273" s="121"/>
      <c r="P273" s="121"/>
      <c r="Q273" s="121"/>
      <c r="R273" s="121"/>
      <c r="S273" s="121"/>
      <c r="T273" s="121"/>
      <c r="U273" s="121"/>
    </row>
    <row r="274">
      <c r="A274" s="120"/>
      <c r="B274" s="123"/>
      <c r="C274" s="124"/>
      <c r="D274" s="125"/>
      <c r="E274" s="120"/>
      <c r="F274" s="125"/>
      <c r="G274" s="125"/>
      <c r="H274" s="125"/>
      <c r="I274" s="120"/>
      <c r="J274" s="120"/>
      <c r="K274" s="120"/>
      <c r="L274" s="120"/>
      <c r="M274" s="121"/>
      <c r="N274" s="121"/>
      <c r="O274" s="121"/>
      <c r="P274" s="121"/>
      <c r="Q274" s="121"/>
      <c r="R274" s="121"/>
      <c r="S274" s="121"/>
      <c r="T274" s="121"/>
      <c r="U274" s="121"/>
    </row>
    <row r="275">
      <c r="A275" s="120"/>
      <c r="B275" s="123"/>
      <c r="C275" s="124"/>
      <c r="D275" s="125"/>
      <c r="E275" s="120"/>
      <c r="F275" s="125"/>
      <c r="G275" s="125"/>
      <c r="H275" s="125"/>
      <c r="I275" s="120"/>
      <c r="J275" s="120"/>
      <c r="K275" s="120"/>
      <c r="L275" s="120"/>
      <c r="M275" s="121"/>
      <c r="N275" s="121"/>
      <c r="O275" s="121"/>
      <c r="P275" s="121"/>
      <c r="Q275" s="121"/>
      <c r="R275" s="121"/>
      <c r="S275" s="121"/>
      <c r="T275" s="121"/>
      <c r="U275" s="121"/>
    </row>
    <row r="276">
      <c r="A276" s="120"/>
      <c r="B276" s="123"/>
      <c r="C276" s="124"/>
      <c r="D276" s="125"/>
      <c r="E276" s="120"/>
      <c r="F276" s="125"/>
      <c r="G276" s="125"/>
      <c r="H276" s="125"/>
      <c r="I276" s="120"/>
      <c r="J276" s="120"/>
      <c r="K276" s="120"/>
      <c r="L276" s="120"/>
      <c r="M276" s="121"/>
      <c r="N276" s="121"/>
      <c r="O276" s="121"/>
      <c r="P276" s="121"/>
      <c r="Q276" s="121"/>
      <c r="R276" s="121"/>
      <c r="S276" s="121"/>
      <c r="T276" s="121"/>
      <c r="U276" s="121"/>
    </row>
    <row r="277">
      <c r="A277" s="120"/>
      <c r="B277" s="123"/>
      <c r="C277" s="124"/>
      <c r="D277" s="125"/>
      <c r="E277" s="120"/>
      <c r="F277" s="125"/>
      <c r="G277" s="125"/>
      <c r="H277" s="125"/>
      <c r="I277" s="120"/>
      <c r="J277" s="120"/>
      <c r="K277" s="120"/>
      <c r="L277" s="120"/>
      <c r="M277" s="121"/>
      <c r="N277" s="121"/>
      <c r="O277" s="121"/>
      <c r="P277" s="121"/>
      <c r="Q277" s="121"/>
      <c r="R277" s="121"/>
      <c r="S277" s="121"/>
      <c r="T277" s="121"/>
      <c r="U277" s="121"/>
    </row>
    <row r="278">
      <c r="A278" s="120"/>
      <c r="B278" s="123"/>
      <c r="C278" s="124"/>
      <c r="D278" s="125"/>
      <c r="E278" s="120"/>
      <c r="F278" s="125"/>
      <c r="G278" s="125"/>
      <c r="H278" s="125"/>
      <c r="I278" s="120"/>
      <c r="J278" s="120"/>
      <c r="K278" s="120"/>
      <c r="L278" s="120"/>
      <c r="M278" s="121"/>
      <c r="N278" s="121"/>
      <c r="O278" s="121"/>
      <c r="P278" s="121"/>
      <c r="Q278" s="121"/>
      <c r="R278" s="121"/>
      <c r="S278" s="121"/>
      <c r="T278" s="121"/>
      <c r="U278" s="121"/>
    </row>
    <row r="279">
      <c r="A279" s="120"/>
      <c r="B279" s="123"/>
      <c r="C279" s="124"/>
      <c r="D279" s="125"/>
      <c r="E279" s="120"/>
      <c r="F279" s="125"/>
      <c r="G279" s="125"/>
      <c r="H279" s="125"/>
      <c r="I279" s="120"/>
      <c r="J279" s="120"/>
      <c r="K279" s="120"/>
      <c r="L279" s="120"/>
      <c r="M279" s="121"/>
      <c r="N279" s="121"/>
      <c r="O279" s="121"/>
      <c r="P279" s="121"/>
      <c r="Q279" s="121"/>
      <c r="R279" s="121"/>
      <c r="S279" s="121"/>
      <c r="T279" s="121"/>
      <c r="U279" s="121"/>
    </row>
    <row r="280">
      <c r="A280" s="120"/>
      <c r="B280" s="123"/>
      <c r="C280" s="124"/>
      <c r="D280" s="125"/>
      <c r="E280" s="120"/>
      <c r="F280" s="125"/>
      <c r="G280" s="125"/>
      <c r="H280" s="125"/>
      <c r="I280" s="120"/>
      <c r="J280" s="120"/>
      <c r="K280" s="120"/>
      <c r="L280" s="120"/>
      <c r="M280" s="121"/>
      <c r="N280" s="121"/>
      <c r="O280" s="121"/>
      <c r="P280" s="121"/>
      <c r="Q280" s="121"/>
      <c r="R280" s="121"/>
      <c r="S280" s="121"/>
      <c r="T280" s="121"/>
      <c r="U280" s="121"/>
    </row>
    <row r="281">
      <c r="A281" s="120"/>
      <c r="B281" s="123"/>
      <c r="C281" s="124"/>
      <c r="D281" s="125"/>
      <c r="E281" s="120"/>
      <c r="F281" s="125"/>
      <c r="G281" s="125"/>
      <c r="H281" s="125"/>
      <c r="I281" s="120"/>
      <c r="J281" s="120"/>
      <c r="K281" s="120"/>
      <c r="L281" s="120"/>
      <c r="M281" s="121"/>
      <c r="N281" s="121"/>
      <c r="O281" s="121"/>
      <c r="P281" s="121"/>
      <c r="Q281" s="121"/>
      <c r="R281" s="121"/>
      <c r="S281" s="121"/>
      <c r="T281" s="121"/>
      <c r="U281" s="121"/>
    </row>
    <row r="282">
      <c r="A282" s="120"/>
      <c r="B282" s="123"/>
      <c r="C282" s="124"/>
      <c r="D282" s="125"/>
      <c r="E282" s="120"/>
      <c r="F282" s="125"/>
      <c r="G282" s="125"/>
      <c r="H282" s="125"/>
      <c r="I282" s="120"/>
      <c r="J282" s="120"/>
      <c r="K282" s="120"/>
      <c r="L282" s="120"/>
      <c r="M282" s="121"/>
      <c r="N282" s="121"/>
      <c r="O282" s="121"/>
      <c r="P282" s="121"/>
      <c r="Q282" s="121"/>
      <c r="R282" s="121"/>
      <c r="S282" s="121"/>
      <c r="T282" s="121"/>
      <c r="U282" s="121"/>
    </row>
    <row r="283">
      <c r="A283" s="120"/>
      <c r="B283" s="123"/>
      <c r="C283" s="124"/>
      <c r="D283" s="125"/>
      <c r="E283" s="120"/>
      <c r="F283" s="125"/>
      <c r="G283" s="125"/>
      <c r="H283" s="125"/>
      <c r="I283" s="120"/>
      <c r="J283" s="120"/>
      <c r="K283" s="120"/>
      <c r="L283" s="120"/>
      <c r="M283" s="121"/>
      <c r="N283" s="121"/>
      <c r="O283" s="121"/>
      <c r="P283" s="121"/>
      <c r="Q283" s="121"/>
      <c r="R283" s="121"/>
      <c r="S283" s="121"/>
      <c r="T283" s="121"/>
      <c r="U283" s="121"/>
    </row>
    <row r="284">
      <c r="A284" s="120"/>
      <c r="B284" s="123"/>
      <c r="C284" s="124"/>
      <c r="D284" s="125"/>
      <c r="E284" s="120"/>
      <c r="F284" s="125"/>
      <c r="G284" s="125"/>
      <c r="H284" s="125"/>
      <c r="I284" s="120"/>
      <c r="J284" s="120"/>
      <c r="K284" s="120"/>
      <c r="L284" s="120"/>
      <c r="M284" s="121"/>
      <c r="N284" s="121"/>
      <c r="O284" s="121"/>
      <c r="P284" s="121"/>
      <c r="Q284" s="121"/>
      <c r="R284" s="121"/>
      <c r="S284" s="121"/>
      <c r="T284" s="121"/>
      <c r="U284" s="121"/>
    </row>
    <row r="285">
      <c r="A285" s="120"/>
      <c r="B285" s="123"/>
      <c r="C285" s="124"/>
      <c r="D285" s="122"/>
      <c r="E285" s="120"/>
      <c r="F285" s="122"/>
      <c r="G285" s="122"/>
      <c r="H285" s="122"/>
      <c r="I285" s="120"/>
      <c r="J285" s="120"/>
      <c r="K285" s="120"/>
      <c r="L285" s="120"/>
      <c r="M285" s="121"/>
      <c r="N285" s="121"/>
      <c r="O285" s="121"/>
      <c r="P285" s="121"/>
      <c r="Q285" s="121"/>
      <c r="R285" s="121"/>
      <c r="S285" s="121"/>
      <c r="T285" s="121"/>
      <c r="U285" s="121"/>
    </row>
    <row r="286">
      <c r="A286" s="120"/>
      <c r="B286" s="123"/>
      <c r="C286" s="124"/>
      <c r="D286" s="122"/>
      <c r="E286" s="120"/>
      <c r="F286" s="122"/>
      <c r="G286" s="122"/>
      <c r="H286" s="122"/>
      <c r="I286" s="120"/>
      <c r="J286" s="120"/>
      <c r="K286" s="120"/>
      <c r="L286" s="120"/>
      <c r="M286" s="121"/>
      <c r="N286" s="121"/>
      <c r="O286" s="121"/>
      <c r="P286" s="121"/>
      <c r="Q286" s="121"/>
      <c r="R286" s="121"/>
      <c r="S286" s="121"/>
      <c r="T286" s="121"/>
      <c r="U286" s="121"/>
    </row>
    <row r="287">
      <c r="A287" s="120"/>
      <c r="B287" s="123"/>
      <c r="C287" s="124"/>
      <c r="D287" s="122"/>
      <c r="E287" s="120"/>
      <c r="F287" s="122"/>
      <c r="G287" s="122"/>
      <c r="H287" s="122"/>
      <c r="I287" s="120"/>
      <c r="J287" s="120"/>
      <c r="K287" s="120"/>
      <c r="L287" s="120"/>
      <c r="M287" s="121"/>
      <c r="N287" s="121"/>
      <c r="O287" s="121"/>
      <c r="P287" s="121"/>
      <c r="Q287" s="121"/>
      <c r="R287" s="121"/>
      <c r="S287" s="121"/>
      <c r="T287" s="121"/>
      <c r="U287" s="121"/>
    </row>
    <row r="288">
      <c r="A288" s="120"/>
      <c r="B288" s="123"/>
      <c r="C288" s="124"/>
      <c r="D288" s="122"/>
      <c r="E288" s="120"/>
      <c r="F288" s="122"/>
      <c r="G288" s="122"/>
      <c r="H288" s="122"/>
      <c r="I288" s="120"/>
      <c r="J288" s="120"/>
      <c r="K288" s="120"/>
      <c r="L288" s="120"/>
      <c r="M288" s="121"/>
      <c r="N288" s="121"/>
      <c r="O288" s="121"/>
      <c r="P288" s="121"/>
      <c r="Q288" s="121"/>
      <c r="R288" s="121"/>
      <c r="S288" s="121"/>
      <c r="T288" s="121"/>
      <c r="U288" s="121"/>
    </row>
    <row r="289">
      <c r="A289" s="120"/>
      <c r="B289" s="123"/>
      <c r="C289" s="124"/>
      <c r="D289" s="122"/>
      <c r="E289" s="120"/>
      <c r="F289" s="122"/>
      <c r="G289" s="122"/>
      <c r="H289" s="122"/>
      <c r="I289" s="120"/>
      <c r="J289" s="120"/>
      <c r="K289" s="120"/>
      <c r="L289" s="120"/>
      <c r="M289" s="121"/>
      <c r="N289" s="121"/>
      <c r="O289" s="121"/>
      <c r="P289" s="121"/>
      <c r="Q289" s="121"/>
      <c r="R289" s="121"/>
      <c r="S289" s="121"/>
      <c r="T289" s="121"/>
      <c r="U289" s="121"/>
    </row>
    <row r="290">
      <c r="A290" s="120"/>
      <c r="B290" s="123"/>
      <c r="C290" s="124"/>
      <c r="D290" s="122"/>
      <c r="E290" s="120"/>
      <c r="F290" s="122"/>
      <c r="G290" s="122"/>
      <c r="H290" s="122"/>
      <c r="I290" s="120"/>
      <c r="J290" s="120"/>
      <c r="K290" s="120"/>
      <c r="L290" s="120"/>
      <c r="M290" s="121"/>
      <c r="N290" s="121"/>
      <c r="O290" s="121"/>
      <c r="P290" s="121"/>
      <c r="Q290" s="121"/>
      <c r="R290" s="121"/>
      <c r="S290" s="121"/>
      <c r="T290" s="121"/>
      <c r="U290" s="121"/>
    </row>
    <row r="291">
      <c r="A291" s="120"/>
      <c r="B291" s="123"/>
      <c r="C291" s="124"/>
      <c r="D291" s="122"/>
      <c r="E291" s="120"/>
      <c r="F291" s="122"/>
      <c r="G291" s="122"/>
      <c r="H291" s="122"/>
      <c r="I291" s="120"/>
      <c r="J291" s="120"/>
      <c r="K291" s="120"/>
      <c r="L291" s="120"/>
      <c r="M291" s="121"/>
      <c r="N291" s="121"/>
      <c r="O291" s="121"/>
      <c r="P291" s="121"/>
      <c r="Q291" s="121"/>
      <c r="R291" s="121"/>
      <c r="S291" s="121"/>
      <c r="T291" s="121"/>
      <c r="U291" s="121"/>
    </row>
    <row r="292">
      <c r="A292" s="120"/>
      <c r="B292" s="123"/>
      <c r="C292" s="124"/>
      <c r="D292" s="122"/>
      <c r="E292" s="120"/>
      <c r="F292" s="122"/>
      <c r="G292" s="122"/>
      <c r="H292" s="122"/>
      <c r="I292" s="120"/>
      <c r="J292" s="120"/>
      <c r="K292" s="120"/>
      <c r="L292" s="120"/>
      <c r="M292" s="121"/>
      <c r="N292" s="121"/>
      <c r="O292" s="121"/>
      <c r="P292" s="121"/>
      <c r="Q292" s="121"/>
      <c r="R292" s="121"/>
      <c r="S292" s="121"/>
      <c r="T292" s="121"/>
      <c r="U292" s="121"/>
    </row>
    <row r="293">
      <c r="A293" s="120"/>
      <c r="B293" s="123"/>
      <c r="C293" s="124"/>
      <c r="D293" s="122"/>
      <c r="E293" s="120"/>
      <c r="F293" s="122"/>
      <c r="G293" s="122"/>
      <c r="H293" s="122"/>
      <c r="I293" s="120"/>
      <c r="J293" s="120"/>
      <c r="K293" s="120"/>
      <c r="L293" s="120"/>
      <c r="M293" s="121"/>
      <c r="N293" s="121"/>
      <c r="O293" s="121"/>
      <c r="P293" s="121"/>
      <c r="Q293" s="121"/>
      <c r="R293" s="121"/>
      <c r="S293" s="121"/>
      <c r="T293" s="121"/>
      <c r="U293" s="121"/>
    </row>
    <row r="294">
      <c r="A294" s="120"/>
      <c r="B294" s="123"/>
      <c r="C294" s="124"/>
      <c r="D294" s="122"/>
      <c r="E294" s="120"/>
      <c r="F294" s="122"/>
      <c r="G294" s="122"/>
      <c r="H294" s="122"/>
      <c r="I294" s="120"/>
      <c r="J294" s="120"/>
      <c r="K294" s="120"/>
      <c r="L294" s="120"/>
      <c r="M294" s="121"/>
      <c r="N294" s="121"/>
      <c r="O294" s="121"/>
      <c r="P294" s="121"/>
      <c r="Q294" s="121"/>
      <c r="R294" s="121"/>
      <c r="S294" s="121"/>
      <c r="T294" s="121"/>
      <c r="U294" s="121"/>
    </row>
    <row r="295">
      <c r="A295" s="120"/>
      <c r="B295" s="123"/>
      <c r="C295" s="124"/>
      <c r="D295" s="122"/>
      <c r="E295" s="120"/>
      <c r="F295" s="122"/>
      <c r="G295" s="122"/>
      <c r="H295" s="122"/>
      <c r="I295" s="120"/>
      <c r="J295" s="120"/>
      <c r="K295" s="120"/>
      <c r="L295" s="120"/>
      <c r="M295" s="121"/>
      <c r="N295" s="121"/>
      <c r="O295" s="121"/>
      <c r="P295" s="121"/>
      <c r="Q295" s="121"/>
      <c r="R295" s="121"/>
      <c r="S295" s="121"/>
      <c r="T295" s="121"/>
      <c r="U295" s="121"/>
    </row>
    <row r="296">
      <c r="A296" s="120"/>
      <c r="B296" s="123"/>
      <c r="C296" s="124"/>
      <c r="D296" s="122"/>
      <c r="E296" s="120"/>
      <c r="F296" s="122"/>
      <c r="G296" s="122"/>
      <c r="H296" s="122"/>
      <c r="I296" s="120"/>
      <c r="J296" s="120"/>
      <c r="K296" s="120"/>
      <c r="L296" s="120"/>
      <c r="M296" s="121"/>
      <c r="N296" s="121"/>
      <c r="O296" s="121"/>
      <c r="P296" s="121"/>
      <c r="Q296" s="121"/>
      <c r="R296" s="121"/>
      <c r="S296" s="121"/>
      <c r="T296" s="121"/>
      <c r="U296" s="121"/>
    </row>
    <row r="297">
      <c r="A297" s="120"/>
      <c r="B297" s="123"/>
      <c r="C297" s="124"/>
      <c r="D297" s="122"/>
      <c r="E297" s="120"/>
      <c r="F297" s="122"/>
      <c r="G297" s="122"/>
      <c r="H297" s="122"/>
      <c r="I297" s="120"/>
      <c r="J297" s="120"/>
      <c r="K297" s="120"/>
      <c r="L297" s="120"/>
      <c r="M297" s="121"/>
      <c r="N297" s="121"/>
      <c r="O297" s="121"/>
      <c r="P297" s="121"/>
      <c r="Q297" s="121"/>
      <c r="R297" s="121"/>
      <c r="S297" s="121"/>
      <c r="T297" s="121"/>
      <c r="U297" s="121"/>
    </row>
    <row r="298">
      <c r="A298" s="120"/>
      <c r="B298" s="123"/>
      <c r="C298" s="124"/>
      <c r="D298" s="122"/>
      <c r="E298" s="120"/>
      <c r="F298" s="122"/>
      <c r="G298" s="122"/>
      <c r="H298" s="122"/>
      <c r="I298" s="120"/>
      <c r="J298" s="120"/>
      <c r="K298" s="120"/>
      <c r="L298" s="120"/>
      <c r="M298" s="121"/>
      <c r="N298" s="121"/>
      <c r="O298" s="121"/>
      <c r="P298" s="121"/>
      <c r="Q298" s="121"/>
      <c r="R298" s="121"/>
      <c r="S298" s="121"/>
      <c r="T298" s="121"/>
      <c r="U298" s="121"/>
    </row>
    <row r="299">
      <c r="A299" s="120"/>
      <c r="B299" s="123"/>
      <c r="C299" s="124"/>
      <c r="D299" s="122"/>
      <c r="E299" s="120"/>
      <c r="F299" s="122"/>
      <c r="G299" s="122"/>
      <c r="H299" s="122"/>
      <c r="I299" s="120"/>
      <c r="J299" s="120"/>
      <c r="K299" s="120"/>
      <c r="L299" s="120"/>
      <c r="M299" s="121"/>
      <c r="N299" s="121"/>
      <c r="O299" s="121"/>
      <c r="P299" s="121"/>
      <c r="Q299" s="121"/>
      <c r="R299" s="121"/>
      <c r="S299" s="121"/>
      <c r="T299" s="121"/>
      <c r="U299" s="121"/>
    </row>
    <row r="300">
      <c r="A300" s="120"/>
      <c r="B300" s="123"/>
      <c r="C300" s="124"/>
      <c r="D300" s="122"/>
      <c r="E300" s="120"/>
      <c r="F300" s="122"/>
      <c r="G300" s="122"/>
      <c r="H300" s="122"/>
      <c r="I300" s="120"/>
      <c r="J300" s="120"/>
      <c r="K300" s="120"/>
      <c r="L300" s="120"/>
      <c r="M300" s="121"/>
      <c r="N300" s="121"/>
      <c r="O300" s="121"/>
      <c r="P300" s="121"/>
      <c r="Q300" s="121"/>
      <c r="R300" s="121"/>
      <c r="S300" s="121"/>
      <c r="T300" s="121"/>
      <c r="U300" s="121"/>
    </row>
    <row r="301">
      <c r="A301" s="120"/>
      <c r="B301" s="123"/>
      <c r="C301" s="124"/>
      <c r="D301" s="122"/>
      <c r="E301" s="120"/>
      <c r="F301" s="122"/>
      <c r="G301" s="122"/>
      <c r="H301" s="122"/>
      <c r="I301" s="120"/>
      <c r="J301" s="120"/>
      <c r="K301" s="120"/>
      <c r="L301" s="120"/>
      <c r="M301" s="121"/>
      <c r="N301" s="121"/>
      <c r="O301" s="121"/>
      <c r="P301" s="121"/>
      <c r="Q301" s="121"/>
      <c r="R301" s="121"/>
      <c r="S301" s="121"/>
      <c r="T301" s="121"/>
      <c r="U301" s="121"/>
    </row>
    <row r="302">
      <c r="A302" s="120"/>
      <c r="B302" s="123"/>
      <c r="C302" s="124"/>
      <c r="D302" s="122"/>
      <c r="E302" s="120"/>
      <c r="F302" s="122"/>
      <c r="G302" s="122"/>
      <c r="H302" s="122"/>
      <c r="I302" s="120"/>
      <c r="J302" s="120"/>
      <c r="K302" s="120"/>
      <c r="L302" s="120"/>
      <c r="M302" s="121"/>
      <c r="N302" s="121"/>
      <c r="O302" s="121"/>
      <c r="P302" s="121"/>
      <c r="Q302" s="121"/>
      <c r="R302" s="121"/>
      <c r="S302" s="121"/>
      <c r="T302" s="121"/>
      <c r="U302" s="121"/>
    </row>
    <row r="303">
      <c r="A303" s="120"/>
      <c r="B303" s="123"/>
      <c r="C303" s="124"/>
      <c r="D303" s="125"/>
      <c r="E303" s="120"/>
      <c r="F303" s="125"/>
      <c r="G303" s="125"/>
      <c r="H303" s="125"/>
      <c r="I303" s="120"/>
      <c r="J303" s="120"/>
      <c r="K303" s="120"/>
      <c r="L303" s="120"/>
      <c r="M303" s="121"/>
      <c r="N303" s="121"/>
      <c r="O303" s="121"/>
      <c r="P303" s="121"/>
      <c r="Q303" s="121"/>
      <c r="R303" s="121"/>
      <c r="S303" s="121"/>
      <c r="T303" s="121"/>
      <c r="U303" s="121"/>
    </row>
    <row r="304">
      <c r="A304" s="120"/>
      <c r="B304" s="123"/>
      <c r="C304" s="124"/>
      <c r="D304" s="125"/>
      <c r="E304" s="120"/>
      <c r="F304" s="125"/>
      <c r="G304" s="125"/>
      <c r="H304" s="125"/>
      <c r="I304" s="120"/>
      <c r="J304" s="120"/>
      <c r="K304" s="120"/>
      <c r="L304" s="120"/>
      <c r="M304" s="121"/>
      <c r="N304" s="121"/>
      <c r="O304" s="121"/>
      <c r="P304" s="121"/>
      <c r="Q304" s="121"/>
      <c r="R304" s="121"/>
      <c r="S304" s="121"/>
      <c r="T304" s="121"/>
      <c r="U304" s="121"/>
    </row>
    <row r="305">
      <c r="A305" s="120"/>
      <c r="B305" s="123"/>
      <c r="C305" s="124"/>
      <c r="D305" s="125"/>
      <c r="E305" s="120"/>
      <c r="F305" s="125"/>
      <c r="G305" s="125"/>
      <c r="H305" s="125"/>
      <c r="I305" s="120"/>
      <c r="J305" s="120"/>
      <c r="K305" s="120"/>
      <c r="L305" s="120"/>
      <c r="M305" s="121"/>
      <c r="N305" s="121"/>
      <c r="O305" s="121"/>
      <c r="P305" s="121"/>
      <c r="Q305" s="121"/>
      <c r="R305" s="121"/>
      <c r="S305" s="121"/>
      <c r="T305" s="121"/>
      <c r="U305" s="121"/>
    </row>
    <row r="306">
      <c r="A306" s="120"/>
      <c r="B306" s="123"/>
      <c r="C306" s="124"/>
      <c r="D306" s="125"/>
      <c r="E306" s="120"/>
      <c r="F306" s="125"/>
      <c r="G306" s="125"/>
      <c r="H306" s="125"/>
      <c r="I306" s="120"/>
      <c r="J306" s="120"/>
      <c r="K306" s="120"/>
      <c r="L306" s="120"/>
      <c r="M306" s="121"/>
      <c r="N306" s="121"/>
      <c r="O306" s="121"/>
      <c r="P306" s="121"/>
      <c r="Q306" s="121"/>
      <c r="R306" s="121"/>
      <c r="S306" s="121"/>
      <c r="T306" s="121"/>
      <c r="U306" s="121"/>
    </row>
    <row r="307">
      <c r="A307" s="120"/>
      <c r="B307" s="123"/>
      <c r="C307" s="124"/>
      <c r="D307" s="125"/>
      <c r="E307" s="120"/>
      <c r="F307" s="125"/>
      <c r="G307" s="125"/>
      <c r="H307" s="125"/>
      <c r="I307" s="120"/>
      <c r="J307" s="120"/>
      <c r="K307" s="120"/>
      <c r="L307" s="120"/>
      <c r="M307" s="121"/>
      <c r="N307" s="121"/>
      <c r="O307" s="121"/>
      <c r="P307" s="121"/>
      <c r="Q307" s="121"/>
      <c r="R307" s="121"/>
      <c r="S307" s="121"/>
      <c r="T307" s="121"/>
      <c r="U307" s="121"/>
    </row>
    <row r="308">
      <c r="A308" s="120"/>
      <c r="B308" s="123"/>
      <c r="C308" s="124"/>
      <c r="D308" s="125"/>
      <c r="E308" s="120"/>
      <c r="F308" s="125"/>
      <c r="G308" s="125"/>
      <c r="H308" s="125"/>
      <c r="I308" s="120"/>
      <c r="J308" s="120"/>
      <c r="K308" s="120"/>
      <c r="L308" s="120"/>
      <c r="M308" s="121"/>
      <c r="N308" s="121"/>
      <c r="O308" s="121"/>
      <c r="P308" s="121"/>
      <c r="Q308" s="121"/>
      <c r="R308" s="121"/>
      <c r="S308" s="121"/>
      <c r="T308" s="121"/>
      <c r="U308" s="121"/>
    </row>
    <row r="309">
      <c r="A309" s="120"/>
      <c r="B309" s="123"/>
      <c r="C309" s="124"/>
      <c r="D309" s="125"/>
      <c r="E309" s="120"/>
      <c r="F309" s="125"/>
      <c r="G309" s="125"/>
      <c r="H309" s="125"/>
      <c r="I309" s="120"/>
      <c r="J309" s="120"/>
      <c r="K309" s="120"/>
      <c r="L309" s="120"/>
      <c r="M309" s="121"/>
      <c r="N309" s="121"/>
      <c r="O309" s="121"/>
      <c r="P309" s="121"/>
      <c r="Q309" s="121"/>
      <c r="R309" s="121"/>
      <c r="S309" s="121"/>
      <c r="T309" s="121"/>
      <c r="U309" s="121"/>
    </row>
    <row r="310">
      <c r="A310" s="120"/>
      <c r="B310" s="123"/>
      <c r="C310" s="124"/>
      <c r="D310" s="125"/>
      <c r="E310" s="120"/>
      <c r="F310" s="125"/>
      <c r="G310" s="125"/>
      <c r="H310" s="125"/>
      <c r="I310" s="120"/>
      <c r="J310" s="120"/>
      <c r="K310" s="120"/>
      <c r="L310" s="120"/>
      <c r="M310" s="121"/>
      <c r="N310" s="121"/>
      <c r="O310" s="121"/>
      <c r="P310" s="121"/>
      <c r="Q310" s="121"/>
      <c r="R310" s="121"/>
      <c r="S310" s="121"/>
      <c r="T310" s="121"/>
      <c r="U310" s="121"/>
    </row>
    <row r="311">
      <c r="A311" s="120"/>
      <c r="B311" s="123"/>
      <c r="C311" s="124"/>
      <c r="D311" s="125"/>
      <c r="E311" s="120"/>
      <c r="F311" s="125"/>
      <c r="G311" s="125"/>
      <c r="H311" s="125"/>
      <c r="I311" s="120"/>
      <c r="J311" s="120"/>
      <c r="K311" s="120"/>
      <c r="L311" s="120"/>
      <c r="M311" s="121"/>
      <c r="N311" s="121"/>
      <c r="O311" s="121"/>
      <c r="P311" s="121"/>
      <c r="Q311" s="121"/>
      <c r="R311" s="121"/>
      <c r="S311" s="121"/>
      <c r="T311" s="121"/>
      <c r="U311" s="121"/>
    </row>
    <row r="312">
      <c r="A312" s="120"/>
      <c r="B312" s="123"/>
      <c r="C312" s="124"/>
      <c r="D312" s="125"/>
      <c r="E312" s="120"/>
      <c r="F312" s="125"/>
      <c r="G312" s="125"/>
      <c r="H312" s="125"/>
      <c r="I312" s="120"/>
      <c r="J312" s="120"/>
      <c r="K312" s="120"/>
      <c r="L312" s="120"/>
      <c r="M312" s="121"/>
      <c r="N312" s="121"/>
      <c r="O312" s="121"/>
      <c r="P312" s="121"/>
      <c r="Q312" s="121"/>
      <c r="R312" s="121"/>
      <c r="S312" s="121"/>
      <c r="T312" s="121"/>
      <c r="U312" s="121"/>
    </row>
    <row r="313">
      <c r="A313" s="120"/>
      <c r="B313" s="123"/>
      <c r="C313" s="124"/>
      <c r="D313" s="125"/>
      <c r="E313" s="120"/>
      <c r="F313" s="125"/>
      <c r="G313" s="125"/>
      <c r="H313" s="125"/>
      <c r="I313" s="120"/>
      <c r="J313" s="120"/>
      <c r="K313" s="120"/>
      <c r="L313" s="120"/>
      <c r="M313" s="121"/>
      <c r="N313" s="121"/>
      <c r="O313" s="121"/>
      <c r="P313" s="121"/>
      <c r="Q313" s="121"/>
      <c r="R313" s="121"/>
      <c r="S313" s="121"/>
      <c r="T313" s="121"/>
      <c r="U313" s="121"/>
    </row>
    <row r="314">
      <c r="A314" s="120"/>
      <c r="B314" s="123"/>
      <c r="C314" s="124"/>
      <c r="D314" s="125"/>
      <c r="E314" s="120"/>
      <c r="F314" s="125"/>
      <c r="G314" s="125"/>
      <c r="H314" s="125"/>
      <c r="I314" s="120"/>
      <c r="J314" s="120"/>
      <c r="K314" s="120"/>
      <c r="L314" s="120"/>
      <c r="M314" s="121"/>
      <c r="N314" s="121"/>
      <c r="O314" s="121"/>
      <c r="P314" s="121"/>
      <c r="Q314" s="121"/>
      <c r="R314" s="121"/>
      <c r="S314" s="121"/>
      <c r="T314" s="121"/>
      <c r="U314" s="121"/>
    </row>
    <row r="315">
      <c r="A315" s="120"/>
      <c r="B315" s="123"/>
      <c r="C315" s="124"/>
      <c r="D315" s="125"/>
      <c r="E315" s="120"/>
      <c r="F315" s="125"/>
      <c r="G315" s="125"/>
      <c r="H315" s="125"/>
      <c r="I315" s="120"/>
      <c r="J315" s="120"/>
      <c r="K315" s="120"/>
      <c r="L315" s="120"/>
      <c r="M315" s="121"/>
      <c r="N315" s="121"/>
      <c r="O315" s="121"/>
      <c r="P315" s="121"/>
      <c r="Q315" s="121"/>
      <c r="R315" s="121"/>
      <c r="S315" s="121"/>
      <c r="T315" s="121"/>
      <c r="U315" s="121"/>
    </row>
    <row r="316">
      <c r="A316" s="120"/>
      <c r="B316" s="123"/>
      <c r="C316" s="124"/>
      <c r="D316" s="125"/>
      <c r="E316" s="120"/>
      <c r="F316" s="125"/>
      <c r="G316" s="125"/>
      <c r="H316" s="125"/>
      <c r="I316" s="120"/>
      <c r="J316" s="120"/>
      <c r="K316" s="120"/>
      <c r="L316" s="120"/>
      <c r="M316" s="121"/>
      <c r="N316" s="121"/>
      <c r="O316" s="121"/>
      <c r="P316" s="121"/>
      <c r="Q316" s="121"/>
      <c r="R316" s="121"/>
      <c r="S316" s="121"/>
      <c r="T316" s="121"/>
      <c r="U316" s="121"/>
    </row>
    <row r="317">
      <c r="A317" s="120"/>
      <c r="B317" s="123"/>
      <c r="C317" s="124"/>
      <c r="D317" s="125"/>
      <c r="E317" s="120"/>
      <c r="F317" s="125"/>
      <c r="G317" s="125"/>
      <c r="H317" s="125"/>
      <c r="I317" s="120"/>
      <c r="J317" s="120"/>
      <c r="K317" s="120"/>
      <c r="L317" s="120"/>
      <c r="M317" s="121"/>
      <c r="N317" s="121"/>
      <c r="O317" s="121"/>
      <c r="P317" s="121"/>
      <c r="Q317" s="121"/>
      <c r="R317" s="121"/>
      <c r="S317" s="121"/>
      <c r="T317" s="121"/>
      <c r="U317" s="121"/>
    </row>
    <row r="318">
      <c r="A318" s="120"/>
      <c r="B318" s="123"/>
      <c r="C318" s="124"/>
      <c r="D318" s="125"/>
      <c r="E318" s="120"/>
      <c r="F318" s="125"/>
      <c r="G318" s="125"/>
      <c r="H318" s="125"/>
      <c r="I318" s="120"/>
      <c r="J318" s="120"/>
      <c r="K318" s="120"/>
      <c r="L318" s="120"/>
      <c r="M318" s="121"/>
      <c r="N318" s="121"/>
      <c r="O318" s="121"/>
      <c r="P318" s="121"/>
      <c r="Q318" s="121"/>
      <c r="R318" s="121"/>
      <c r="S318" s="121"/>
      <c r="T318" s="121"/>
      <c r="U318" s="121"/>
    </row>
    <row r="319">
      <c r="A319" s="120"/>
      <c r="B319" s="123"/>
      <c r="C319" s="124"/>
      <c r="D319" s="125"/>
      <c r="E319" s="120"/>
      <c r="F319" s="125"/>
      <c r="G319" s="125"/>
      <c r="H319" s="125"/>
      <c r="I319" s="120"/>
      <c r="J319" s="120"/>
      <c r="K319" s="120"/>
      <c r="L319" s="120"/>
      <c r="M319" s="121"/>
      <c r="N319" s="121"/>
      <c r="O319" s="121"/>
      <c r="P319" s="121"/>
      <c r="Q319" s="121"/>
      <c r="R319" s="121"/>
      <c r="S319" s="121"/>
      <c r="T319" s="121"/>
      <c r="U319" s="121"/>
    </row>
    <row r="320">
      <c r="A320" s="120"/>
      <c r="B320" s="123"/>
      <c r="C320" s="124"/>
      <c r="D320" s="125"/>
      <c r="E320" s="120"/>
      <c r="F320" s="125"/>
      <c r="G320" s="125"/>
      <c r="H320" s="125"/>
      <c r="I320" s="120"/>
      <c r="J320" s="120"/>
      <c r="K320" s="120"/>
      <c r="L320" s="120"/>
      <c r="M320" s="121"/>
      <c r="N320" s="121"/>
      <c r="O320" s="121"/>
      <c r="P320" s="121"/>
      <c r="Q320" s="121"/>
      <c r="R320" s="121"/>
      <c r="S320" s="121"/>
      <c r="T320" s="121"/>
      <c r="U320" s="121"/>
    </row>
    <row r="321">
      <c r="A321" s="120"/>
      <c r="B321" s="123"/>
      <c r="C321" s="124"/>
      <c r="D321" s="125"/>
      <c r="E321" s="120"/>
      <c r="F321" s="125"/>
      <c r="G321" s="125"/>
      <c r="H321" s="125"/>
      <c r="I321" s="120"/>
      <c r="J321" s="120"/>
      <c r="K321" s="120"/>
      <c r="L321" s="120"/>
      <c r="M321" s="121"/>
      <c r="N321" s="121"/>
      <c r="O321" s="121"/>
      <c r="P321" s="121"/>
      <c r="Q321" s="121"/>
      <c r="R321" s="121"/>
      <c r="S321" s="121"/>
      <c r="T321" s="121"/>
      <c r="U321" s="121"/>
    </row>
    <row r="322">
      <c r="A322" s="120"/>
      <c r="B322" s="123"/>
      <c r="C322" s="124"/>
      <c r="D322" s="125"/>
      <c r="E322" s="120"/>
      <c r="F322" s="125"/>
      <c r="G322" s="125"/>
      <c r="H322" s="125"/>
      <c r="I322" s="120"/>
      <c r="J322" s="120"/>
      <c r="K322" s="120"/>
      <c r="L322" s="120"/>
      <c r="M322" s="121"/>
      <c r="N322" s="121"/>
      <c r="O322" s="121"/>
      <c r="P322" s="121"/>
      <c r="Q322" s="121"/>
      <c r="R322" s="121"/>
      <c r="S322" s="121"/>
      <c r="T322" s="121"/>
      <c r="U322" s="121"/>
    </row>
    <row r="323">
      <c r="A323" s="120"/>
      <c r="B323" s="123"/>
      <c r="C323" s="124"/>
      <c r="D323" s="125"/>
      <c r="E323" s="120"/>
      <c r="F323" s="125"/>
      <c r="G323" s="125"/>
      <c r="H323" s="125"/>
      <c r="I323" s="120"/>
      <c r="J323" s="120"/>
      <c r="K323" s="120"/>
      <c r="L323" s="120"/>
      <c r="M323" s="121"/>
      <c r="N323" s="121"/>
      <c r="O323" s="121"/>
      <c r="P323" s="121"/>
      <c r="Q323" s="121"/>
      <c r="R323" s="121"/>
      <c r="S323" s="121"/>
      <c r="T323" s="121"/>
      <c r="U323" s="121"/>
    </row>
    <row r="324">
      <c r="A324" s="120"/>
      <c r="B324" s="123"/>
      <c r="C324" s="124"/>
      <c r="D324" s="125"/>
      <c r="E324" s="120"/>
      <c r="F324" s="125"/>
      <c r="G324" s="125"/>
      <c r="H324" s="125"/>
      <c r="I324" s="120"/>
      <c r="J324" s="120"/>
      <c r="K324" s="120"/>
      <c r="L324" s="120"/>
      <c r="M324" s="121"/>
      <c r="N324" s="121"/>
      <c r="O324" s="121"/>
      <c r="P324" s="121"/>
      <c r="Q324" s="121"/>
      <c r="R324" s="121"/>
      <c r="S324" s="121"/>
      <c r="T324" s="121"/>
      <c r="U324" s="121"/>
    </row>
    <row r="325">
      <c r="A325" s="120"/>
      <c r="B325" s="123"/>
      <c r="C325" s="124"/>
      <c r="D325" s="125"/>
      <c r="E325" s="120"/>
      <c r="F325" s="125"/>
      <c r="G325" s="125"/>
      <c r="H325" s="125"/>
      <c r="I325" s="120"/>
      <c r="J325" s="120"/>
      <c r="K325" s="120"/>
      <c r="L325" s="120"/>
      <c r="M325" s="121"/>
      <c r="N325" s="121"/>
      <c r="O325" s="121"/>
      <c r="P325" s="121"/>
      <c r="Q325" s="121"/>
      <c r="R325" s="121"/>
      <c r="S325" s="121"/>
      <c r="T325" s="121"/>
      <c r="U325" s="121"/>
    </row>
    <row r="326">
      <c r="A326" s="120"/>
      <c r="B326" s="123"/>
      <c r="C326" s="124"/>
      <c r="D326" s="125"/>
      <c r="E326" s="120"/>
      <c r="F326" s="125"/>
      <c r="G326" s="125"/>
      <c r="H326" s="125"/>
      <c r="I326" s="120"/>
      <c r="J326" s="120"/>
      <c r="K326" s="120"/>
      <c r="L326" s="120"/>
      <c r="M326" s="121"/>
      <c r="N326" s="121"/>
      <c r="O326" s="121"/>
      <c r="P326" s="121"/>
      <c r="Q326" s="121"/>
      <c r="R326" s="121"/>
      <c r="S326" s="121"/>
      <c r="T326" s="121"/>
      <c r="U326" s="121"/>
    </row>
    <row r="327">
      <c r="A327" s="120"/>
      <c r="B327" s="123"/>
      <c r="C327" s="124"/>
      <c r="D327" s="125"/>
      <c r="E327" s="120"/>
      <c r="F327" s="125"/>
      <c r="G327" s="125"/>
      <c r="H327" s="125"/>
      <c r="I327" s="120"/>
      <c r="J327" s="120"/>
      <c r="K327" s="120"/>
      <c r="L327" s="120"/>
      <c r="M327" s="121"/>
      <c r="N327" s="121"/>
      <c r="O327" s="121"/>
      <c r="P327" s="121"/>
      <c r="Q327" s="121"/>
      <c r="R327" s="121"/>
      <c r="S327" s="121"/>
      <c r="T327" s="121"/>
      <c r="U327" s="121"/>
    </row>
    <row r="328">
      <c r="A328" s="120"/>
      <c r="B328" s="123"/>
      <c r="C328" s="124"/>
      <c r="D328" s="125"/>
      <c r="E328" s="120"/>
      <c r="F328" s="125"/>
      <c r="G328" s="125"/>
      <c r="H328" s="125"/>
      <c r="I328" s="120"/>
      <c r="J328" s="120"/>
      <c r="K328" s="120"/>
      <c r="L328" s="120"/>
      <c r="M328" s="121"/>
      <c r="N328" s="121"/>
      <c r="O328" s="121"/>
      <c r="P328" s="121"/>
      <c r="Q328" s="121"/>
      <c r="R328" s="121"/>
      <c r="S328" s="121"/>
      <c r="T328" s="121"/>
      <c r="U328" s="121"/>
    </row>
    <row r="329">
      <c r="A329" s="120"/>
      <c r="B329" s="123"/>
      <c r="C329" s="124"/>
      <c r="D329" s="125"/>
      <c r="E329" s="120"/>
      <c r="F329" s="125"/>
      <c r="G329" s="125"/>
      <c r="H329" s="125"/>
      <c r="I329" s="120"/>
      <c r="J329" s="120"/>
      <c r="K329" s="120"/>
      <c r="L329" s="120"/>
      <c r="M329" s="121"/>
      <c r="N329" s="121"/>
      <c r="O329" s="121"/>
      <c r="P329" s="121"/>
      <c r="Q329" s="121"/>
      <c r="R329" s="121"/>
      <c r="S329" s="121"/>
      <c r="T329" s="121"/>
      <c r="U329" s="121"/>
    </row>
    <row r="330">
      <c r="A330" s="120"/>
      <c r="B330" s="123"/>
      <c r="C330" s="124"/>
      <c r="D330" s="125"/>
      <c r="E330" s="120"/>
      <c r="F330" s="125"/>
      <c r="G330" s="125"/>
      <c r="H330" s="125"/>
      <c r="I330" s="120"/>
      <c r="J330" s="120"/>
      <c r="K330" s="120"/>
      <c r="L330" s="120"/>
      <c r="M330" s="121"/>
      <c r="N330" s="121"/>
      <c r="O330" s="121"/>
      <c r="P330" s="121"/>
      <c r="Q330" s="121"/>
      <c r="R330" s="121"/>
      <c r="S330" s="121"/>
      <c r="T330" s="121"/>
      <c r="U330" s="121"/>
    </row>
    <row r="331">
      <c r="A331" s="120"/>
      <c r="B331" s="123"/>
      <c r="C331" s="124"/>
      <c r="D331" s="125"/>
      <c r="E331" s="120"/>
      <c r="F331" s="125"/>
      <c r="G331" s="125"/>
      <c r="H331" s="125"/>
      <c r="I331" s="120"/>
      <c r="J331" s="120"/>
      <c r="K331" s="120"/>
      <c r="L331" s="120"/>
      <c r="M331" s="121"/>
      <c r="N331" s="121"/>
      <c r="O331" s="121"/>
      <c r="P331" s="121"/>
      <c r="Q331" s="121"/>
      <c r="R331" s="121"/>
      <c r="S331" s="121"/>
      <c r="T331" s="121"/>
      <c r="U331" s="121"/>
    </row>
    <row r="332">
      <c r="A332" s="120"/>
      <c r="B332" s="123"/>
      <c r="C332" s="124"/>
      <c r="D332" s="125"/>
      <c r="E332" s="120"/>
      <c r="F332" s="125"/>
      <c r="G332" s="125"/>
      <c r="H332" s="125"/>
      <c r="I332" s="120"/>
      <c r="J332" s="120"/>
      <c r="K332" s="120"/>
      <c r="L332" s="120"/>
      <c r="M332" s="121"/>
      <c r="N332" s="121"/>
      <c r="O332" s="121"/>
      <c r="P332" s="121"/>
      <c r="Q332" s="121"/>
      <c r="R332" s="121"/>
      <c r="S332" s="121"/>
      <c r="T332" s="121"/>
      <c r="U332" s="121"/>
    </row>
    <row r="333">
      <c r="A333" s="120"/>
      <c r="B333" s="123"/>
      <c r="C333" s="124"/>
      <c r="D333" s="125"/>
      <c r="E333" s="120"/>
      <c r="F333" s="125"/>
      <c r="G333" s="125"/>
      <c r="H333" s="125"/>
      <c r="I333" s="120"/>
      <c r="J333" s="120"/>
      <c r="K333" s="120"/>
      <c r="L333" s="120"/>
      <c r="M333" s="121"/>
      <c r="N333" s="121"/>
      <c r="O333" s="121"/>
      <c r="P333" s="121"/>
      <c r="Q333" s="121"/>
      <c r="R333" s="121"/>
      <c r="S333" s="121"/>
      <c r="T333" s="121"/>
      <c r="U333" s="121"/>
    </row>
    <row r="334">
      <c r="A334" s="120"/>
      <c r="B334" s="123"/>
      <c r="C334" s="124"/>
      <c r="D334" s="125"/>
      <c r="E334" s="120"/>
      <c r="F334" s="125"/>
      <c r="G334" s="125"/>
      <c r="H334" s="125"/>
      <c r="I334" s="120"/>
      <c r="J334" s="120"/>
      <c r="K334" s="120"/>
      <c r="L334" s="120"/>
      <c r="M334" s="121"/>
      <c r="N334" s="121"/>
      <c r="O334" s="121"/>
      <c r="P334" s="121"/>
      <c r="Q334" s="121"/>
      <c r="R334" s="121"/>
      <c r="S334" s="121"/>
      <c r="T334" s="121"/>
      <c r="U334" s="121"/>
    </row>
    <row r="335">
      <c r="A335" s="120"/>
      <c r="B335" s="123"/>
      <c r="C335" s="124"/>
      <c r="D335" s="125"/>
      <c r="E335" s="120"/>
      <c r="F335" s="125"/>
      <c r="G335" s="125"/>
      <c r="H335" s="125"/>
      <c r="I335" s="120"/>
      <c r="J335" s="120"/>
      <c r="K335" s="120"/>
      <c r="L335" s="120"/>
      <c r="M335" s="121"/>
      <c r="N335" s="121"/>
      <c r="O335" s="121"/>
      <c r="P335" s="121"/>
      <c r="Q335" s="121"/>
      <c r="R335" s="121"/>
      <c r="S335" s="121"/>
      <c r="T335" s="121"/>
      <c r="U335" s="121"/>
    </row>
    <row r="336">
      <c r="A336" s="120"/>
      <c r="B336" s="123"/>
      <c r="C336" s="124"/>
      <c r="D336" s="125"/>
      <c r="E336" s="120"/>
      <c r="F336" s="125"/>
      <c r="G336" s="125"/>
      <c r="H336" s="125"/>
      <c r="I336" s="120"/>
      <c r="J336" s="120"/>
      <c r="K336" s="120"/>
      <c r="L336" s="120"/>
      <c r="M336" s="121"/>
      <c r="N336" s="121"/>
      <c r="O336" s="121"/>
      <c r="P336" s="121"/>
      <c r="Q336" s="121"/>
      <c r="R336" s="121"/>
      <c r="S336" s="121"/>
      <c r="T336" s="121"/>
      <c r="U336" s="121"/>
    </row>
    <row r="337">
      <c r="A337" s="120"/>
      <c r="B337" s="123"/>
      <c r="C337" s="124"/>
      <c r="D337" s="125"/>
      <c r="E337" s="120"/>
      <c r="F337" s="125"/>
      <c r="G337" s="125"/>
      <c r="H337" s="125"/>
      <c r="I337" s="120"/>
      <c r="J337" s="120"/>
      <c r="K337" s="120"/>
      <c r="L337" s="120"/>
      <c r="M337" s="121"/>
      <c r="N337" s="121"/>
      <c r="O337" s="121"/>
      <c r="P337" s="121"/>
      <c r="Q337" s="121"/>
      <c r="R337" s="121"/>
      <c r="S337" s="121"/>
      <c r="T337" s="121"/>
      <c r="U337" s="121"/>
    </row>
    <row r="338">
      <c r="A338" s="120"/>
      <c r="B338" s="123"/>
      <c r="C338" s="124"/>
      <c r="D338" s="125"/>
      <c r="E338" s="120"/>
      <c r="F338" s="125"/>
      <c r="G338" s="125"/>
      <c r="H338" s="125"/>
      <c r="I338" s="120"/>
      <c r="J338" s="120"/>
      <c r="K338" s="120"/>
      <c r="L338" s="120"/>
      <c r="M338" s="121"/>
      <c r="N338" s="121"/>
      <c r="O338" s="121"/>
      <c r="P338" s="121"/>
      <c r="Q338" s="121"/>
      <c r="R338" s="121"/>
      <c r="S338" s="121"/>
      <c r="T338" s="121"/>
      <c r="U338" s="121"/>
    </row>
    <row r="339">
      <c r="A339" s="120"/>
      <c r="B339" s="123"/>
      <c r="C339" s="124"/>
      <c r="D339" s="125"/>
      <c r="E339" s="120"/>
      <c r="F339" s="125"/>
      <c r="G339" s="125"/>
      <c r="H339" s="125"/>
      <c r="I339" s="120"/>
      <c r="J339" s="120"/>
      <c r="K339" s="120"/>
      <c r="L339" s="120"/>
      <c r="M339" s="121"/>
      <c r="N339" s="121"/>
      <c r="O339" s="121"/>
      <c r="P339" s="121"/>
      <c r="Q339" s="121"/>
      <c r="R339" s="121"/>
      <c r="S339" s="121"/>
      <c r="T339" s="121"/>
      <c r="U339" s="121"/>
    </row>
    <row r="340">
      <c r="A340" s="120"/>
      <c r="B340" s="123"/>
      <c r="C340" s="124"/>
      <c r="D340" s="125"/>
      <c r="E340" s="120"/>
      <c r="F340" s="125"/>
      <c r="G340" s="125"/>
      <c r="H340" s="125"/>
      <c r="I340" s="120"/>
      <c r="J340" s="120"/>
      <c r="K340" s="120"/>
      <c r="L340" s="120"/>
      <c r="M340" s="121"/>
      <c r="N340" s="121"/>
      <c r="O340" s="121"/>
      <c r="P340" s="121"/>
      <c r="Q340" s="121"/>
      <c r="R340" s="121"/>
      <c r="S340" s="121"/>
      <c r="T340" s="121"/>
      <c r="U340" s="121"/>
    </row>
    <row r="341">
      <c r="A341" s="120"/>
      <c r="B341" s="123"/>
      <c r="C341" s="124"/>
      <c r="D341" s="125"/>
      <c r="E341" s="120"/>
      <c r="F341" s="125"/>
      <c r="G341" s="125"/>
      <c r="H341" s="125"/>
      <c r="I341" s="120"/>
      <c r="J341" s="120"/>
      <c r="K341" s="120"/>
      <c r="L341" s="120"/>
      <c r="M341" s="121"/>
      <c r="N341" s="121"/>
      <c r="O341" s="121"/>
      <c r="P341" s="121"/>
      <c r="Q341" s="121"/>
      <c r="R341" s="121"/>
      <c r="S341" s="121"/>
      <c r="T341" s="121"/>
      <c r="U341" s="121"/>
    </row>
    <row r="342">
      <c r="A342" s="120"/>
      <c r="B342" s="123"/>
      <c r="C342" s="124"/>
      <c r="D342" s="125"/>
      <c r="E342" s="120"/>
      <c r="F342" s="125"/>
      <c r="G342" s="125"/>
      <c r="H342" s="125"/>
      <c r="I342" s="120"/>
      <c r="J342" s="120"/>
      <c r="K342" s="120"/>
      <c r="L342" s="120"/>
      <c r="M342" s="121"/>
      <c r="N342" s="121"/>
      <c r="O342" s="121"/>
      <c r="P342" s="121"/>
      <c r="Q342" s="121"/>
      <c r="R342" s="121"/>
      <c r="S342" s="121"/>
      <c r="T342" s="121"/>
      <c r="U342" s="121"/>
    </row>
    <row r="343">
      <c r="A343" s="120"/>
      <c r="B343" s="123"/>
      <c r="C343" s="124"/>
      <c r="D343" s="125"/>
      <c r="E343" s="120"/>
      <c r="F343" s="125"/>
      <c r="G343" s="125"/>
      <c r="H343" s="125"/>
      <c r="I343" s="120"/>
      <c r="J343" s="120"/>
      <c r="K343" s="120"/>
      <c r="L343" s="120"/>
      <c r="M343" s="121"/>
      <c r="N343" s="121"/>
      <c r="O343" s="121"/>
      <c r="P343" s="121"/>
      <c r="Q343" s="121"/>
      <c r="R343" s="121"/>
      <c r="S343" s="121"/>
      <c r="T343" s="121"/>
      <c r="U343" s="121"/>
    </row>
    <row r="344">
      <c r="A344" s="120"/>
      <c r="B344" s="123"/>
      <c r="C344" s="124"/>
      <c r="D344" s="125"/>
      <c r="E344" s="120"/>
      <c r="F344" s="125"/>
      <c r="G344" s="125"/>
      <c r="H344" s="125"/>
      <c r="I344" s="120"/>
      <c r="J344" s="120"/>
      <c r="K344" s="120"/>
      <c r="L344" s="120"/>
      <c r="M344" s="121"/>
      <c r="N344" s="121"/>
      <c r="O344" s="121"/>
      <c r="P344" s="121"/>
      <c r="Q344" s="121"/>
      <c r="R344" s="121"/>
      <c r="S344" s="121"/>
      <c r="T344" s="121"/>
      <c r="U344" s="121"/>
    </row>
    <row r="345">
      <c r="A345" s="120"/>
      <c r="B345" s="123"/>
      <c r="C345" s="124"/>
      <c r="D345" s="125"/>
      <c r="E345" s="120"/>
      <c r="F345" s="125"/>
      <c r="G345" s="125"/>
      <c r="H345" s="125"/>
      <c r="I345" s="120"/>
      <c r="J345" s="120"/>
      <c r="K345" s="120"/>
      <c r="L345" s="120"/>
      <c r="M345" s="121"/>
      <c r="N345" s="121"/>
      <c r="O345" s="121"/>
      <c r="P345" s="121"/>
      <c r="Q345" s="121"/>
      <c r="R345" s="121"/>
      <c r="S345" s="121"/>
      <c r="T345" s="121"/>
      <c r="U345" s="121"/>
    </row>
    <row r="346">
      <c r="A346" s="120"/>
      <c r="B346" s="123"/>
      <c r="C346" s="124"/>
      <c r="D346" s="125"/>
      <c r="E346" s="120"/>
      <c r="F346" s="125"/>
      <c r="G346" s="125"/>
      <c r="H346" s="125"/>
      <c r="I346" s="120"/>
      <c r="J346" s="120"/>
      <c r="K346" s="120"/>
      <c r="L346" s="120"/>
      <c r="M346" s="121"/>
      <c r="N346" s="121"/>
      <c r="O346" s="121"/>
      <c r="P346" s="121"/>
      <c r="Q346" s="121"/>
      <c r="R346" s="121"/>
      <c r="S346" s="121"/>
      <c r="T346" s="121"/>
      <c r="U346" s="121"/>
    </row>
    <row r="347">
      <c r="A347" s="120"/>
      <c r="B347" s="123"/>
      <c r="C347" s="124"/>
      <c r="D347" s="122"/>
      <c r="E347" s="120"/>
      <c r="F347" s="122"/>
      <c r="G347" s="122"/>
      <c r="H347" s="122"/>
      <c r="I347" s="120"/>
      <c r="J347" s="120"/>
      <c r="K347" s="120"/>
      <c r="L347" s="120"/>
      <c r="M347" s="121"/>
      <c r="N347" s="121"/>
      <c r="O347" s="121"/>
      <c r="P347" s="121"/>
      <c r="Q347" s="121"/>
      <c r="R347" s="121"/>
      <c r="S347" s="121"/>
      <c r="T347" s="121"/>
      <c r="U347" s="121"/>
    </row>
    <row r="348">
      <c r="A348" s="120"/>
      <c r="B348" s="123"/>
      <c r="C348" s="124"/>
      <c r="D348" s="122"/>
      <c r="E348" s="120"/>
      <c r="F348" s="122"/>
      <c r="G348" s="122"/>
      <c r="H348" s="122"/>
      <c r="I348" s="120"/>
      <c r="J348" s="120"/>
      <c r="K348" s="120"/>
      <c r="L348" s="120"/>
      <c r="M348" s="121"/>
      <c r="N348" s="121"/>
      <c r="O348" s="121"/>
      <c r="P348" s="121"/>
      <c r="Q348" s="121"/>
      <c r="R348" s="121"/>
      <c r="S348" s="121"/>
      <c r="T348" s="121"/>
      <c r="U348" s="121"/>
    </row>
    <row r="349">
      <c r="A349" s="120"/>
      <c r="B349" s="123"/>
      <c r="C349" s="124"/>
      <c r="D349" s="122"/>
      <c r="E349" s="120"/>
      <c r="F349" s="122"/>
      <c r="G349" s="122"/>
      <c r="H349" s="122"/>
      <c r="I349" s="120"/>
      <c r="J349" s="120"/>
      <c r="K349" s="120"/>
      <c r="L349" s="120"/>
      <c r="M349" s="121"/>
      <c r="N349" s="121"/>
      <c r="O349" s="121"/>
      <c r="P349" s="121"/>
      <c r="Q349" s="121"/>
      <c r="R349" s="121"/>
      <c r="S349" s="121"/>
      <c r="T349" s="121"/>
      <c r="U349" s="121"/>
    </row>
    <row r="350">
      <c r="A350" s="120"/>
      <c r="B350" s="123"/>
      <c r="C350" s="124"/>
      <c r="D350" s="122"/>
      <c r="E350" s="120"/>
      <c r="F350" s="122"/>
      <c r="G350" s="122"/>
      <c r="H350" s="122"/>
      <c r="I350" s="120"/>
      <c r="J350" s="120"/>
      <c r="K350" s="120"/>
      <c r="L350" s="120"/>
      <c r="M350" s="121"/>
      <c r="N350" s="121"/>
      <c r="O350" s="121"/>
      <c r="P350" s="121"/>
      <c r="Q350" s="121"/>
      <c r="R350" s="121"/>
      <c r="S350" s="121"/>
      <c r="T350" s="121"/>
      <c r="U350" s="121"/>
    </row>
    <row r="351">
      <c r="A351" s="120"/>
      <c r="B351" s="123"/>
      <c r="C351" s="124"/>
      <c r="D351" s="122"/>
      <c r="E351" s="120"/>
      <c r="F351" s="122"/>
      <c r="G351" s="122"/>
      <c r="H351" s="122"/>
      <c r="I351" s="120"/>
      <c r="J351" s="120"/>
      <c r="K351" s="120"/>
      <c r="L351" s="120"/>
      <c r="M351" s="121"/>
      <c r="N351" s="121"/>
      <c r="O351" s="121"/>
      <c r="P351" s="121"/>
      <c r="Q351" s="121"/>
      <c r="R351" s="121"/>
      <c r="S351" s="121"/>
      <c r="T351" s="121"/>
      <c r="U351" s="121"/>
    </row>
    <row r="352">
      <c r="A352" s="120"/>
      <c r="B352" s="123"/>
      <c r="C352" s="124"/>
      <c r="D352" s="122"/>
      <c r="E352" s="120"/>
      <c r="F352" s="122"/>
      <c r="G352" s="122"/>
      <c r="H352" s="122"/>
      <c r="I352" s="120"/>
      <c r="J352" s="120"/>
      <c r="K352" s="120"/>
      <c r="L352" s="120"/>
      <c r="M352" s="121"/>
      <c r="N352" s="121"/>
      <c r="O352" s="121"/>
      <c r="P352" s="121"/>
      <c r="Q352" s="121"/>
      <c r="R352" s="121"/>
      <c r="S352" s="121"/>
      <c r="T352" s="121"/>
      <c r="U352" s="121"/>
    </row>
    <row r="353">
      <c r="A353" s="120"/>
      <c r="B353" s="123"/>
      <c r="C353" s="124"/>
      <c r="D353" s="122"/>
      <c r="E353" s="120"/>
      <c r="F353" s="122"/>
      <c r="G353" s="122"/>
      <c r="H353" s="122"/>
      <c r="I353" s="120"/>
      <c r="J353" s="120"/>
      <c r="K353" s="120"/>
      <c r="L353" s="120"/>
      <c r="M353" s="121"/>
      <c r="N353" s="121"/>
      <c r="O353" s="121"/>
      <c r="P353" s="121"/>
      <c r="Q353" s="121"/>
      <c r="R353" s="121"/>
      <c r="S353" s="121"/>
      <c r="T353" s="121"/>
      <c r="U353" s="121"/>
    </row>
    <row r="354">
      <c r="A354" s="120"/>
      <c r="B354" s="123"/>
      <c r="C354" s="124"/>
      <c r="D354" s="122"/>
      <c r="E354" s="120"/>
      <c r="F354" s="122"/>
      <c r="G354" s="122"/>
      <c r="H354" s="122"/>
      <c r="I354" s="120"/>
      <c r="J354" s="120"/>
      <c r="K354" s="120"/>
      <c r="L354" s="120"/>
      <c r="M354" s="121"/>
      <c r="N354" s="121"/>
      <c r="O354" s="121"/>
      <c r="P354" s="121"/>
      <c r="Q354" s="121"/>
      <c r="R354" s="121"/>
      <c r="S354" s="121"/>
      <c r="T354" s="121"/>
      <c r="U354" s="121"/>
    </row>
    <row r="355">
      <c r="A355" s="120"/>
      <c r="B355" s="123"/>
      <c r="C355" s="124"/>
      <c r="D355" s="122"/>
      <c r="E355" s="120"/>
      <c r="F355" s="122"/>
      <c r="G355" s="122"/>
      <c r="H355" s="122"/>
      <c r="I355" s="120"/>
      <c r="J355" s="120"/>
      <c r="K355" s="120"/>
      <c r="L355" s="120"/>
      <c r="M355" s="121"/>
      <c r="N355" s="121"/>
      <c r="O355" s="121"/>
      <c r="P355" s="121"/>
      <c r="Q355" s="121"/>
      <c r="R355" s="121"/>
      <c r="S355" s="121"/>
      <c r="T355" s="121"/>
      <c r="U355" s="121"/>
    </row>
    <row r="356">
      <c r="A356" s="120"/>
      <c r="B356" s="123"/>
      <c r="C356" s="124"/>
      <c r="D356" s="122"/>
      <c r="E356" s="120"/>
      <c r="F356" s="122"/>
      <c r="G356" s="122"/>
      <c r="H356" s="122"/>
      <c r="I356" s="120"/>
      <c r="J356" s="120"/>
      <c r="K356" s="120"/>
      <c r="L356" s="120"/>
      <c r="M356" s="121"/>
      <c r="N356" s="121"/>
      <c r="O356" s="121"/>
      <c r="P356" s="121"/>
      <c r="Q356" s="121"/>
      <c r="R356" s="121"/>
      <c r="S356" s="121"/>
      <c r="T356" s="121"/>
      <c r="U356" s="121"/>
    </row>
    <row r="357">
      <c r="A357" s="120"/>
      <c r="B357" s="123"/>
      <c r="C357" s="124"/>
      <c r="D357" s="122"/>
      <c r="E357" s="120"/>
      <c r="F357" s="122"/>
      <c r="G357" s="122"/>
      <c r="H357" s="122"/>
      <c r="I357" s="120"/>
      <c r="J357" s="120"/>
      <c r="K357" s="120"/>
      <c r="L357" s="120"/>
      <c r="M357" s="121"/>
      <c r="N357" s="121"/>
      <c r="O357" s="121"/>
      <c r="P357" s="121"/>
      <c r="Q357" s="121"/>
      <c r="R357" s="121"/>
      <c r="S357" s="121"/>
      <c r="T357" s="121"/>
      <c r="U357" s="121"/>
    </row>
    <row r="358">
      <c r="A358" s="120"/>
      <c r="B358" s="123"/>
      <c r="C358" s="124"/>
      <c r="D358" s="122"/>
      <c r="E358" s="120"/>
      <c r="F358" s="122"/>
      <c r="G358" s="122"/>
      <c r="H358" s="122"/>
      <c r="I358" s="120"/>
      <c r="J358" s="120"/>
      <c r="K358" s="120"/>
      <c r="L358" s="120"/>
      <c r="M358" s="121"/>
      <c r="N358" s="121"/>
      <c r="O358" s="121"/>
      <c r="P358" s="121"/>
      <c r="Q358" s="121"/>
      <c r="R358" s="121"/>
      <c r="S358" s="121"/>
      <c r="T358" s="121"/>
      <c r="U358" s="121"/>
    </row>
    <row r="359">
      <c r="A359" s="120"/>
      <c r="B359" s="123"/>
      <c r="C359" s="124"/>
      <c r="D359" s="122"/>
      <c r="E359" s="120"/>
      <c r="F359" s="122"/>
      <c r="G359" s="122"/>
      <c r="H359" s="122"/>
      <c r="I359" s="120"/>
      <c r="J359" s="120"/>
      <c r="K359" s="120"/>
      <c r="L359" s="120"/>
      <c r="M359" s="121"/>
      <c r="N359" s="121"/>
      <c r="O359" s="121"/>
      <c r="P359" s="121"/>
      <c r="Q359" s="121"/>
      <c r="R359" s="121"/>
      <c r="S359" s="121"/>
      <c r="T359" s="121"/>
      <c r="U359" s="121"/>
    </row>
    <row r="360">
      <c r="A360" s="120"/>
      <c r="B360" s="123"/>
      <c r="C360" s="124"/>
      <c r="D360" s="122"/>
      <c r="E360" s="120"/>
      <c r="F360" s="122"/>
      <c r="G360" s="122"/>
      <c r="H360" s="122"/>
      <c r="I360" s="120"/>
      <c r="J360" s="120"/>
      <c r="K360" s="120"/>
      <c r="L360" s="120"/>
      <c r="M360" s="121"/>
      <c r="N360" s="121"/>
      <c r="O360" s="121"/>
      <c r="P360" s="121"/>
      <c r="Q360" s="121"/>
      <c r="R360" s="121"/>
      <c r="S360" s="121"/>
      <c r="T360" s="121"/>
      <c r="U360" s="121"/>
    </row>
    <row r="361">
      <c r="A361" s="120"/>
      <c r="B361" s="123"/>
      <c r="C361" s="124"/>
      <c r="D361" s="122"/>
      <c r="E361" s="120"/>
      <c r="F361" s="122"/>
      <c r="G361" s="122"/>
      <c r="H361" s="122"/>
      <c r="I361" s="120"/>
      <c r="J361" s="120"/>
      <c r="K361" s="120"/>
      <c r="L361" s="120"/>
      <c r="M361" s="121"/>
      <c r="N361" s="121"/>
      <c r="O361" s="121"/>
      <c r="P361" s="121"/>
      <c r="Q361" s="121"/>
      <c r="R361" s="121"/>
      <c r="S361" s="121"/>
      <c r="T361" s="121"/>
      <c r="U361" s="121"/>
    </row>
    <row r="362">
      <c r="A362" s="120"/>
      <c r="B362" s="123"/>
      <c r="C362" s="124"/>
      <c r="D362" s="122"/>
      <c r="E362" s="120"/>
      <c r="F362" s="122"/>
      <c r="G362" s="122"/>
      <c r="H362" s="122"/>
      <c r="I362" s="120"/>
      <c r="J362" s="120"/>
      <c r="K362" s="120"/>
      <c r="L362" s="120"/>
      <c r="M362" s="121"/>
      <c r="N362" s="121"/>
      <c r="O362" s="121"/>
      <c r="P362" s="121"/>
      <c r="Q362" s="121"/>
      <c r="R362" s="121"/>
      <c r="S362" s="121"/>
      <c r="T362" s="121"/>
      <c r="U362" s="121"/>
    </row>
    <row r="363">
      <c r="A363" s="120"/>
      <c r="B363" s="123"/>
      <c r="C363" s="124"/>
      <c r="D363" s="122"/>
      <c r="E363" s="120"/>
      <c r="F363" s="122"/>
      <c r="G363" s="122"/>
      <c r="H363" s="122"/>
      <c r="I363" s="120"/>
      <c r="J363" s="120"/>
      <c r="K363" s="120"/>
      <c r="L363" s="120"/>
      <c r="M363" s="121"/>
      <c r="N363" s="121"/>
      <c r="O363" s="121"/>
      <c r="P363" s="121"/>
      <c r="Q363" s="121"/>
      <c r="R363" s="121"/>
      <c r="S363" s="121"/>
      <c r="T363" s="121"/>
      <c r="U363" s="121"/>
    </row>
    <row r="364">
      <c r="A364" s="120"/>
      <c r="B364" s="123"/>
      <c r="C364" s="124"/>
      <c r="D364" s="122"/>
      <c r="E364" s="120"/>
      <c r="F364" s="122"/>
      <c r="G364" s="122"/>
      <c r="H364" s="122"/>
      <c r="I364" s="120"/>
      <c r="J364" s="120"/>
      <c r="K364" s="120"/>
      <c r="L364" s="120"/>
      <c r="M364" s="121"/>
      <c r="N364" s="121"/>
      <c r="O364" s="121"/>
      <c r="P364" s="121"/>
      <c r="Q364" s="121"/>
      <c r="R364" s="121"/>
      <c r="S364" s="121"/>
      <c r="T364" s="121"/>
      <c r="U364" s="121"/>
    </row>
    <row r="365">
      <c r="A365" s="120"/>
      <c r="B365" s="123"/>
      <c r="C365" s="124"/>
      <c r="D365" s="125"/>
      <c r="E365" s="120"/>
      <c r="F365" s="125"/>
      <c r="G365" s="125"/>
      <c r="H365" s="125"/>
      <c r="I365" s="120"/>
      <c r="J365" s="120"/>
      <c r="K365" s="120"/>
      <c r="L365" s="120"/>
      <c r="M365" s="121"/>
      <c r="N365" s="121"/>
      <c r="O365" s="121"/>
      <c r="P365" s="121"/>
      <c r="Q365" s="121"/>
      <c r="R365" s="121"/>
      <c r="S365" s="121"/>
      <c r="T365" s="121"/>
      <c r="U365" s="121"/>
    </row>
    <row r="366">
      <c r="A366" s="120"/>
      <c r="B366" s="123"/>
      <c r="C366" s="124"/>
      <c r="D366" s="125"/>
      <c r="E366" s="120"/>
      <c r="F366" s="125"/>
      <c r="G366" s="125"/>
      <c r="H366" s="125"/>
      <c r="I366" s="120"/>
      <c r="J366" s="120"/>
      <c r="K366" s="120"/>
      <c r="L366" s="120"/>
      <c r="M366" s="121"/>
      <c r="N366" s="121"/>
      <c r="O366" s="121"/>
      <c r="P366" s="121"/>
      <c r="Q366" s="121"/>
      <c r="R366" s="121"/>
      <c r="S366" s="121"/>
      <c r="T366" s="121"/>
      <c r="U366" s="121"/>
    </row>
    <row r="367">
      <c r="A367" s="120"/>
      <c r="B367" s="123"/>
      <c r="C367" s="124"/>
      <c r="D367" s="125"/>
      <c r="E367" s="120"/>
      <c r="F367" s="125"/>
      <c r="G367" s="125"/>
      <c r="H367" s="125"/>
      <c r="I367" s="120"/>
      <c r="J367" s="120"/>
      <c r="K367" s="120"/>
      <c r="L367" s="120"/>
      <c r="M367" s="121"/>
      <c r="N367" s="121"/>
      <c r="O367" s="121"/>
      <c r="P367" s="121"/>
      <c r="Q367" s="121"/>
      <c r="R367" s="121"/>
      <c r="S367" s="121"/>
      <c r="T367" s="121"/>
      <c r="U367" s="121"/>
    </row>
    <row r="368">
      <c r="A368" s="120"/>
      <c r="B368" s="123"/>
      <c r="C368" s="124"/>
      <c r="D368" s="125"/>
      <c r="E368" s="120"/>
      <c r="F368" s="125"/>
      <c r="G368" s="125"/>
      <c r="H368" s="125"/>
      <c r="I368" s="120"/>
      <c r="J368" s="120"/>
      <c r="K368" s="120"/>
      <c r="L368" s="120"/>
      <c r="M368" s="121"/>
      <c r="N368" s="121"/>
      <c r="O368" s="121"/>
      <c r="P368" s="121"/>
      <c r="Q368" s="121"/>
      <c r="R368" s="121"/>
      <c r="S368" s="121"/>
      <c r="T368" s="121"/>
      <c r="U368" s="121"/>
    </row>
    <row r="369">
      <c r="A369" s="120"/>
      <c r="B369" s="123"/>
      <c r="C369" s="124"/>
      <c r="D369" s="125"/>
      <c r="E369" s="120"/>
      <c r="F369" s="125"/>
      <c r="G369" s="125"/>
      <c r="H369" s="125"/>
      <c r="I369" s="120"/>
      <c r="J369" s="120"/>
      <c r="K369" s="120"/>
      <c r="L369" s="120"/>
      <c r="M369" s="121"/>
      <c r="N369" s="121"/>
      <c r="O369" s="121"/>
      <c r="P369" s="121"/>
      <c r="Q369" s="121"/>
      <c r="R369" s="121"/>
      <c r="S369" s="121"/>
      <c r="T369" s="121"/>
      <c r="U369" s="121"/>
    </row>
    <row r="370">
      <c r="A370" s="120"/>
      <c r="B370" s="123"/>
      <c r="C370" s="124"/>
      <c r="D370" s="125"/>
      <c r="E370" s="120"/>
      <c r="F370" s="125"/>
      <c r="G370" s="125"/>
      <c r="H370" s="125"/>
      <c r="I370" s="120"/>
      <c r="J370" s="120"/>
      <c r="K370" s="120"/>
      <c r="L370" s="120"/>
      <c r="M370" s="121"/>
      <c r="N370" s="121"/>
      <c r="O370" s="121"/>
      <c r="P370" s="121"/>
      <c r="Q370" s="121"/>
      <c r="R370" s="121"/>
      <c r="S370" s="121"/>
      <c r="T370" s="121"/>
      <c r="U370" s="121"/>
    </row>
    <row r="371">
      <c r="A371" s="120"/>
      <c r="B371" s="123"/>
      <c r="C371" s="124"/>
      <c r="D371" s="125"/>
      <c r="E371" s="120"/>
      <c r="F371" s="125"/>
      <c r="G371" s="125"/>
      <c r="H371" s="125"/>
      <c r="I371" s="120"/>
      <c r="J371" s="120"/>
      <c r="K371" s="120"/>
      <c r="L371" s="120"/>
      <c r="M371" s="121"/>
      <c r="N371" s="121"/>
      <c r="O371" s="121"/>
      <c r="P371" s="121"/>
      <c r="Q371" s="121"/>
      <c r="R371" s="121"/>
      <c r="S371" s="121"/>
      <c r="T371" s="121"/>
      <c r="U371" s="121"/>
    </row>
    <row r="372">
      <c r="A372" s="120"/>
      <c r="B372" s="123"/>
      <c r="C372" s="124"/>
      <c r="D372" s="125"/>
      <c r="E372" s="120"/>
      <c r="F372" s="125"/>
      <c r="G372" s="125"/>
      <c r="H372" s="125"/>
      <c r="I372" s="120"/>
      <c r="J372" s="120"/>
      <c r="K372" s="120"/>
      <c r="L372" s="120"/>
      <c r="M372" s="121"/>
      <c r="N372" s="121"/>
      <c r="O372" s="121"/>
      <c r="P372" s="121"/>
      <c r="Q372" s="121"/>
      <c r="R372" s="121"/>
      <c r="S372" s="121"/>
      <c r="T372" s="121"/>
      <c r="U372" s="121"/>
    </row>
    <row r="373">
      <c r="A373" s="120"/>
      <c r="B373" s="123"/>
      <c r="C373" s="124"/>
      <c r="D373" s="125"/>
      <c r="E373" s="120"/>
      <c r="F373" s="125"/>
      <c r="G373" s="125"/>
      <c r="H373" s="125"/>
      <c r="I373" s="120"/>
      <c r="J373" s="120"/>
      <c r="K373" s="120"/>
      <c r="L373" s="120"/>
      <c r="M373" s="121"/>
      <c r="N373" s="121"/>
      <c r="O373" s="121"/>
      <c r="P373" s="121"/>
      <c r="Q373" s="121"/>
      <c r="R373" s="121"/>
      <c r="S373" s="121"/>
      <c r="T373" s="121"/>
      <c r="U373" s="121"/>
    </row>
    <row r="374">
      <c r="A374" s="120"/>
      <c r="B374" s="123"/>
      <c r="C374" s="124"/>
      <c r="D374" s="125"/>
      <c r="E374" s="120"/>
      <c r="F374" s="125"/>
      <c r="G374" s="125"/>
      <c r="H374" s="125"/>
      <c r="I374" s="120"/>
      <c r="J374" s="120"/>
      <c r="K374" s="120"/>
      <c r="L374" s="120"/>
      <c r="M374" s="121"/>
      <c r="N374" s="121"/>
      <c r="O374" s="121"/>
      <c r="P374" s="121"/>
      <c r="Q374" s="121"/>
      <c r="R374" s="121"/>
      <c r="S374" s="121"/>
      <c r="T374" s="121"/>
      <c r="U374" s="121"/>
    </row>
    <row r="375">
      <c r="A375" s="120"/>
      <c r="B375" s="123"/>
      <c r="C375" s="124"/>
      <c r="D375" s="125"/>
      <c r="E375" s="120"/>
      <c r="F375" s="125"/>
      <c r="G375" s="125"/>
      <c r="H375" s="125"/>
      <c r="I375" s="120"/>
      <c r="J375" s="120"/>
      <c r="K375" s="120"/>
      <c r="L375" s="120"/>
      <c r="M375" s="121"/>
      <c r="N375" s="121"/>
      <c r="O375" s="121"/>
      <c r="P375" s="121"/>
      <c r="Q375" s="121"/>
      <c r="R375" s="121"/>
      <c r="S375" s="121"/>
      <c r="T375" s="121"/>
      <c r="U375" s="121"/>
    </row>
    <row r="376">
      <c r="A376" s="120"/>
      <c r="B376" s="123"/>
      <c r="C376" s="124"/>
      <c r="D376" s="125"/>
      <c r="E376" s="120"/>
      <c r="F376" s="125"/>
      <c r="G376" s="125"/>
      <c r="H376" s="125"/>
      <c r="I376" s="120"/>
      <c r="J376" s="120"/>
      <c r="K376" s="120"/>
      <c r="L376" s="120"/>
      <c r="M376" s="121"/>
      <c r="N376" s="121"/>
      <c r="O376" s="121"/>
      <c r="P376" s="121"/>
      <c r="Q376" s="121"/>
      <c r="R376" s="121"/>
      <c r="S376" s="121"/>
      <c r="T376" s="121"/>
      <c r="U376" s="121"/>
    </row>
    <row r="377">
      <c r="A377" s="120"/>
      <c r="B377" s="123"/>
      <c r="C377" s="124"/>
      <c r="D377" s="125"/>
      <c r="E377" s="120"/>
      <c r="F377" s="125"/>
      <c r="G377" s="125"/>
      <c r="H377" s="125"/>
      <c r="I377" s="120"/>
      <c r="J377" s="120"/>
      <c r="K377" s="120"/>
      <c r="L377" s="120"/>
      <c r="M377" s="121"/>
      <c r="N377" s="121"/>
      <c r="O377" s="121"/>
      <c r="P377" s="121"/>
      <c r="Q377" s="121"/>
      <c r="R377" s="121"/>
      <c r="S377" s="121"/>
      <c r="T377" s="121"/>
      <c r="U377" s="121"/>
    </row>
    <row r="378">
      <c r="A378" s="120"/>
      <c r="B378" s="123"/>
      <c r="C378" s="124"/>
      <c r="D378" s="125"/>
      <c r="E378" s="120"/>
      <c r="F378" s="125"/>
      <c r="G378" s="125"/>
      <c r="H378" s="125"/>
      <c r="I378" s="120"/>
      <c r="J378" s="120"/>
      <c r="K378" s="120"/>
      <c r="L378" s="120"/>
      <c r="M378" s="121"/>
      <c r="N378" s="121"/>
      <c r="O378" s="121"/>
      <c r="P378" s="121"/>
      <c r="Q378" s="121"/>
      <c r="R378" s="121"/>
      <c r="S378" s="121"/>
      <c r="T378" s="121"/>
      <c r="U378" s="121"/>
    </row>
    <row r="379">
      <c r="A379" s="120"/>
      <c r="B379" s="123"/>
      <c r="C379" s="124"/>
      <c r="D379" s="125"/>
      <c r="E379" s="120"/>
      <c r="F379" s="125"/>
      <c r="G379" s="125"/>
      <c r="H379" s="125"/>
      <c r="I379" s="120"/>
      <c r="J379" s="120"/>
      <c r="K379" s="120"/>
      <c r="L379" s="120"/>
      <c r="M379" s="121"/>
      <c r="N379" s="121"/>
      <c r="O379" s="121"/>
      <c r="P379" s="121"/>
      <c r="Q379" s="121"/>
      <c r="R379" s="121"/>
      <c r="S379" s="121"/>
      <c r="T379" s="121"/>
      <c r="U379" s="121"/>
    </row>
    <row r="380">
      <c r="A380" s="120"/>
      <c r="B380" s="123"/>
      <c r="C380" s="124"/>
      <c r="D380" s="125"/>
      <c r="E380" s="120"/>
      <c r="F380" s="125"/>
      <c r="G380" s="125"/>
      <c r="H380" s="125"/>
      <c r="I380" s="120"/>
      <c r="J380" s="120"/>
      <c r="K380" s="120"/>
      <c r="L380" s="120"/>
      <c r="M380" s="121"/>
      <c r="N380" s="121"/>
      <c r="O380" s="121"/>
      <c r="P380" s="121"/>
      <c r="Q380" s="121"/>
      <c r="R380" s="121"/>
      <c r="S380" s="121"/>
      <c r="T380" s="121"/>
      <c r="U380" s="121"/>
    </row>
    <row r="381">
      <c r="A381" s="120"/>
      <c r="B381" s="123"/>
      <c r="C381" s="124"/>
      <c r="D381" s="125"/>
      <c r="E381" s="120"/>
      <c r="F381" s="125"/>
      <c r="G381" s="125"/>
      <c r="H381" s="125"/>
      <c r="I381" s="120"/>
      <c r="J381" s="120"/>
      <c r="K381" s="120"/>
      <c r="L381" s="120"/>
      <c r="M381" s="121"/>
      <c r="N381" s="121"/>
      <c r="O381" s="121"/>
      <c r="P381" s="121"/>
      <c r="Q381" s="121"/>
      <c r="R381" s="121"/>
      <c r="S381" s="121"/>
      <c r="T381" s="121"/>
      <c r="U381" s="121"/>
    </row>
    <row r="382">
      <c r="A382" s="120"/>
      <c r="B382" s="123"/>
      <c r="C382" s="124"/>
      <c r="D382" s="125"/>
      <c r="E382" s="120"/>
      <c r="F382" s="125"/>
      <c r="G382" s="125"/>
      <c r="H382" s="125"/>
      <c r="I382" s="120"/>
      <c r="J382" s="120"/>
      <c r="K382" s="120"/>
      <c r="L382" s="120"/>
      <c r="M382" s="121"/>
      <c r="N382" s="121"/>
      <c r="O382" s="121"/>
      <c r="P382" s="121"/>
      <c r="Q382" s="121"/>
      <c r="R382" s="121"/>
      <c r="S382" s="121"/>
      <c r="T382" s="121"/>
      <c r="U382" s="121"/>
    </row>
    <row r="383">
      <c r="A383" s="120"/>
      <c r="B383" s="123"/>
      <c r="C383" s="124"/>
      <c r="D383" s="125"/>
      <c r="E383" s="120"/>
      <c r="F383" s="125"/>
      <c r="G383" s="125"/>
      <c r="H383" s="125"/>
      <c r="I383" s="120"/>
      <c r="J383" s="120"/>
      <c r="K383" s="120"/>
      <c r="L383" s="120"/>
      <c r="M383" s="121"/>
      <c r="N383" s="121"/>
      <c r="O383" s="121"/>
      <c r="P383" s="121"/>
      <c r="Q383" s="121"/>
      <c r="R383" s="121"/>
      <c r="S383" s="121"/>
      <c r="T383" s="121"/>
      <c r="U383" s="121"/>
    </row>
    <row r="384">
      <c r="A384" s="120"/>
      <c r="B384" s="123"/>
      <c r="C384" s="124"/>
      <c r="D384" s="125"/>
      <c r="E384" s="120"/>
      <c r="F384" s="125"/>
      <c r="G384" s="125"/>
      <c r="H384" s="125"/>
      <c r="I384" s="120"/>
      <c r="J384" s="120"/>
      <c r="K384" s="120"/>
      <c r="L384" s="120"/>
      <c r="M384" s="121"/>
      <c r="N384" s="121"/>
      <c r="O384" s="121"/>
      <c r="P384" s="121"/>
      <c r="Q384" s="121"/>
      <c r="R384" s="121"/>
      <c r="S384" s="121"/>
      <c r="T384" s="121"/>
      <c r="U384" s="121"/>
    </row>
    <row r="385">
      <c r="A385" s="120"/>
      <c r="B385" s="123"/>
      <c r="C385" s="124"/>
      <c r="D385" s="125"/>
      <c r="E385" s="120"/>
      <c r="F385" s="125"/>
      <c r="G385" s="125"/>
      <c r="H385" s="125"/>
      <c r="I385" s="120"/>
      <c r="J385" s="120"/>
      <c r="K385" s="120"/>
      <c r="L385" s="120"/>
      <c r="M385" s="121"/>
      <c r="N385" s="121"/>
      <c r="O385" s="121"/>
      <c r="P385" s="121"/>
      <c r="Q385" s="121"/>
      <c r="R385" s="121"/>
      <c r="S385" s="121"/>
      <c r="T385" s="121"/>
      <c r="U385" s="121"/>
    </row>
    <row r="386">
      <c r="A386" s="120"/>
      <c r="B386" s="123"/>
      <c r="C386" s="124"/>
      <c r="D386" s="125"/>
      <c r="E386" s="120"/>
      <c r="F386" s="125"/>
      <c r="G386" s="125"/>
      <c r="H386" s="125"/>
      <c r="I386" s="120"/>
      <c r="J386" s="120"/>
      <c r="K386" s="120"/>
      <c r="L386" s="120"/>
      <c r="M386" s="121"/>
      <c r="N386" s="121"/>
      <c r="O386" s="121"/>
      <c r="P386" s="121"/>
      <c r="Q386" s="121"/>
      <c r="R386" s="121"/>
      <c r="S386" s="121"/>
      <c r="T386" s="121"/>
      <c r="U386" s="121"/>
    </row>
    <row r="387">
      <c r="A387" s="120"/>
      <c r="B387" s="123"/>
      <c r="C387" s="124"/>
      <c r="D387" s="125"/>
      <c r="E387" s="120"/>
      <c r="F387" s="125"/>
      <c r="G387" s="125"/>
      <c r="H387" s="125"/>
      <c r="I387" s="120"/>
      <c r="J387" s="120"/>
      <c r="K387" s="120"/>
      <c r="L387" s="120"/>
      <c r="M387" s="121"/>
      <c r="N387" s="121"/>
      <c r="O387" s="121"/>
      <c r="P387" s="121"/>
      <c r="Q387" s="121"/>
      <c r="R387" s="121"/>
      <c r="S387" s="121"/>
      <c r="T387" s="121"/>
      <c r="U387" s="121"/>
    </row>
    <row r="388">
      <c r="A388" s="120"/>
      <c r="B388" s="123"/>
      <c r="C388" s="124"/>
      <c r="D388" s="125"/>
      <c r="E388" s="120"/>
      <c r="F388" s="125"/>
      <c r="G388" s="125"/>
      <c r="H388" s="125"/>
      <c r="I388" s="120"/>
      <c r="J388" s="120"/>
      <c r="K388" s="120"/>
      <c r="L388" s="120"/>
      <c r="M388" s="121"/>
      <c r="N388" s="121"/>
      <c r="O388" s="121"/>
      <c r="P388" s="121"/>
      <c r="Q388" s="121"/>
      <c r="R388" s="121"/>
      <c r="S388" s="121"/>
      <c r="T388" s="121"/>
      <c r="U388" s="121"/>
    </row>
    <row r="389">
      <c r="A389" s="120"/>
      <c r="B389" s="123"/>
      <c r="C389" s="124"/>
      <c r="D389" s="125"/>
      <c r="E389" s="120"/>
      <c r="F389" s="125"/>
      <c r="G389" s="125"/>
      <c r="H389" s="125"/>
      <c r="I389" s="120"/>
      <c r="J389" s="120"/>
      <c r="K389" s="120"/>
      <c r="L389" s="120"/>
      <c r="M389" s="121"/>
      <c r="N389" s="121"/>
      <c r="O389" s="121"/>
      <c r="P389" s="121"/>
      <c r="Q389" s="121"/>
      <c r="R389" s="121"/>
      <c r="S389" s="121"/>
      <c r="T389" s="121"/>
      <c r="U389" s="121"/>
    </row>
    <row r="390">
      <c r="A390" s="120"/>
      <c r="B390" s="123"/>
      <c r="C390" s="124"/>
      <c r="D390" s="125"/>
      <c r="E390" s="120"/>
      <c r="F390" s="125"/>
      <c r="G390" s="125"/>
      <c r="H390" s="125"/>
      <c r="I390" s="120"/>
      <c r="J390" s="120"/>
      <c r="K390" s="120"/>
      <c r="L390" s="120"/>
      <c r="M390" s="121"/>
      <c r="N390" s="121"/>
      <c r="O390" s="121"/>
      <c r="P390" s="121"/>
      <c r="Q390" s="121"/>
      <c r="R390" s="121"/>
      <c r="S390" s="121"/>
      <c r="T390" s="121"/>
      <c r="U390" s="121"/>
    </row>
    <row r="391">
      <c r="A391" s="120"/>
      <c r="B391" s="123"/>
      <c r="C391" s="124"/>
      <c r="D391" s="125"/>
      <c r="E391" s="120"/>
      <c r="F391" s="125"/>
      <c r="G391" s="125"/>
      <c r="H391" s="125"/>
      <c r="I391" s="120"/>
      <c r="J391" s="120"/>
      <c r="K391" s="120"/>
      <c r="L391" s="120"/>
      <c r="M391" s="121"/>
      <c r="N391" s="121"/>
      <c r="O391" s="121"/>
      <c r="P391" s="121"/>
      <c r="Q391" s="121"/>
      <c r="R391" s="121"/>
      <c r="S391" s="121"/>
      <c r="T391" s="121"/>
      <c r="U391" s="121"/>
    </row>
    <row r="392">
      <c r="A392" s="120"/>
      <c r="B392" s="123"/>
      <c r="C392" s="124"/>
      <c r="D392" s="125"/>
      <c r="E392" s="120"/>
      <c r="F392" s="125"/>
      <c r="G392" s="125"/>
      <c r="H392" s="125"/>
      <c r="I392" s="120"/>
      <c r="J392" s="120"/>
      <c r="K392" s="120"/>
      <c r="L392" s="120"/>
      <c r="M392" s="121"/>
      <c r="N392" s="121"/>
      <c r="O392" s="121"/>
      <c r="P392" s="121"/>
      <c r="Q392" s="121"/>
      <c r="R392" s="121"/>
      <c r="S392" s="121"/>
      <c r="T392" s="121"/>
      <c r="U392" s="121"/>
    </row>
    <row r="393">
      <c r="A393" s="120"/>
      <c r="B393" s="123"/>
      <c r="C393" s="124"/>
      <c r="D393" s="125"/>
      <c r="E393" s="120"/>
      <c r="F393" s="125"/>
      <c r="G393" s="125"/>
      <c r="H393" s="125"/>
      <c r="I393" s="120"/>
      <c r="J393" s="120"/>
      <c r="K393" s="120"/>
      <c r="L393" s="120"/>
      <c r="M393" s="121"/>
      <c r="N393" s="121"/>
      <c r="O393" s="121"/>
      <c r="P393" s="121"/>
      <c r="Q393" s="121"/>
      <c r="R393" s="121"/>
      <c r="S393" s="121"/>
      <c r="T393" s="121"/>
      <c r="U393" s="121"/>
    </row>
    <row r="394">
      <c r="A394" s="120"/>
      <c r="B394" s="123"/>
      <c r="C394" s="124"/>
      <c r="D394" s="125"/>
      <c r="E394" s="120"/>
      <c r="F394" s="125"/>
      <c r="G394" s="125"/>
      <c r="H394" s="125"/>
      <c r="I394" s="120"/>
      <c r="J394" s="120"/>
      <c r="K394" s="120"/>
      <c r="L394" s="120"/>
      <c r="M394" s="121"/>
      <c r="N394" s="121"/>
      <c r="O394" s="121"/>
      <c r="P394" s="121"/>
      <c r="Q394" s="121"/>
      <c r="R394" s="121"/>
      <c r="S394" s="121"/>
      <c r="T394" s="121"/>
      <c r="U394" s="121"/>
    </row>
    <row r="395">
      <c r="A395" s="120"/>
      <c r="B395" s="123"/>
      <c r="C395" s="124"/>
      <c r="D395" s="125"/>
      <c r="E395" s="120"/>
      <c r="F395" s="125"/>
      <c r="G395" s="125"/>
      <c r="H395" s="125"/>
      <c r="I395" s="120"/>
      <c r="J395" s="120"/>
      <c r="K395" s="120"/>
      <c r="L395" s="120"/>
      <c r="M395" s="121"/>
      <c r="N395" s="121"/>
      <c r="O395" s="121"/>
      <c r="P395" s="121"/>
      <c r="Q395" s="121"/>
      <c r="R395" s="121"/>
      <c r="S395" s="121"/>
      <c r="T395" s="121"/>
      <c r="U395" s="121"/>
    </row>
    <row r="396">
      <c r="A396" s="120"/>
      <c r="B396" s="123"/>
      <c r="C396" s="124"/>
      <c r="D396" s="125"/>
      <c r="E396" s="120"/>
      <c r="F396" s="125"/>
      <c r="G396" s="125"/>
      <c r="H396" s="125"/>
      <c r="I396" s="120"/>
      <c r="J396" s="120"/>
      <c r="K396" s="120"/>
      <c r="L396" s="120"/>
      <c r="M396" s="121"/>
      <c r="N396" s="121"/>
      <c r="O396" s="121"/>
      <c r="P396" s="121"/>
      <c r="Q396" s="121"/>
      <c r="R396" s="121"/>
      <c r="S396" s="121"/>
      <c r="T396" s="121"/>
      <c r="U396" s="121"/>
    </row>
    <row r="397">
      <c r="A397" s="120"/>
      <c r="B397" s="123"/>
      <c r="C397" s="124"/>
      <c r="D397" s="125"/>
      <c r="E397" s="120"/>
      <c r="F397" s="125"/>
      <c r="G397" s="125"/>
      <c r="H397" s="125"/>
      <c r="I397" s="120"/>
      <c r="J397" s="120"/>
      <c r="K397" s="120"/>
      <c r="L397" s="120"/>
      <c r="M397" s="121"/>
      <c r="N397" s="121"/>
      <c r="O397" s="121"/>
      <c r="P397" s="121"/>
      <c r="Q397" s="121"/>
      <c r="R397" s="121"/>
      <c r="S397" s="121"/>
      <c r="T397" s="121"/>
      <c r="U397" s="121"/>
    </row>
    <row r="398">
      <c r="A398" s="120"/>
      <c r="B398" s="123"/>
      <c r="C398" s="124"/>
      <c r="D398" s="125"/>
      <c r="E398" s="120"/>
      <c r="F398" s="125"/>
      <c r="G398" s="125"/>
      <c r="H398" s="125"/>
      <c r="I398" s="120"/>
      <c r="J398" s="120"/>
      <c r="K398" s="120"/>
      <c r="L398" s="120"/>
      <c r="M398" s="121"/>
      <c r="N398" s="121"/>
      <c r="O398" s="121"/>
      <c r="P398" s="121"/>
      <c r="Q398" s="121"/>
      <c r="R398" s="121"/>
      <c r="S398" s="121"/>
      <c r="T398" s="121"/>
      <c r="U398" s="121"/>
    </row>
    <row r="399">
      <c r="A399" s="120"/>
      <c r="B399" s="123"/>
      <c r="C399" s="124"/>
      <c r="D399" s="125"/>
      <c r="E399" s="120"/>
      <c r="F399" s="125"/>
      <c r="G399" s="125"/>
      <c r="H399" s="125"/>
      <c r="I399" s="120"/>
      <c r="J399" s="120"/>
      <c r="K399" s="120"/>
      <c r="L399" s="120"/>
      <c r="M399" s="121"/>
      <c r="N399" s="121"/>
      <c r="O399" s="121"/>
      <c r="P399" s="121"/>
      <c r="Q399" s="121"/>
      <c r="R399" s="121"/>
      <c r="S399" s="121"/>
      <c r="T399" s="121"/>
      <c r="U399" s="121"/>
    </row>
    <row r="400">
      <c r="A400" s="120"/>
      <c r="B400" s="123"/>
      <c r="C400" s="124"/>
      <c r="D400" s="125"/>
      <c r="E400" s="120"/>
      <c r="F400" s="125"/>
      <c r="G400" s="125"/>
      <c r="H400" s="125"/>
      <c r="I400" s="120"/>
      <c r="J400" s="120"/>
      <c r="K400" s="120"/>
      <c r="L400" s="120"/>
      <c r="M400" s="121"/>
      <c r="N400" s="121"/>
      <c r="O400" s="121"/>
      <c r="P400" s="121"/>
      <c r="Q400" s="121"/>
      <c r="R400" s="121"/>
      <c r="S400" s="121"/>
      <c r="T400" s="121"/>
      <c r="U400" s="121"/>
    </row>
    <row r="401">
      <c r="A401" s="120"/>
      <c r="B401" s="123"/>
      <c r="C401" s="124"/>
      <c r="D401" s="125"/>
      <c r="E401" s="120"/>
      <c r="F401" s="125"/>
      <c r="G401" s="125"/>
      <c r="H401" s="125"/>
      <c r="I401" s="120"/>
      <c r="J401" s="120"/>
      <c r="K401" s="120"/>
      <c r="L401" s="120"/>
      <c r="M401" s="121"/>
      <c r="N401" s="121"/>
      <c r="O401" s="121"/>
      <c r="P401" s="121"/>
      <c r="Q401" s="121"/>
      <c r="R401" s="121"/>
      <c r="S401" s="121"/>
      <c r="T401" s="121"/>
      <c r="U401" s="121"/>
    </row>
    <row r="402">
      <c r="A402" s="120"/>
      <c r="B402" s="123"/>
      <c r="C402" s="124"/>
      <c r="D402" s="125"/>
      <c r="E402" s="120"/>
      <c r="F402" s="125"/>
      <c r="G402" s="125"/>
      <c r="H402" s="125"/>
      <c r="I402" s="120"/>
      <c r="J402" s="120"/>
      <c r="K402" s="120"/>
      <c r="L402" s="120"/>
      <c r="M402" s="121"/>
      <c r="N402" s="121"/>
      <c r="O402" s="121"/>
      <c r="P402" s="121"/>
      <c r="Q402" s="121"/>
      <c r="R402" s="121"/>
      <c r="S402" s="121"/>
      <c r="T402" s="121"/>
      <c r="U402" s="121"/>
    </row>
    <row r="403">
      <c r="A403" s="120"/>
      <c r="B403" s="123"/>
      <c r="C403" s="124"/>
      <c r="D403" s="125"/>
      <c r="E403" s="120"/>
      <c r="F403" s="125"/>
      <c r="G403" s="125"/>
      <c r="H403" s="125"/>
      <c r="I403" s="120"/>
      <c r="J403" s="120"/>
      <c r="K403" s="120"/>
      <c r="L403" s="120"/>
      <c r="M403" s="121"/>
      <c r="N403" s="121"/>
      <c r="O403" s="121"/>
      <c r="P403" s="121"/>
      <c r="Q403" s="121"/>
      <c r="R403" s="121"/>
      <c r="S403" s="121"/>
      <c r="T403" s="121"/>
      <c r="U403" s="121"/>
    </row>
    <row r="404">
      <c r="A404" s="120"/>
      <c r="B404" s="123"/>
      <c r="C404" s="124"/>
      <c r="D404" s="125"/>
      <c r="E404" s="120"/>
      <c r="F404" s="125"/>
      <c r="G404" s="125"/>
      <c r="H404" s="125"/>
      <c r="I404" s="120"/>
      <c r="J404" s="120"/>
      <c r="K404" s="120"/>
      <c r="L404" s="120"/>
      <c r="M404" s="121"/>
      <c r="N404" s="121"/>
      <c r="O404" s="121"/>
      <c r="P404" s="121"/>
      <c r="Q404" s="121"/>
      <c r="R404" s="121"/>
      <c r="S404" s="121"/>
      <c r="T404" s="121"/>
      <c r="U404" s="121"/>
    </row>
    <row r="405">
      <c r="A405" s="120"/>
      <c r="B405" s="123"/>
      <c r="C405" s="124"/>
      <c r="D405" s="125"/>
      <c r="E405" s="120"/>
      <c r="F405" s="125"/>
      <c r="G405" s="125"/>
      <c r="H405" s="125"/>
      <c r="I405" s="120"/>
      <c r="J405" s="120"/>
      <c r="K405" s="120"/>
      <c r="L405" s="120"/>
      <c r="M405" s="121"/>
      <c r="N405" s="121"/>
      <c r="O405" s="121"/>
      <c r="P405" s="121"/>
      <c r="Q405" s="121"/>
      <c r="R405" s="121"/>
      <c r="S405" s="121"/>
      <c r="T405" s="121"/>
      <c r="U405" s="121"/>
    </row>
    <row r="406">
      <c r="A406" s="120"/>
      <c r="B406" s="123"/>
      <c r="C406" s="124"/>
      <c r="D406" s="125"/>
      <c r="E406" s="120"/>
      <c r="F406" s="125"/>
      <c r="G406" s="125"/>
      <c r="H406" s="125"/>
      <c r="I406" s="120"/>
      <c r="J406" s="120"/>
      <c r="K406" s="120"/>
      <c r="L406" s="120"/>
      <c r="M406" s="121"/>
      <c r="N406" s="121"/>
      <c r="O406" s="121"/>
      <c r="P406" s="121"/>
      <c r="Q406" s="121"/>
      <c r="R406" s="121"/>
      <c r="S406" s="121"/>
      <c r="T406" s="121"/>
      <c r="U406" s="121"/>
    </row>
    <row r="407">
      <c r="A407" s="120"/>
      <c r="B407" s="123"/>
      <c r="C407" s="124"/>
      <c r="D407" s="125"/>
      <c r="E407" s="120"/>
      <c r="F407" s="125"/>
      <c r="G407" s="125"/>
      <c r="H407" s="125"/>
      <c r="I407" s="120"/>
      <c r="J407" s="120"/>
      <c r="K407" s="120"/>
      <c r="L407" s="120"/>
      <c r="M407" s="121"/>
      <c r="N407" s="121"/>
      <c r="O407" s="121"/>
      <c r="P407" s="121"/>
      <c r="Q407" s="121"/>
      <c r="R407" s="121"/>
      <c r="S407" s="121"/>
      <c r="T407" s="121"/>
      <c r="U407" s="121"/>
    </row>
    <row r="408">
      <c r="A408" s="120"/>
      <c r="B408" s="123"/>
      <c r="C408" s="124"/>
      <c r="D408" s="125"/>
      <c r="E408" s="120"/>
      <c r="F408" s="125"/>
      <c r="G408" s="125"/>
      <c r="H408" s="125"/>
      <c r="I408" s="120"/>
      <c r="J408" s="120"/>
      <c r="K408" s="120"/>
      <c r="L408" s="120"/>
      <c r="M408" s="121"/>
      <c r="N408" s="121"/>
      <c r="O408" s="121"/>
      <c r="P408" s="121"/>
      <c r="Q408" s="121"/>
      <c r="R408" s="121"/>
      <c r="S408" s="121"/>
      <c r="T408" s="121"/>
      <c r="U408" s="121"/>
    </row>
    <row r="409">
      <c r="A409" s="120"/>
      <c r="B409" s="123"/>
      <c r="C409" s="124"/>
      <c r="D409" s="125"/>
      <c r="E409" s="120"/>
      <c r="F409" s="125"/>
      <c r="G409" s="125"/>
      <c r="H409" s="125"/>
      <c r="I409" s="120"/>
      <c r="J409" s="120"/>
      <c r="K409" s="120"/>
      <c r="L409" s="120"/>
      <c r="M409" s="121"/>
      <c r="N409" s="121"/>
      <c r="O409" s="121"/>
      <c r="P409" s="121"/>
      <c r="Q409" s="121"/>
      <c r="R409" s="121"/>
      <c r="S409" s="121"/>
      <c r="T409" s="121"/>
      <c r="U409" s="121"/>
    </row>
    <row r="410">
      <c r="A410" s="120"/>
      <c r="B410" s="123"/>
      <c r="C410" s="124"/>
      <c r="D410" s="125"/>
      <c r="E410" s="120"/>
      <c r="F410" s="125"/>
      <c r="G410" s="125"/>
      <c r="H410" s="125"/>
      <c r="I410" s="120"/>
      <c r="J410" s="120"/>
      <c r="K410" s="120"/>
      <c r="L410" s="120"/>
      <c r="M410" s="121"/>
      <c r="N410" s="121"/>
      <c r="O410" s="121"/>
      <c r="P410" s="121"/>
      <c r="Q410" s="121"/>
      <c r="R410" s="121"/>
      <c r="S410" s="121"/>
      <c r="T410" s="121"/>
      <c r="U410" s="121"/>
    </row>
    <row r="411">
      <c r="A411" s="120"/>
      <c r="B411" s="123"/>
      <c r="C411" s="124"/>
      <c r="D411" s="122"/>
      <c r="E411" s="120"/>
      <c r="F411" s="122"/>
      <c r="G411" s="122"/>
      <c r="H411" s="122"/>
      <c r="I411" s="120"/>
      <c r="J411" s="120"/>
      <c r="K411" s="120"/>
      <c r="L411" s="120"/>
      <c r="M411" s="121"/>
      <c r="N411" s="121"/>
      <c r="O411" s="121"/>
      <c r="P411" s="121"/>
      <c r="Q411" s="121"/>
      <c r="R411" s="121"/>
      <c r="S411" s="121"/>
      <c r="T411" s="121"/>
      <c r="U411" s="121"/>
    </row>
    <row r="412">
      <c r="A412" s="120"/>
      <c r="B412" s="123"/>
      <c r="C412" s="124"/>
      <c r="D412" s="122"/>
      <c r="E412" s="120"/>
      <c r="F412" s="122"/>
      <c r="G412" s="122"/>
      <c r="H412" s="122"/>
      <c r="I412" s="120"/>
      <c r="J412" s="120"/>
      <c r="K412" s="120"/>
      <c r="L412" s="120"/>
      <c r="M412" s="121"/>
      <c r="N412" s="121"/>
      <c r="O412" s="121"/>
      <c r="P412" s="121"/>
      <c r="Q412" s="121"/>
      <c r="R412" s="121"/>
      <c r="S412" s="121"/>
      <c r="T412" s="121"/>
      <c r="U412" s="121"/>
    </row>
    <row r="413">
      <c r="A413" s="120"/>
      <c r="B413" s="123"/>
      <c r="C413" s="124"/>
      <c r="D413" s="122"/>
      <c r="E413" s="120"/>
      <c r="F413" s="122"/>
      <c r="G413" s="122"/>
      <c r="H413" s="122"/>
      <c r="I413" s="120"/>
      <c r="J413" s="120"/>
      <c r="K413" s="120"/>
      <c r="L413" s="120"/>
      <c r="M413" s="121"/>
      <c r="N413" s="121"/>
      <c r="O413" s="121"/>
      <c r="P413" s="121"/>
      <c r="Q413" s="121"/>
      <c r="R413" s="121"/>
      <c r="S413" s="121"/>
      <c r="T413" s="121"/>
      <c r="U413" s="121"/>
    </row>
    <row r="414">
      <c r="A414" s="120"/>
      <c r="B414" s="123"/>
      <c r="C414" s="124"/>
      <c r="D414" s="122"/>
      <c r="E414" s="120"/>
      <c r="F414" s="122"/>
      <c r="G414" s="122"/>
      <c r="H414" s="122"/>
      <c r="I414" s="120"/>
      <c r="J414" s="120"/>
      <c r="K414" s="120"/>
      <c r="L414" s="120"/>
      <c r="M414" s="121"/>
      <c r="N414" s="121"/>
      <c r="O414" s="121"/>
      <c r="P414" s="121"/>
      <c r="Q414" s="121"/>
      <c r="R414" s="121"/>
      <c r="S414" s="121"/>
      <c r="T414" s="121"/>
      <c r="U414" s="121"/>
    </row>
    <row r="415">
      <c r="A415" s="120"/>
      <c r="B415" s="123"/>
      <c r="C415" s="124"/>
      <c r="D415" s="122"/>
      <c r="E415" s="120"/>
      <c r="F415" s="122"/>
      <c r="G415" s="122"/>
      <c r="H415" s="122"/>
      <c r="I415" s="120"/>
      <c r="J415" s="120"/>
      <c r="K415" s="120"/>
      <c r="L415" s="120"/>
      <c r="M415" s="121"/>
      <c r="N415" s="121"/>
      <c r="O415" s="121"/>
      <c r="P415" s="121"/>
      <c r="Q415" s="121"/>
      <c r="R415" s="121"/>
      <c r="S415" s="121"/>
      <c r="T415" s="121"/>
      <c r="U415" s="121"/>
    </row>
    <row r="416">
      <c r="A416" s="120"/>
      <c r="B416" s="123"/>
      <c r="C416" s="124"/>
      <c r="D416" s="122"/>
      <c r="E416" s="120"/>
      <c r="F416" s="122"/>
      <c r="G416" s="122"/>
      <c r="H416" s="122"/>
      <c r="I416" s="120"/>
      <c r="J416" s="120"/>
      <c r="K416" s="120"/>
      <c r="L416" s="120"/>
      <c r="M416" s="121"/>
      <c r="N416" s="121"/>
      <c r="O416" s="121"/>
      <c r="P416" s="121"/>
      <c r="Q416" s="121"/>
      <c r="R416" s="121"/>
      <c r="S416" s="121"/>
      <c r="T416" s="121"/>
      <c r="U416" s="121"/>
    </row>
    <row r="417">
      <c r="A417" s="120"/>
      <c r="B417" s="123"/>
      <c r="C417" s="124"/>
      <c r="D417" s="122"/>
      <c r="E417" s="120"/>
      <c r="F417" s="122"/>
      <c r="G417" s="122"/>
      <c r="H417" s="122"/>
      <c r="I417" s="120"/>
      <c r="J417" s="120"/>
      <c r="K417" s="120"/>
      <c r="L417" s="120"/>
      <c r="M417" s="121"/>
      <c r="N417" s="121"/>
      <c r="O417" s="121"/>
      <c r="P417" s="121"/>
      <c r="Q417" s="121"/>
      <c r="R417" s="121"/>
      <c r="S417" s="121"/>
      <c r="T417" s="121"/>
      <c r="U417" s="121"/>
    </row>
    <row r="418">
      <c r="A418" s="120"/>
      <c r="B418" s="123"/>
      <c r="C418" s="124"/>
      <c r="D418" s="122"/>
      <c r="E418" s="120"/>
      <c r="F418" s="122"/>
      <c r="G418" s="122"/>
      <c r="H418" s="122"/>
      <c r="I418" s="120"/>
      <c r="J418" s="120"/>
      <c r="K418" s="120"/>
      <c r="L418" s="120"/>
      <c r="M418" s="121"/>
      <c r="N418" s="121"/>
      <c r="O418" s="121"/>
      <c r="P418" s="121"/>
      <c r="Q418" s="121"/>
      <c r="R418" s="121"/>
      <c r="S418" s="121"/>
      <c r="T418" s="121"/>
      <c r="U418" s="121"/>
    </row>
    <row r="419">
      <c r="A419" s="120"/>
      <c r="B419" s="123"/>
      <c r="C419" s="124"/>
      <c r="D419" s="122"/>
      <c r="E419" s="120"/>
      <c r="F419" s="122"/>
      <c r="G419" s="122"/>
      <c r="H419" s="122"/>
      <c r="I419" s="120"/>
      <c r="J419" s="120"/>
      <c r="K419" s="120"/>
      <c r="L419" s="120"/>
      <c r="M419" s="121"/>
      <c r="N419" s="121"/>
      <c r="O419" s="121"/>
      <c r="P419" s="121"/>
      <c r="Q419" s="121"/>
      <c r="R419" s="121"/>
      <c r="S419" s="121"/>
      <c r="T419" s="121"/>
      <c r="U419" s="121"/>
    </row>
    <row r="420">
      <c r="A420" s="120"/>
      <c r="B420" s="123"/>
      <c r="C420" s="124"/>
      <c r="D420" s="122"/>
      <c r="E420" s="120"/>
      <c r="F420" s="122"/>
      <c r="G420" s="122"/>
      <c r="H420" s="122"/>
      <c r="I420" s="120"/>
      <c r="J420" s="120"/>
      <c r="K420" s="120"/>
      <c r="L420" s="120"/>
      <c r="M420" s="121"/>
      <c r="N420" s="121"/>
      <c r="O420" s="121"/>
      <c r="P420" s="121"/>
      <c r="Q420" s="121"/>
      <c r="R420" s="121"/>
      <c r="S420" s="121"/>
      <c r="T420" s="121"/>
      <c r="U420" s="121"/>
    </row>
    <row r="421">
      <c r="A421" s="120"/>
      <c r="B421" s="123"/>
      <c r="C421" s="124"/>
      <c r="D421" s="122"/>
      <c r="E421" s="120"/>
      <c r="F421" s="122"/>
      <c r="G421" s="122"/>
      <c r="H421" s="122"/>
      <c r="I421" s="120"/>
      <c r="J421" s="120"/>
      <c r="K421" s="120"/>
      <c r="L421" s="120"/>
      <c r="M421" s="121"/>
      <c r="N421" s="121"/>
      <c r="O421" s="121"/>
      <c r="P421" s="121"/>
      <c r="Q421" s="121"/>
      <c r="R421" s="121"/>
      <c r="S421" s="121"/>
      <c r="T421" s="121"/>
      <c r="U421" s="121"/>
    </row>
    <row r="422">
      <c r="A422" s="120"/>
      <c r="B422" s="123"/>
      <c r="C422" s="124"/>
      <c r="D422" s="122"/>
      <c r="E422" s="120"/>
      <c r="F422" s="122"/>
      <c r="G422" s="122"/>
      <c r="H422" s="122"/>
      <c r="I422" s="120"/>
      <c r="J422" s="120"/>
      <c r="K422" s="120"/>
      <c r="L422" s="120"/>
      <c r="M422" s="121"/>
      <c r="N422" s="121"/>
      <c r="O422" s="121"/>
      <c r="P422" s="121"/>
      <c r="Q422" s="121"/>
      <c r="R422" s="121"/>
      <c r="S422" s="121"/>
      <c r="T422" s="121"/>
      <c r="U422" s="121"/>
    </row>
    <row r="423">
      <c r="A423" s="120"/>
      <c r="B423" s="123"/>
      <c r="C423" s="124"/>
      <c r="D423" s="122"/>
      <c r="E423" s="120"/>
      <c r="F423" s="122"/>
      <c r="G423" s="122"/>
      <c r="H423" s="122"/>
      <c r="I423" s="120"/>
      <c r="J423" s="120"/>
      <c r="K423" s="120"/>
      <c r="L423" s="120"/>
      <c r="M423" s="121"/>
      <c r="N423" s="121"/>
      <c r="O423" s="121"/>
      <c r="P423" s="121"/>
      <c r="Q423" s="121"/>
      <c r="R423" s="121"/>
      <c r="S423" s="121"/>
      <c r="T423" s="121"/>
      <c r="U423" s="121"/>
    </row>
    <row r="424">
      <c r="A424" s="120"/>
      <c r="B424" s="123"/>
      <c r="C424" s="124"/>
      <c r="D424" s="122"/>
      <c r="E424" s="120"/>
      <c r="F424" s="122"/>
      <c r="G424" s="122"/>
      <c r="H424" s="122"/>
      <c r="I424" s="120"/>
      <c r="J424" s="120"/>
      <c r="K424" s="120"/>
      <c r="L424" s="120"/>
      <c r="M424" s="121"/>
      <c r="N424" s="121"/>
      <c r="O424" s="121"/>
      <c r="P424" s="121"/>
      <c r="Q424" s="121"/>
      <c r="R424" s="121"/>
      <c r="S424" s="121"/>
      <c r="T424" s="121"/>
      <c r="U424" s="121"/>
    </row>
    <row r="425">
      <c r="A425" s="120"/>
      <c r="B425" s="123"/>
      <c r="C425" s="124"/>
      <c r="D425" s="122"/>
      <c r="E425" s="120"/>
      <c r="F425" s="122"/>
      <c r="G425" s="122"/>
      <c r="H425" s="122"/>
      <c r="I425" s="120"/>
      <c r="J425" s="120"/>
      <c r="K425" s="120"/>
      <c r="L425" s="120"/>
      <c r="M425" s="121"/>
      <c r="N425" s="121"/>
      <c r="O425" s="121"/>
      <c r="P425" s="121"/>
      <c r="Q425" s="121"/>
      <c r="R425" s="121"/>
      <c r="S425" s="121"/>
      <c r="T425" s="121"/>
      <c r="U425" s="121"/>
    </row>
    <row r="426">
      <c r="A426" s="120"/>
      <c r="B426" s="123"/>
      <c r="C426" s="124"/>
      <c r="D426" s="122"/>
      <c r="E426" s="120"/>
      <c r="F426" s="122"/>
      <c r="G426" s="122"/>
      <c r="H426" s="122"/>
      <c r="I426" s="120"/>
      <c r="J426" s="120"/>
      <c r="K426" s="120"/>
      <c r="L426" s="120"/>
      <c r="M426" s="121"/>
      <c r="N426" s="121"/>
      <c r="O426" s="121"/>
      <c r="P426" s="121"/>
      <c r="Q426" s="121"/>
      <c r="R426" s="121"/>
      <c r="S426" s="121"/>
      <c r="T426" s="121"/>
      <c r="U426" s="121"/>
    </row>
    <row r="427">
      <c r="A427" s="120"/>
      <c r="B427" s="123"/>
      <c r="C427" s="124"/>
      <c r="D427" s="122"/>
      <c r="E427" s="120"/>
      <c r="F427" s="122"/>
      <c r="G427" s="122"/>
      <c r="H427" s="122"/>
      <c r="I427" s="120"/>
      <c r="J427" s="120"/>
      <c r="K427" s="120"/>
      <c r="L427" s="120"/>
      <c r="M427" s="121"/>
      <c r="N427" s="121"/>
      <c r="O427" s="121"/>
      <c r="P427" s="121"/>
      <c r="Q427" s="121"/>
      <c r="R427" s="121"/>
      <c r="S427" s="121"/>
      <c r="T427" s="121"/>
      <c r="U427" s="121"/>
    </row>
    <row r="428">
      <c r="A428" s="120"/>
      <c r="B428" s="123"/>
      <c r="C428" s="124"/>
      <c r="D428" s="122"/>
      <c r="E428" s="120"/>
      <c r="F428" s="122"/>
      <c r="G428" s="122"/>
      <c r="H428" s="122"/>
      <c r="I428" s="120"/>
      <c r="J428" s="120"/>
      <c r="K428" s="120"/>
      <c r="L428" s="120"/>
      <c r="M428" s="121"/>
      <c r="N428" s="121"/>
      <c r="O428" s="121"/>
      <c r="P428" s="121"/>
      <c r="Q428" s="121"/>
      <c r="R428" s="121"/>
      <c r="S428" s="121"/>
      <c r="T428" s="121"/>
      <c r="U428" s="121"/>
    </row>
    <row r="429">
      <c r="A429" s="120"/>
      <c r="B429" s="123"/>
      <c r="C429" s="124"/>
      <c r="D429" s="122"/>
      <c r="E429" s="120"/>
      <c r="F429" s="122"/>
      <c r="G429" s="122"/>
      <c r="H429" s="122"/>
      <c r="I429" s="120"/>
      <c r="J429" s="120"/>
      <c r="K429" s="120"/>
      <c r="L429" s="120"/>
      <c r="M429" s="121"/>
      <c r="N429" s="121"/>
      <c r="O429" s="121"/>
      <c r="P429" s="121"/>
      <c r="Q429" s="121"/>
      <c r="R429" s="121"/>
      <c r="S429" s="121"/>
      <c r="T429" s="121"/>
      <c r="U429" s="121"/>
    </row>
    <row r="430">
      <c r="A430" s="120"/>
      <c r="B430" s="123"/>
      <c r="C430" s="124"/>
      <c r="D430" s="122"/>
      <c r="E430" s="120"/>
      <c r="F430" s="122"/>
      <c r="G430" s="122"/>
      <c r="H430" s="122"/>
      <c r="I430" s="120"/>
      <c r="J430" s="120"/>
      <c r="K430" s="120"/>
      <c r="L430" s="120"/>
      <c r="M430" s="121"/>
      <c r="N430" s="121"/>
      <c r="O430" s="121"/>
      <c r="P430" s="121"/>
      <c r="Q430" s="121"/>
      <c r="R430" s="121"/>
      <c r="S430" s="121"/>
      <c r="T430" s="121"/>
      <c r="U430" s="121"/>
    </row>
    <row r="431">
      <c r="A431" s="120"/>
      <c r="B431" s="123"/>
      <c r="C431" s="124"/>
      <c r="D431" s="132"/>
      <c r="E431" s="120"/>
      <c r="F431" s="132"/>
      <c r="G431" s="132"/>
      <c r="H431" s="132"/>
      <c r="I431" s="120"/>
      <c r="J431" s="120"/>
      <c r="K431" s="120"/>
      <c r="L431" s="120"/>
      <c r="M431" s="121"/>
      <c r="N431" s="121"/>
      <c r="O431" s="121"/>
      <c r="P431" s="121"/>
      <c r="Q431" s="121"/>
      <c r="R431" s="121"/>
      <c r="S431" s="121"/>
      <c r="T431" s="121"/>
      <c r="U431" s="121"/>
    </row>
    <row r="432">
      <c r="A432" s="120"/>
      <c r="B432" s="123"/>
      <c r="C432" s="124"/>
      <c r="D432" s="132"/>
      <c r="E432" s="120"/>
      <c r="F432" s="132"/>
      <c r="G432" s="132"/>
      <c r="H432" s="132"/>
      <c r="I432" s="120"/>
      <c r="J432" s="120"/>
      <c r="K432" s="120"/>
      <c r="L432" s="120"/>
      <c r="M432" s="121"/>
      <c r="N432" s="121"/>
      <c r="O432" s="121"/>
      <c r="P432" s="121"/>
      <c r="Q432" s="121"/>
      <c r="R432" s="121"/>
      <c r="S432" s="121"/>
      <c r="T432" s="121"/>
      <c r="U432" s="121"/>
    </row>
    <row r="433">
      <c r="A433" s="120"/>
      <c r="B433" s="123"/>
      <c r="C433" s="124"/>
      <c r="D433" s="132"/>
      <c r="E433" s="120"/>
      <c r="F433" s="132"/>
      <c r="G433" s="132"/>
      <c r="H433" s="132"/>
      <c r="I433" s="120"/>
      <c r="J433" s="120"/>
      <c r="K433" s="120"/>
      <c r="L433" s="120"/>
      <c r="M433" s="121"/>
      <c r="N433" s="121"/>
      <c r="O433" s="121"/>
      <c r="P433" s="121"/>
      <c r="Q433" s="121"/>
      <c r="R433" s="121"/>
      <c r="S433" s="121"/>
      <c r="T433" s="121"/>
      <c r="U433" s="121"/>
    </row>
    <row r="434">
      <c r="A434" s="120"/>
      <c r="B434" s="123"/>
      <c r="C434" s="124"/>
      <c r="D434" s="132"/>
      <c r="E434" s="120"/>
      <c r="F434" s="132"/>
      <c r="G434" s="132"/>
      <c r="H434" s="132"/>
      <c r="I434" s="120"/>
      <c r="J434" s="120"/>
      <c r="K434" s="120"/>
      <c r="L434" s="120"/>
      <c r="M434" s="121"/>
      <c r="N434" s="121"/>
      <c r="O434" s="121"/>
      <c r="P434" s="121"/>
      <c r="Q434" s="121"/>
      <c r="R434" s="121"/>
      <c r="S434" s="121"/>
      <c r="T434" s="121"/>
      <c r="U434" s="121"/>
    </row>
    <row r="435">
      <c r="A435" s="120"/>
      <c r="B435" s="123"/>
      <c r="C435" s="124"/>
      <c r="D435" s="132"/>
      <c r="E435" s="120"/>
      <c r="F435" s="132"/>
      <c r="G435" s="132"/>
      <c r="H435" s="132"/>
      <c r="I435" s="120"/>
      <c r="J435" s="120"/>
      <c r="K435" s="120"/>
      <c r="L435" s="120"/>
      <c r="M435" s="121"/>
      <c r="N435" s="121"/>
      <c r="O435" s="121"/>
      <c r="P435" s="121"/>
      <c r="Q435" s="121"/>
      <c r="R435" s="121"/>
      <c r="S435" s="121"/>
      <c r="T435" s="121"/>
      <c r="U435" s="121"/>
    </row>
    <row r="436">
      <c r="A436" s="120"/>
      <c r="B436" s="123"/>
      <c r="C436" s="124"/>
      <c r="D436" s="132"/>
      <c r="E436" s="120"/>
      <c r="F436" s="132"/>
      <c r="G436" s="132"/>
      <c r="H436" s="132"/>
      <c r="I436" s="120"/>
      <c r="J436" s="120"/>
      <c r="K436" s="120"/>
      <c r="L436" s="120"/>
      <c r="M436" s="121"/>
      <c r="N436" s="121"/>
      <c r="O436" s="121"/>
      <c r="P436" s="121"/>
      <c r="Q436" s="121"/>
      <c r="R436" s="121"/>
      <c r="S436" s="121"/>
      <c r="T436" s="121"/>
      <c r="U436" s="121"/>
    </row>
    <row r="437">
      <c r="A437" s="120"/>
      <c r="B437" s="123"/>
      <c r="C437" s="124"/>
      <c r="D437" s="132"/>
      <c r="E437" s="120"/>
      <c r="F437" s="132"/>
      <c r="G437" s="132"/>
      <c r="H437" s="132"/>
      <c r="I437" s="120"/>
      <c r="J437" s="120"/>
      <c r="K437" s="120"/>
      <c r="L437" s="120"/>
      <c r="M437" s="121"/>
      <c r="N437" s="121"/>
      <c r="O437" s="121"/>
      <c r="P437" s="121"/>
      <c r="Q437" s="121"/>
      <c r="R437" s="121"/>
      <c r="S437" s="121"/>
      <c r="T437" s="121"/>
      <c r="U437" s="121"/>
    </row>
    <row r="438">
      <c r="A438" s="120"/>
      <c r="B438" s="123"/>
      <c r="C438" s="124"/>
      <c r="D438" s="132"/>
      <c r="E438" s="120"/>
      <c r="F438" s="132"/>
      <c r="G438" s="132"/>
      <c r="H438" s="132"/>
      <c r="I438" s="120"/>
      <c r="J438" s="120"/>
      <c r="K438" s="120"/>
      <c r="L438" s="120"/>
      <c r="M438" s="121"/>
      <c r="N438" s="121"/>
      <c r="O438" s="121"/>
      <c r="P438" s="121"/>
      <c r="Q438" s="121"/>
      <c r="R438" s="121"/>
      <c r="S438" s="121"/>
      <c r="T438" s="121"/>
      <c r="U438" s="121"/>
    </row>
    <row r="439">
      <c r="A439" s="120"/>
      <c r="B439" s="123"/>
      <c r="C439" s="124"/>
      <c r="D439" s="132"/>
      <c r="E439" s="120"/>
      <c r="F439" s="132"/>
      <c r="G439" s="132"/>
      <c r="H439" s="132"/>
      <c r="I439" s="120"/>
      <c r="J439" s="120"/>
      <c r="K439" s="120"/>
      <c r="L439" s="120"/>
      <c r="M439" s="121"/>
      <c r="N439" s="121"/>
      <c r="O439" s="121"/>
      <c r="P439" s="121"/>
      <c r="Q439" s="121"/>
      <c r="R439" s="121"/>
      <c r="S439" s="121"/>
      <c r="T439" s="121"/>
      <c r="U439" s="121"/>
    </row>
    <row r="440">
      <c r="A440" s="120"/>
      <c r="B440" s="123"/>
      <c r="C440" s="124"/>
      <c r="D440" s="132"/>
      <c r="E440" s="120"/>
      <c r="F440" s="132"/>
      <c r="G440" s="132"/>
      <c r="H440" s="132"/>
      <c r="I440" s="120"/>
      <c r="J440" s="120"/>
      <c r="K440" s="120"/>
      <c r="L440" s="120"/>
      <c r="M440" s="121"/>
      <c r="N440" s="121"/>
      <c r="O440" s="121"/>
      <c r="P440" s="121"/>
      <c r="Q440" s="121"/>
      <c r="R440" s="121"/>
      <c r="S440" s="121"/>
      <c r="T440" s="121"/>
      <c r="U440" s="121"/>
    </row>
    <row r="441">
      <c r="A441" s="120"/>
      <c r="B441" s="123"/>
      <c r="C441" s="124"/>
      <c r="D441" s="132"/>
      <c r="E441" s="120"/>
      <c r="F441" s="132"/>
      <c r="G441" s="132"/>
      <c r="H441" s="132"/>
      <c r="I441" s="120"/>
      <c r="J441" s="120"/>
      <c r="K441" s="120"/>
      <c r="L441" s="120"/>
      <c r="M441" s="121"/>
      <c r="N441" s="121"/>
      <c r="O441" s="121"/>
      <c r="P441" s="121"/>
      <c r="Q441" s="121"/>
      <c r="R441" s="121"/>
      <c r="S441" s="121"/>
      <c r="T441" s="121"/>
      <c r="U441" s="121"/>
    </row>
    <row r="442">
      <c r="A442" s="120"/>
      <c r="B442" s="123"/>
      <c r="C442" s="124"/>
      <c r="D442" s="132"/>
      <c r="E442" s="120"/>
      <c r="F442" s="132"/>
      <c r="G442" s="132"/>
      <c r="H442" s="132"/>
      <c r="I442" s="120"/>
      <c r="J442" s="120"/>
      <c r="K442" s="120"/>
      <c r="L442" s="120"/>
      <c r="M442" s="121"/>
      <c r="N442" s="121"/>
      <c r="O442" s="121"/>
      <c r="P442" s="121"/>
      <c r="Q442" s="121"/>
      <c r="R442" s="121"/>
      <c r="S442" s="121"/>
      <c r="T442" s="121"/>
      <c r="U442" s="121"/>
    </row>
    <row r="443">
      <c r="A443" s="120"/>
      <c r="B443" s="123"/>
      <c r="C443" s="124"/>
      <c r="D443" s="132"/>
      <c r="E443" s="120"/>
      <c r="F443" s="132"/>
      <c r="G443" s="132"/>
      <c r="H443" s="132"/>
      <c r="I443" s="120"/>
      <c r="J443" s="120"/>
      <c r="K443" s="120"/>
      <c r="L443" s="120"/>
      <c r="M443" s="121"/>
      <c r="N443" s="121"/>
      <c r="O443" s="121"/>
      <c r="P443" s="121"/>
      <c r="Q443" s="121"/>
      <c r="R443" s="121"/>
      <c r="S443" s="121"/>
      <c r="T443" s="121"/>
      <c r="U443" s="121"/>
    </row>
    <row r="444">
      <c r="A444" s="120"/>
      <c r="B444" s="123"/>
      <c r="C444" s="124"/>
      <c r="D444" s="132"/>
      <c r="E444" s="120"/>
      <c r="F444" s="132"/>
      <c r="G444" s="132"/>
      <c r="H444" s="132"/>
      <c r="I444" s="120"/>
      <c r="J444" s="120"/>
      <c r="K444" s="120"/>
      <c r="L444" s="120"/>
      <c r="M444" s="121"/>
      <c r="N444" s="121"/>
      <c r="O444" s="121"/>
      <c r="P444" s="121"/>
      <c r="Q444" s="121"/>
      <c r="R444" s="121"/>
      <c r="S444" s="121"/>
      <c r="T444" s="121"/>
      <c r="U444" s="121"/>
    </row>
    <row r="445">
      <c r="A445" s="120"/>
      <c r="B445" s="123"/>
      <c r="C445" s="124"/>
      <c r="D445" s="132"/>
      <c r="E445" s="120"/>
      <c r="F445" s="132"/>
      <c r="G445" s="132"/>
      <c r="H445" s="132"/>
      <c r="I445" s="120"/>
      <c r="J445" s="120"/>
      <c r="K445" s="120"/>
      <c r="L445" s="120"/>
      <c r="M445" s="121"/>
      <c r="N445" s="121"/>
      <c r="O445" s="121"/>
      <c r="P445" s="121"/>
      <c r="Q445" s="121"/>
      <c r="R445" s="121"/>
      <c r="S445" s="121"/>
      <c r="T445" s="121"/>
      <c r="U445" s="121"/>
    </row>
    <row r="446">
      <c r="A446" s="120"/>
      <c r="B446" s="123"/>
      <c r="C446" s="124"/>
      <c r="D446" s="132"/>
      <c r="E446" s="120"/>
      <c r="F446" s="132"/>
      <c r="G446" s="132"/>
      <c r="H446" s="132"/>
      <c r="I446" s="120"/>
      <c r="J446" s="120"/>
      <c r="K446" s="120"/>
      <c r="L446" s="120"/>
      <c r="M446" s="121"/>
      <c r="N446" s="121"/>
      <c r="O446" s="121"/>
      <c r="P446" s="121"/>
      <c r="Q446" s="121"/>
      <c r="R446" s="121"/>
      <c r="S446" s="121"/>
      <c r="T446" s="121"/>
      <c r="U446" s="121"/>
    </row>
    <row r="447">
      <c r="A447" s="120"/>
      <c r="B447" s="123"/>
      <c r="C447" s="124"/>
      <c r="D447" s="132"/>
      <c r="E447" s="120"/>
      <c r="F447" s="132"/>
      <c r="G447" s="132"/>
      <c r="H447" s="132"/>
      <c r="I447" s="120"/>
      <c r="J447" s="120"/>
      <c r="K447" s="120"/>
      <c r="L447" s="120"/>
      <c r="M447" s="121"/>
      <c r="N447" s="121"/>
      <c r="O447" s="121"/>
      <c r="P447" s="121"/>
      <c r="Q447" s="121"/>
      <c r="R447" s="121"/>
      <c r="S447" s="121"/>
      <c r="T447" s="121"/>
      <c r="U447" s="121"/>
    </row>
    <row r="448">
      <c r="A448" s="120"/>
      <c r="B448" s="123"/>
      <c r="C448" s="124"/>
      <c r="D448" s="132"/>
      <c r="E448" s="120"/>
      <c r="F448" s="132"/>
      <c r="G448" s="132"/>
      <c r="H448" s="132"/>
      <c r="I448" s="120"/>
      <c r="J448" s="120"/>
      <c r="K448" s="120"/>
      <c r="L448" s="120"/>
      <c r="M448" s="121"/>
      <c r="N448" s="121"/>
      <c r="O448" s="121"/>
      <c r="P448" s="121"/>
      <c r="Q448" s="121"/>
      <c r="R448" s="121"/>
      <c r="S448" s="121"/>
      <c r="T448" s="121"/>
      <c r="U448" s="121"/>
    </row>
    <row r="449">
      <c r="A449" s="120"/>
      <c r="B449" s="123"/>
      <c r="C449" s="124"/>
      <c r="D449" s="132"/>
      <c r="E449" s="120"/>
      <c r="F449" s="132"/>
      <c r="G449" s="132"/>
      <c r="H449" s="132"/>
      <c r="I449" s="120"/>
      <c r="J449" s="120"/>
      <c r="K449" s="120"/>
      <c r="L449" s="120"/>
      <c r="M449" s="121"/>
      <c r="N449" s="121"/>
      <c r="O449" s="121"/>
      <c r="P449" s="121"/>
      <c r="Q449" s="121"/>
      <c r="R449" s="121"/>
      <c r="S449" s="121"/>
      <c r="T449" s="121"/>
      <c r="U449" s="121"/>
    </row>
    <row r="450">
      <c r="A450" s="120"/>
      <c r="B450" s="123"/>
      <c r="C450" s="124"/>
      <c r="D450" s="132"/>
      <c r="E450" s="120"/>
      <c r="F450" s="132"/>
      <c r="G450" s="132"/>
      <c r="H450" s="132"/>
      <c r="I450" s="120"/>
      <c r="J450" s="120"/>
      <c r="K450" s="120"/>
      <c r="L450" s="120"/>
      <c r="M450" s="121"/>
      <c r="N450" s="121"/>
      <c r="O450" s="121"/>
      <c r="P450" s="121"/>
      <c r="Q450" s="121"/>
      <c r="R450" s="121"/>
      <c r="S450" s="121"/>
      <c r="T450" s="121"/>
      <c r="U450" s="121"/>
    </row>
    <row r="451">
      <c r="A451" s="120"/>
      <c r="B451" s="123"/>
      <c r="C451" s="124"/>
      <c r="D451" s="132"/>
      <c r="E451" s="120"/>
      <c r="F451" s="132"/>
      <c r="G451" s="132"/>
      <c r="H451" s="132"/>
      <c r="I451" s="120"/>
      <c r="J451" s="120"/>
      <c r="K451" s="120"/>
      <c r="L451" s="120"/>
      <c r="M451" s="121"/>
      <c r="N451" s="121"/>
      <c r="O451" s="121"/>
      <c r="P451" s="121"/>
      <c r="Q451" s="121"/>
      <c r="R451" s="121"/>
      <c r="S451" s="121"/>
      <c r="T451" s="121"/>
      <c r="U451" s="121"/>
    </row>
    <row r="452">
      <c r="A452" s="120"/>
      <c r="B452" s="123"/>
      <c r="C452" s="124"/>
      <c r="D452" s="132"/>
      <c r="E452" s="120"/>
      <c r="F452" s="132"/>
      <c r="G452" s="132"/>
      <c r="H452" s="132"/>
      <c r="I452" s="120"/>
      <c r="J452" s="120"/>
      <c r="K452" s="120"/>
      <c r="L452" s="120"/>
      <c r="M452" s="121"/>
      <c r="N452" s="121"/>
      <c r="O452" s="121"/>
      <c r="P452" s="121"/>
      <c r="Q452" s="121"/>
      <c r="R452" s="121"/>
      <c r="S452" s="121"/>
      <c r="T452" s="121"/>
      <c r="U452" s="121"/>
    </row>
    <row r="453">
      <c r="A453" s="120"/>
      <c r="B453" s="123"/>
      <c r="C453" s="124"/>
      <c r="D453" s="132"/>
      <c r="E453" s="120"/>
      <c r="F453" s="132"/>
      <c r="G453" s="132"/>
      <c r="H453" s="132"/>
      <c r="I453" s="120"/>
      <c r="J453" s="120"/>
      <c r="K453" s="120"/>
      <c r="L453" s="120"/>
      <c r="M453" s="121"/>
      <c r="N453" s="121"/>
      <c r="O453" s="121"/>
      <c r="P453" s="121"/>
      <c r="Q453" s="121"/>
      <c r="R453" s="121"/>
      <c r="S453" s="121"/>
      <c r="T453" s="121"/>
      <c r="U453" s="121"/>
    </row>
    <row r="454">
      <c r="A454" s="120"/>
      <c r="B454" s="123"/>
      <c r="C454" s="124"/>
      <c r="D454" s="132"/>
      <c r="E454" s="120"/>
      <c r="F454" s="132"/>
      <c r="G454" s="132"/>
      <c r="H454" s="132"/>
      <c r="I454" s="120"/>
      <c r="J454" s="120"/>
      <c r="K454" s="120"/>
      <c r="L454" s="120"/>
      <c r="M454" s="121"/>
      <c r="N454" s="121"/>
      <c r="O454" s="121"/>
      <c r="P454" s="121"/>
      <c r="Q454" s="121"/>
      <c r="R454" s="121"/>
      <c r="S454" s="121"/>
      <c r="T454" s="121"/>
      <c r="U454" s="121"/>
    </row>
    <row r="455">
      <c r="A455" s="120"/>
      <c r="B455" s="123"/>
      <c r="C455" s="124"/>
      <c r="D455" s="132"/>
      <c r="E455" s="120"/>
      <c r="F455" s="132"/>
      <c r="G455" s="132"/>
      <c r="H455" s="132"/>
      <c r="I455" s="120"/>
      <c r="J455" s="120"/>
      <c r="K455" s="120"/>
      <c r="L455" s="120"/>
      <c r="M455" s="121"/>
      <c r="N455" s="121"/>
      <c r="O455" s="121"/>
      <c r="P455" s="121"/>
      <c r="Q455" s="121"/>
      <c r="R455" s="121"/>
      <c r="S455" s="121"/>
      <c r="T455" s="121"/>
      <c r="U455" s="121"/>
    </row>
    <row r="456">
      <c r="A456" s="120"/>
      <c r="B456" s="123"/>
      <c r="C456" s="124"/>
      <c r="D456" s="132"/>
      <c r="E456" s="120"/>
      <c r="F456" s="132"/>
      <c r="G456" s="132"/>
      <c r="H456" s="132"/>
      <c r="I456" s="120"/>
      <c r="J456" s="120"/>
      <c r="K456" s="120"/>
      <c r="L456" s="120"/>
      <c r="M456" s="121"/>
      <c r="N456" s="121"/>
      <c r="O456" s="121"/>
      <c r="P456" s="121"/>
      <c r="Q456" s="121"/>
      <c r="R456" s="121"/>
      <c r="S456" s="121"/>
      <c r="T456" s="121"/>
      <c r="U456" s="121"/>
    </row>
    <row r="457">
      <c r="A457" s="120"/>
      <c r="B457" s="123"/>
      <c r="C457" s="124"/>
      <c r="D457" s="132"/>
      <c r="E457" s="120"/>
      <c r="F457" s="132"/>
      <c r="G457" s="132"/>
      <c r="H457" s="132"/>
      <c r="I457" s="120"/>
      <c r="J457" s="120"/>
      <c r="K457" s="120"/>
      <c r="L457" s="120"/>
      <c r="M457" s="121"/>
      <c r="N457" s="121"/>
      <c r="O457" s="121"/>
      <c r="P457" s="121"/>
      <c r="Q457" s="121"/>
      <c r="R457" s="121"/>
      <c r="S457" s="121"/>
      <c r="T457" s="121"/>
      <c r="U457" s="121"/>
    </row>
    <row r="458">
      <c r="A458" s="120"/>
      <c r="B458" s="123"/>
      <c r="C458" s="124"/>
      <c r="D458" s="132"/>
      <c r="E458" s="120"/>
      <c r="F458" s="132"/>
      <c r="G458" s="132"/>
      <c r="H458" s="132"/>
      <c r="I458" s="120"/>
      <c r="J458" s="120"/>
      <c r="K458" s="120"/>
      <c r="L458" s="120"/>
      <c r="M458" s="121"/>
      <c r="N458" s="121"/>
      <c r="O458" s="121"/>
      <c r="P458" s="121"/>
      <c r="Q458" s="121"/>
      <c r="R458" s="121"/>
      <c r="S458" s="121"/>
      <c r="T458" s="121"/>
      <c r="U458" s="121"/>
    </row>
    <row r="459">
      <c r="A459" s="120"/>
      <c r="B459" s="123"/>
      <c r="C459" s="124"/>
      <c r="D459" s="132"/>
      <c r="E459" s="120"/>
      <c r="F459" s="132"/>
      <c r="G459" s="132"/>
      <c r="H459" s="132"/>
      <c r="I459" s="120"/>
      <c r="J459" s="120"/>
      <c r="K459" s="120"/>
      <c r="L459" s="120"/>
      <c r="M459" s="121"/>
      <c r="N459" s="121"/>
      <c r="O459" s="121"/>
      <c r="P459" s="121"/>
      <c r="Q459" s="121"/>
      <c r="R459" s="121"/>
      <c r="S459" s="121"/>
      <c r="T459" s="121"/>
      <c r="U459" s="121"/>
    </row>
    <row r="460">
      <c r="A460" s="120"/>
      <c r="B460" s="123"/>
      <c r="C460" s="124"/>
      <c r="D460" s="132"/>
      <c r="E460" s="120"/>
      <c r="F460" s="132"/>
      <c r="G460" s="132"/>
      <c r="H460" s="132"/>
      <c r="I460" s="120"/>
      <c r="J460" s="120"/>
      <c r="K460" s="120"/>
      <c r="L460" s="120"/>
      <c r="M460" s="121"/>
      <c r="N460" s="121"/>
      <c r="O460" s="121"/>
      <c r="P460" s="121"/>
      <c r="Q460" s="121"/>
      <c r="R460" s="121"/>
      <c r="S460" s="121"/>
      <c r="T460" s="121"/>
      <c r="U460" s="121"/>
    </row>
    <row r="461">
      <c r="A461" s="120"/>
      <c r="B461" s="123"/>
      <c r="C461" s="124"/>
      <c r="D461" s="132"/>
      <c r="E461" s="120"/>
      <c r="F461" s="132"/>
      <c r="G461" s="132"/>
      <c r="H461" s="132"/>
      <c r="I461" s="120"/>
      <c r="J461" s="120"/>
      <c r="K461" s="120"/>
      <c r="L461" s="120"/>
      <c r="M461" s="121"/>
      <c r="N461" s="121"/>
      <c r="O461" s="121"/>
      <c r="P461" s="121"/>
      <c r="Q461" s="121"/>
      <c r="R461" s="121"/>
      <c r="S461" s="121"/>
      <c r="T461" s="121"/>
      <c r="U461" s="121"/>
    </row>
    <row r="462">
      <c r="A462" s="120"/>
      <c r="B462" s="123"/>
      <c r="C462" s="124"/>
      <c r="D462" s="132"/>
      <c r="E462" s="120"/>
      <c r="F462" s="132"/>
      <c r="G462" s="132"/>
      <c r="H462" s="132"/>
      <c r="I462" s="120"/>
      <c r="J462" s="120"/>
      <c r="K462" s="120"/>
      <c r="L462" s="120"/>
      <c r="M462" s="121"/>
      <c r="N462" s="121"/>
      <c r="O462" s="121"/>
      <c r="P462" s="121"/>
      <c r="Q462" s="121"/>
      <c r="R462" s="121"/>
      <c r="S462" s="121"/>
      <c r="T462" s="121"/>
      <c r="U462" s="121"/>
    </row>
    <row r="463">
      <c r="A463" s="120"/>
      <c r="B463" s="123"/>
      <c r="C463" s="124"/>
      <c r="D463" s="132"/>
      <c r="E463" s="120"/>
      <c r="F463" s="132"/>
      <c r="G463" s="132"/>
      <c r="H463" s="132"/>
      <c r="I463" s="120"/>
      <c r="J463" s="120"/>
      <c r="K463" s="120"/>
      <c r="L463" s="120"/>
      <c r="M463" s="121"/>
      <c r="N463" s="121"/>
      <c r="O463" s="121"/>
      <c r="P463" s="121"/>
      <c r="Q463" s="121"/>
      <c r="R463" s="121"/>
      <c r="S463" s="121"/>
      <c r="T463" s="121"/>
      <c r="U463" s="121"/>
    </row>
    <row r="464">
      <c r="A464" s="120"/>
      <c r="B464" s="123"/>
      <c r="C464" s="124"/>
      <c r="D464" s="132"/>
      <c r="E464" s="120"/>
      <c r="F464" s="132"/>
      <c r="G464" s="132"/>
      <c r="H464" s="132"/>
      <c r="I464" s="120"/>
      <c r="J464" s="120"/>
      <c r="K464" s="120"/>
      <c r="L464" s="120"/>
      <c r="M464" s="121"/>
      <c r="N464" s="121"/>
      <c r="O464" s="121"/>
      <c r="P464" s="121"/>
      <c r="Q464" s="121"/>
      <c r="R464" s="121"/>
      <c r="S464" s="121"/>
      <c r="T464" s="121"/>
      <c r="U464" s="121"/>
    </row>
    <row r="465">
      <c r="A465" s="120"/>
      <c r="B465" s="123"/>
      <c r="C465" s="124"/>
      <c r="D465" s="132"/>
      <c r="E465" s="120"/>
      <c r="F465" s="132"/>
      <c r="G465" s="132"/>
      <c r="H465" s="132"/>
      <c r="I465" s="120"/>
      <c r="J465" s="120"/>
      <c r="K465" s="120"/>
      <c r="L465" s="120"/>
      <c r="M465" s="121"/>
      <c r="N465" s="121"/>
      <c r="O465" s="121"/>
      <c r="P465" s="121"/>
      <c r="Q465" s="121"/>
      <c r="R465" s="121"/>
      <c r="S465" s="121"/>
      <c r="T465" s="121"/>
      <c r="U465" s="121"/>
    </row>
    <row r="466">
      <c r="A466" s="120"/>
      <c r="B466" s="123"/>
      <c r="C466" s="124"/>
      <c r="D466" s="132"/>
      <c r="E466" s="120"/>
      <c r="F466" s="132"/>
      <c r="G466" s="132"/>
      <c r="H466" s="132"/>
      <c r="I466" s="120"/>
      <c r="J466" s="120"/>
      <c r="K466" s="120"/>
      <c r="L466" s="120"/>
      <c r="M466" s="121"/>
      <c r="N466" s="121"/>
      <c r="O466" s="121"/>
      <c r="P466" s="121"/>
      <c r="Q466" s="121"/>
      <c r="R466" s="121"/>
      <c r="S466" s="121"/>
      <c r="T466" s="121"/>
      <c r="U466" s="121"/>
    </row>
    <row r="467">
      <c r="A467" s="120"/>
      <c r="B467" s="123"/>
      <c r="C467" s="124"/>
      <c r="D467" s="132"/>
      <c r="E467" s="120"/>
      <c r="F467" s="132"/>
      <c r="G467" s="132"/>
      <c r="H467" s="132"/>
      <c r="I467" s="120"/>
      <c r="J467" s="120"/>
      <c r="K467" s="120"/>
      <c r="L467" s="120"/>
      <c r="M467" s="121"/>
      <c r="N467" s="121"/>
      <c r="O467" s="121"/>
      <c r="P467" s="121"/>
      <c r="Q467" s="121"/>
      <c r="R467" s="121"/>
      <c r="S467" s="121"/>
      <c r="T467" s="121"/>
      <c r="U467" s="121"/>
    </row>
    <row r="468">
      <c r="A468" s="120"/>
      <c r="B468" s="123"/>
      <c r="C468" s="124"/>
      <c r="D468" s="132"/>
      <c r="E468" s="120"/>
      <c r="F468" s="132"/>
      <c r="G468" s="132"/>
      <c r="H468" s="132"/>
      <c r="I468" s="120"/>
      <c r="J468" s="120"/>
      <c r="K468" s="120"/>
      <c r="L468" s="120"/>
      <c r="M468" s="121"/>
      <c r="N468" s="121"/>
      <c r="O468" s="121"/>
      <c r="P468" s="121"/>
      <c r="Q468" s="121"/>
      <c r="R468" s="121"/>
      <c r="S468" s="121"/>
      <c r="T468" s="121"/>
      <c r="U468" s="121"/>
    </row>
    <row r="469">
      <c r="A469" s="120"/>
      <c r="B469" s="123"/>
      <c r="C469" s="124"/>
      <c r="D469" s="132"/>
      <c r="E469" s="120"/>
      <c r="F469" s="132"/>
      <c r="G469" s="132"/>
      <c r="H469" s="132"/>
      <c r="I469" s="120"/>
      <c r="J469" s="120"/>
      <c r="K469" s="120"/>
      <c r="L469" s="120"/>
      <c r="M469" s="121"/>
      <c r="N469" s="121"/>
      <c r="O469" s="121"/>
      <c r="P469" s="121"/>
      <c r="Q469" s="121"/>
      <c r="R469" s="121"/>
      <c r="S469" s="121"/>
      <c r="T469" s="121"/>
      <c r="U469" s="121"/>
    </row>
    <row r="470">
      <c r="A470" s="120"/>
      <c r="B470" s="123"/>
      <c r="C470" s="124"/>
      <c r="D470" s="132"/>
      <c r="E470" s="120"/>
      <c r="F470" s="132"/>
      <c r="G470" s="132"/>
      <c r="H470" s="132"/>
      <c r="I470" s="120"/>
      <c r="J470" s="120"/>
      <c r="K470" s="120"/>
      <c r="L470" s="120"/>
      <c r="M470" s="121"/>
      <c r="N470" s="121"/>
      <c r="O470" s="121"/>
      <c r="P470" s="121"/>
      <c r="Q470" s="121"/>
      <c r="R470" s="121"/>
      <c r="S470" s="121"/>
      <c r="T470" s="121"/>
      <c r="U470" s="121"/>
    </row>
    <row r="471">
      <c r="A471" s="120"/>
      <c r="B471" s="123"/>
      <c r="C471" s="124"/>
      <c r="D471" s="132"/>
      <c r="E471" s="120"/>
      <c r="F471" s="132"/>
      <c r="G471" s="132"/>
      <c r="H471" s="132"/>
      <c r="I471" s="120"/>
      <c r="J471" s="120"/>
      <c r="K471" s="120"/>
      <c r="L471" s="120"/>
      <c r="M471" s="121"/>
      <c r="N471" s="121"/>
      <c r="O471" s="121"/>
      <c r="P471" s="121"/>
      <c r="Q471" s="121"/>
      <c r="R471" s="121"/>
      <c r="S471" s="121"/>
      <c r="T471" s="121"/>
      <c r="U471" s="121"/>
    </row>
    <row r="472">
      <c r="A472" s="120"/>
      <c r="B472" s="123"/>
      <c r="C472" s="124"/>
      <c r="D472" s="132"/>
      <c r="E472" s="120"/>
      <c r="F472" s="132"/>
      <c r="G472" s="132"/>
      <c r="H472" s="132"/>
      <c r="I472" s="120"/>
      <c r="J472" s="120"/>
      <c r="K472" s="120"/>
      <c r="L472" s="120"/>
      <c r="M472" s="121"/>
      <c r="N472" s="121"/>
      <c r="O472" s="121"/>
      <c r="P472" s="121"/>
      <c r="Q472" s="121"/>
      <c r="R472" s="121"/>
      <c r="S472" s="121"/>
      <c r="T472" s="121"/>
      <c r="U472" s="121"/>
    </row>
    <row r="473">
      <c r="A473" s="120"/>
      <c r="B473" s="123"/>
      <c r="C473" s="124"/>
      <c r="D473" s="132"/>
      <c r="E473" s="120"/>
      <c r="F473" s="132"/>
      <c r="G473" s="132"/>
      <c r="H473" s="132"/>
      <c r="I473" s="120"/>
      <c r="J473" s="120"/>
      <c r="K473" s="120"/>
      <c r="L473" s="120"/>
      <c r="M473" s="121"/>
      <c r="N473" s="121"/>
      <c r="O473" s="121"/>
      <c r="P473" s="121"/>
      <c r="Q473" s="121"/>
      <c r="R473" s="121"/>
      <c r="S473" s="121"/>
      <c r="T473" s="121"/>
      <c r="U473" s="121"/>
    </row>
    <row r="474">
      <c r="A474" s="120"/>
      <c r="B474" s="123"/>
      <c r="C474" s="124"/>
      <c r="D474" s="132"/>
      <c r="E474" s="120"/>
      <c r="F474" s="132"/>
      <c r="G474" s="132"/>
      <c r="H474" s="132"/>
      <c r="I474" s="120"/>
      <c r="J474" s="120"/>
      <c r="K474" s="120"/>
      <c r="L474" s="120"/>
      <c r="M474" s="121"/>
      <c r="N474" s="121"/>
      <c r="O474" s="121"/>
      <c r="P474" s="121"/>
      <c r="Q474" s="121"/>
      <c r="R474" s="121"/>
      <c r="S474" s="121"/>
      <c r="T474" s="121"/>
      <c r="U474" s="121"/>
    </row>
    <row r="475">
      <c r="A475" s="120"/>
      <c r="B475" s="123"/>
      <c r="C475" s="124"/>
      <c r="D475" s="132"/>
      <c r="E475" s="120"/>
      <c r="F475" s="132"/>
      <c r="G475" s="132"/>
      <c r="H475" s="132"/>
      <c r="I475" s="120"/>
      <c r="J475" s="120"/>
      <c r="K475" s="120"/>
      <c r="L475" s="120"/>
      <c r="M475" s="121"/>
      <c r="N475" s="121"/>
      <c r="O475" s="121"/>
      <c r="P475" s="121"/>
      <c r="Q475" s="121"/>
      <c r="R475" s="121"/>
      <c r="S475" s="121"/>
      <c r="T475" s="121"/>
      <c r="U475" s="121"/>
    </row>
    <row r="476">
      <c r="A476" s="120"/>
      <c r="B476" s="123"/>
      <c r="C476" s="124"/>
      <c r="D476" s="132"/>
      <c r="E476" s="120"/>
      <c r="F476" s="132"/>
      <c r="G476" s="132"/>
      <c r="H476" s="132"/>
      <c r="I476" s="120"/>
      <c r="J476" s="120"/>
      <c r="K476" s="120"/>
      <c r="L476" s="120"/>
      <c r="M476" s="121"/>
      <c r="N476" s="121"/>
      <c r="O476" s="121"/>
      <c r="P476" s="121"/>
      <c r="Q476" s="121"/>
      <c r="R476" s="121"/>
      <c r="S476" s="121"/>
      <c r="T476" s="121"/>
      <c r="U476" s="121"/>
    </row>
    <row r="477">
      <c r="A477" s="120"/>
      <c r="B477" s="123"/>
      <c r="C477" s="124"/>
      <c r="D477" s="133"/>
      <c r="E477" s="120"/>
      <c r="F477" s="133"/>
      <c r="G477" s="133"/>
      <c r="H477" s="133"/>
      <c r="I477" s="120"/>
      <c r="J477" s="120"/>
      <c r="K477" s="120"/>
      <c r="L477" s="120"/>
      <c r="M477" s="121"/>
      <c r="N477" s="121"/>
      <c r="O477" s="121"/>
      <c r="P477" s="121"/>
      <c r="Q477" s="121"/>
      <c r="R477" s="121"/>
      <c r="S477" s="121"/>
      <c r="T477" s="121"/>
      <c r="U477" s="121"/>
    </row>
    <row r="478">
      <c r="A478" s="120"/>
      <c r="B478" s="123"/>
      <c r="C478" s="124"/>
      <c r="D478" s="133"/>
      <c r="E478" s="120"/>
      <c r="F478" s="133"/>
      <c r="G478" s="133"/>
      <c r="H478" s="133"/>
      <c r="I478" s="120"/>
      <c r="J478" s="120"/>
      <c r="K478" s="120"/>
      <c r="L478" s="120"/>
      <c r="M478" s="121"/>
      <c r="N478" s="121"/>
      <c r="O478" s="121"/>
      <c r="P478" s="121"/>
      <c r="Q478" s="121"/>
      <c r="R478" s="121"/>
      <c r="S478" s="121"/>
      <c r="T478" s="121"/>
      <c r="U478" s="121"/>
    </row>
    <row r="479">
      <c r="A479" s="120"/>
      <c r="B479" s="123"/>
      <c r="C479" s="124"/>
      <c r="D479" s="133"/>
      <c r="E479" s="120"/>
      <c r="F479" s="133"/>
      <c r="G479" s="133"/>
      <c r="H479" s="133"/>
      <c r="I479" s="120"/>
      <c r="J479" s="120"/>
      <c r="K479" s="120"/>
      <c r="L479" s="120"/>
      <c r="M479" s="121"/>
      <c r="N479" s="121"/>
      <c r="O479" s="121"/>
      <c r="P479" s="121"/>
      <c r="Q479" s="121"/>
      <c r="R479" s="121"/>
      <c r="S479" s="121"/>
      <c r="T479" s="121"/>
      <c r="U479" s="121"/>
    </row>
    <row r="480">
      <c r="A480" s="120"/>
      <c r="B480" s="123"/>
      <c r="C480" s="124"/>
      <c r="D480" s="133"/>
      <c r="E480" s="120"/>
      <c r="F480" s="133"/>
      <c r="G480" s="133"/>
      <c r="H480" s="133"/>
      <c r="I480" s="120"/>
      <c r="J480" s="120"/>
      <c r="K480" s="120"/>
      <c r="L480" s="120"/>
      <c r="M480" s="121"/>
      <c r="N480" s="121"/>
      <c r="O480" s="121"/>
      <c r="P480" s="121"/>
      <c r="Q480" s="121"/>
      <c r="R480" s="121"/>
      <c r="S480" s="121"/>
      <c r="T480" s="121"/>
      <c r="U480" s="121"/>
    </row>
    <row r="481">
      <c r="A481" s="120"/>
      <c r="B481" s="123"/>
      <c r="C481" s="124"/>
      <c r="D481" s="133"/>
      <c r="E481" s="120"/>
      <c r="F481" s="133"/>
      <c r="G481" s="133"/>
      <c r="H481" s="133"/>
      <c r="I481" s="120"/>
      <c r="J481" s="120"/>
      <c r="K481" s="120"/>
      <c r="L481" s="120"/>
      <c r="M481" s="121"/>
      <c r="N481" s="121"/>
      <c r="O481" s="121"/>
      <c r="P481" s="121"/>
      <c r="Q481" s="121"/>
      <c r="R481" s="121"/>
      <c r="S481" s="121"/>
      <c r="T481" s="121"/>
      <c r="U481" s="121"/>
    </row>
    <row r="482">
      <c r="A482" s="120"/>
      <c r="B482" s="123"/>
      <c r="C482" s="124"/>
      <c r="D482" s="133"/>
      <c r="E482" s="120"/>
      <c r="F482" s="133"/>
      <c r="G482" s="133"/>
      <c r="H482" s="133"/>
      <c r="I482" s="120"/>
      <c r="J482" s="120"/>
      <c r="K482" s="120"/>
      <c r="L482" s="120"/>
      <c r="M482" s="121"/>
      <c r="N482" s="121"/>
      <c r="O482" s="121"/>
      <c r="P482" s="121"/>
      <c r="Q482" s="121"/>
      <c r="R482" s="121"/>
      <c r="S482" s="121"/>
      <c r="T482" s="121"/>
      <c r="U482" s="121"/>
    </row>
    <row r="483">
      <c r="A483" s="120"/>
      <c r="B483" s="123"/>
      <c r="C483" s="124"/>
      <c r="D483" s="133"/>
      <c r="E483" s="120"/>
      <c r="F483" s="133"/>
      <c r="G483" s="133"/>
      <c r="H483" s="133"/>
      <c r="I483" s="120"/>
      <c r="J483" s="120"/>
      <c r="K483" s="120"/>
      <c r="L483" s="120"/>
      <c r="M483" s="121"/>
      <c r="N483" s="121"/>
      <c r="O483" s="121"/>
      <c r="P483" s="121"/>
      <c r="Q483" s="121"/>
      <c r="R483" s="121"/>
      <c r="S483" s="121"/>
      <c r="T483" s="121"/>
      <c r="U483" s="121"/>
    </row>
    <row r="484">
      <c r="A484" s="120"/>
      <c r="B484" s="123"/>
      <c r="C484" s="124"/>
      <c r="D484" s="133"/>
      <c r="E484" s="120"/>
      <c r="F484" s="133"/>
      <c r="G484" s="133"/>
      <c r="H484" s="133"/>
      <c r="I484" s="120"/>
      <c r="J484" s="120"/>
      <c r="K484" s="120"/>
      <c r="L484" s="120"/>
      <c r="M484" s="121"/>
      <c r="N484" s="121"/>
      <c r="O484" s="121"/>
      <c r="P484" s="121"/>
      <c r="Q484" s="121"/>
      <c r="R484" s="121"/>
      <c r="S484" s="121"/>
      <c r="T484" s="121"/>
      <c r="U484" s="121"/>
    </row>
    <row r="485">
      <c r="A485" s="120"/>
      <c r="B485" s="123"/>
      <c r="C485" s="124"/>
      <c r="D485" s="133"/>
      <c r="E485" s="120"/>
      <c r="F485" s="133"/>
      <c r="G485" s="133"/>
      <c r="H485" s="133"/>
      <c r="I485" s="120"/>
      <c r="J485" s="120"/>
      <c r="K485" s="120"/>
      <c r="L485" s="120"/>
      <c r="M485" s="121"/>
      <c r="N485" s="121"/>
      <c r="O485" s="121"/>
      <c r="P485" s="121"/>
      <c r="Q485" s="121"/>
      <c r="R485" s="121"/>
      <c r="S485" s="121"/>
      <c r="T485" s="121"/>
      <c r="U485" s="121"/>
    </row>
    <row r="486">
      <c r="A486" s="120"/>
      <c r="B486" s="123"/>
      <c r="C486" s="124"/>
      <c r="D486" s="133"/>
      <c r="E486" s="120"/>
      <c r="F486" s="133"/>
      <c r="G486" s="133"/>
      <c r="H486" s="133"/>
      <c r="I486" s="120"/>
      <c r="J486" s="120"/>
      <c r="K486" s="120"/>
      <c r="L486" s="120"/>
      <c r="M486" s="121"/>
      <c r="N486" s="121"/>
      <c r="O486" s="121"/>
      <c r="P486" s="121"/>
      <c r="Q486" s="121"/>
      <c r="R486" s="121"/>
      <c r="S486" s="121"/>
      <c r="T486" s="121"/>
      <c r="U486" s="121"/>
    </row>
    <row r="487">
      <c r="A487" s="120"/>
      <c r="B487" s="123"/>
      <c r="C487" s="124"/>
      <c r="D487" s="133"/>
      <c r="E487" s="120"/>
      <c r="F487" s="133"/>
      <c r="G487" s="133"/>
      <c r="H487" s="133"/>
      <c r="I487" s="120"/>
      <c r="J487" s="120"/>
      <c r="K487" s="120"/>
      <c r="L487" s="120"/>
      <c r="M487" s="121"/>
      <c r="N487" s="121"/>
      <c r="O487" s="121"/>
      <c r="P487" s="121"/>
      <c r="Q487" s="121"/>
      <c r="R487" s="121"/>
      <c r="S487" s="121"/>
      <c r="T487" s="121"/>
      <c r="U487" s="121"/>
    </row>
    <row r="488">
      <c r="A488" s="120"/>
      <c r="B488" s="123"/>
      <c r="C488" s="124"/>
      <c r="D488" s="133"/>
      <c r="E488" s="120"/>
      <c r="F488" s="133"/>
      <c r="G488" s="133"/>
      <c r="H488" s="133"/>
      <c r="I488" s="120"/>
      <c r="J488" s="120"/>
      <c r="K488" s="120"/>
      <c r="L488" s="120"/>
      <c r="M488" s="121"/>
      <c r="N488" s="121"/>
      <c r="O488" s="121"/>
      <c r="P488" s="121"/>
      <c r="Q488" s="121"/>
      <c r="R488" s="121"/>
      <c r="S488" s="121"/>
      <c r="T488" s="121"/>
      <c r="U488" s="121"/>
    </row>
    <row r="489">
      <c r="A489" s="120"/>
      <c r="B489" s="123"/>
      <c r="C489" s="124"/>
      <c r="D489" s="133"/>
      <c r="E489" s="120"/>
      <c r="F489" s="133"/>
      <c r="G489" s="133"/>
      <c r="H489" s="133"/>
      <c r="I489" s="120"/>
      <c r="J489" s="120"/>
      <c r="K489" s="120"/>
      <c r="L489" s="120"/>
      <c r="M489" s="121"/>
      <c r="N489" s="121"/>
      <c r="O489" s="121"/>
      <c r="P489" s="121"/>
      <c r="Q489" s="121"/>
      <c r="R489" s="121"/>
      <c r="S489" s="121"/>
      <c r="T489" s="121"/>
      <c r="U489" s="121"/>
    </row>
    <row r="490">
      <c r="A490" s="120"/>
      <c r="B490" s="123"/>
      <c r="C490" s="124"/>
      <c r="D490" s="133"/>
      <c r="E490" s="120"/>
      <c r="F490" s="133"/>
      <c r="G490" s="133"/>
      <c r="H490" s="133"/>
      <c r="I490" s="120"/>
      <c r="J490" s="120"/>
      <c r="K490" s="120"/>
      <c r="L490" s="120"/>
      <c r="M490" s="121"/>
      <c r="N490" s="121"/>
      <c r="O490" s="121"/>
      <c r="P490" s="121"/>
      <c r="Q490" s="121"/>
      <c r="R490" s="121"/>
      <c r="S490" s="121"/>
      <c r="T490" s="121"/>
      <c r="U490" s="121"/>
    </row>
    <row r="491">
      <c r="A491" s="120"/>
      <c r="B491" s="123"/>
      <c r="C491" s="124"/>
      <c r="D491" s="133"/>
      <c r="E491" s="120"/>
      <c r="F491" s="133"/>
      <c r="G491" s="133"/>
      <c r="H491" s="133"/>
      <c r="I491" s="120"/>
      <c r="J491" s="120"/>
      <c r="K491" s="120"/>
      <c r="L491" s="120"/>
      <c r="M491" s="121"/>
      <c r="N491" s="121"/>
      <c r="O491" s="121"/>
      <c r="P491" s="121"/>
      <c r="Q491" s="121"/>
      <c r="R491" s="121"/>
      <c r="S491" s="121"/>
      <c r="T491" s="121"/>
      <c r="U491" s="121"/>
    </row>
    <row r="492">
      <c r="A492" s="120"/>
      <c r="B492" s="123"/>
      <c r="C492" s="124"/>
      <c r="D492" s="133"/>
      <c r="E492" s="120"/>
      <c r="F492" s="133"/>
      <c r="G492" s="133"/>
      <c r="H492" s="133"/>
      <c r="I492" s="120"/>
      <c r="J492" s="120"/>
      <c r="K492" s="120"/>
      <c r="L492" s="120"/>
      <c r="M492" s="121"/>
      <c r="N492" s="121"/>
      <c r="O492" s="121"/>
      <c r="P492" s="121"/>
      <c r="Q492" s="121"/>
      <c r="R492" s="121"/>
      <c r="S492" s="121"/>
      <c r="T492" s="121"/>
      <c r="U492" s="121"/>
    </row>
    <row r="493">
      <c r="A493" s="120"/>
      <c r="B493" s="123"/>
      <c r="C493" s="124"/>
      <c r="D493" s="133"/>
      <c r="E493" s="120"/>
      <c r="F493" s="133"/>
      <c r="G493" s="133"/>
      <c r="H493" s="133"/>
      <c r="I493" s="120"/>
      <c r="J493" s="120"/>
      <c r="K493" s="120"/>
      <c r="L493" s="120"/>
      <c r="M493" s="121"/>
      <c r="N493" s="121"/>
      <c r="O493" s="121"/>
      <c r="P493" s="121"/>
      <c r="Q493" s="121"/>
      <c r="R493" s="121"/>
      <c r="S493" s="121"/>
      <c r="T493" s="121"/>
      <c r="U493" s="121"/>
    </row>
    <row r="494">
      <c r="A494" s="120"/>
      <c r="B494" s="123"/>
      <c r="C494" s="124"/>
      <c r="D494" s="133"/>
      <c r="E494" s="120"/>
      <c r="F494" s="133"/>
      <c r="G494" s="133"/>
      <c r="H494" s="133"/>
      <c r="I494" s="120"/>
      <c r="J494" s="120"/>
      <c r="K494" s="120"/>
      <c r="L494" s="120"/>
      <c r="M494" s="121"/>
      <c r="N494" s="121"/>
      <c r="O494" s="121"/>
      <c r="P494" s="121"/>
      <c r="Q494" s="121"/>
      <c r="R494" s="121"/>
      <c r="S494" s="121"/>
      <c r="T494" s="121"/>
      <c r="U494" s="121"/>
    </row>
    <row r="495">
      <c r="A495" s="120"/>
      <c r="B495" s="123"/>
      <c r="C495" s="124"/>
      <c r="D495" s="125"/>
      <c r="E495" s="120"/>
      <c r="F495" s="125"/>
      <c r="G495" s="125"/>
      <c r="H495" s="125"/>
      <c r="I495" s="120"/>
      <c r="J495" s="120"/>
      <c r="K495" s="120"/>
      <c r="L495" s="120"/>
      <c r="M495" s="121"/>
      <c r="N495" s="121"/>
      <c r="O495" s="121"/>
      <c r="P495" s="121"/>
      <c r="Q495" s="121"/>
      <c r="R495" s="121"/>
      <c r="S495" s="121"/>
      <c r="T495" s="121"/>
      <c r="U495" s="121"/>
    </row>
    <row r="496">
      <c r="A496" s="120"/>
      <c r="B496" s="123"/>
      <c r="C496" s="124"/>
      <c r="D496" s="125"/>
      <c r="E496" s="120"/>
      <c r="F496" s="125"/>
      <c r="G496" s="125"/>
      <c r="H496" s="125"/>
      <c r="I496" s="120"/>
      <c r="J496" s="120"/>
      <c r="K496" s="120"/>
      <c r="L496" s="120"/>
      <c r="M496" s="121"/>
      <c r="N496" s="121"/>
      <c r="O496" s="121"/>
      <c r="P496" s="121"/>
      <c r="Q496" s="121"/>
      <c r="R496" s="121"/>
      <c r="S496" s="121"/>
      <c r="T496" s="121"/>
      <c r="U496" s="121"/>
    </row>
    <row r="497">
      <c r="A497" s="120"/>
      <c r="B497" s="123"/>
      <c r="C497" s="124"/>
      <c r="D497" s="125"/>
      <c r="E497" s="120"/>
      <c r="F497" s="125"/>
      <c r="G497" s="125"/>
      <c r="H497" s="125"/>
      <c r="I497" s="120"/>
      <c r="J497" s="120"/>
      <c r="K497" s="120"/>
      <c r="L497" s="120"/>
      <c r="M497" s="121"/>
      <c r="N497" s="121"/>
      <c r="O497" s="121"/>
      <c r="P497" s="121"/>
      <c r="Q497" s="121"/>
      <c r="R497" s="121"/>
      <c r="S497" s="121"/>
      <c r="T497" s="121"/>
      <c r="U497" s="121"/>
    </row>
    <row r="498">
      <c r="A498" s="120"/>
      <c r="B498" s="123"/>
      <c r="C498" s="124"/>
      <c r="D498" s="125"/>
      <c r="E498" s="120"/>
      <c r="F498" s="125"/>
      <c r="G498" s="125"/>
      <c r="H498" s="125"/>
      <c r="I498" s="120"/>
      <c r="J498" s="120"/>
      <c r="K498" s="120"/>
      <c r="L498" s="120"/>
      <c r="M498" s="121"/>
      <c r="N498" s="121"/>
      <c r="O498" s="121"/>
      <c r="P498" s="121"/>
      <c r="Q498" s="121"/>
      <c r="R498" s="121"/>
      <c r="S498" s="121"/>
      <c r="T498" s="121"/>
      <c r="U498" s="121"/>
    </row>
    <row r="499">
      <c r="A499" s="120"/>
      <c r="B499" s="123"/>
      <c r="C499" s="124"/>
      <c r="D499" s="125"/>
      <c r="E499" s="120"/>
      <c r="F499" s="125"/>
      <c r="G499" s="125"/>
      <c r="H499" s="125"/>
      <c r="I499" s="120"/>
      <c r="J499" s="120"/>
      <c r="K499" s="120"/>
      <c r="L499" s="120"/>
      <c r="M499" s="121"/>
      <c r="N499" s="121"/>
      <c r="O499" s="121"/>
      <c r="P499" s="121"/>
      <c r="Q499" s="121"/>
      <c r="R499" s="121"/>
      <c r="S499" s="121"/>
      <c r="T499" s="121"/>
      <c r="U499" s="121"/>
    </row>
    <row r="500">
      <c r="A500" s="120"/>
      <c r="B500" s="123"/>
      <c r="C500" s="124"/>
      <c r="D500" s="125"/>
      <c r="E500" s="120"/>
      <c r="F500" s="125"/>
      <c r="G500" s="125"/>
      <c r="H500" s="125"/>
      <c r="I500" s="120"/>
      <c r="J500" s="120"/>
      <c r="K500" s="120"/>
      <c r="L500" s="120"/>
      <c r="M500" s="121"/>
      <c r="N500" s="121"/>
      <c r="O500" s="121"/>
      <c r="P500" s="121"/>
      <c r="Q500" s="121"/>
      <c r="R500" s="121"/>
      <c r="S500" s="121"/>
      <c r="T500" s="121"/>
      <c r="U500" s="121"/>
    </row>
    <row r="501">
      <c r="A501" s="120"/>
      <c r="B501" s="123"/>
      <c r="C501" s="124"/>
      <c r="D501" s="125"/>
      <c r="E501" s="120"/>
      <c r="F501" s="125"/>
      <c r="G501" s="125"/>
      <c r="H501" s="125"/>
      <c r="I501" s="120"/>
      <c r="J501" s="120"/>
      <c r="K501" s="120"/>
      <c r="L501" s="120"/>
      <c r="M501" s="121"/>
      <c r="N501" s="121"/>
      <c r="O501" s="121"/>
      <c r="P501" s="121"/>
      <c r="Q501" s="121"/>
      <c r="R501" s="121"/>
      <c r="S501" s="121"/>
      <c r="T501" s="121"/>
      <c r="U501" s="121"/>
    </row>
    <row r="502">
      <c r="A502" s="120"/>
      <c r="B502" s="123"/>
      <c r="C502" s="124"/>
      <c r="D502" s="125"/>
      <c r="E502" s="120"/>
      <c r="F502" s="125"/>
      <c r="G502" s="125"/>
      <c r="H502" s="125"/>
      <c r="I502" s="120"/>
      <c r="J502" s="120"/>
      <c r="K502" s="120"/>
      <c r="L502" s="120"/>
      <c r="M502" s="121"/>
      <c r="N502" s="121"/>
      <c r="O502" s="121"/>
      <c r="P502" s="121"/>
      <c r="Q502" s="121"/>
      <c r="R502" s="121"/>
      <c r="S502" s="121"/>
      <c r="T502" s="121"/>
      <c r="U502" s="121"/>
    </row>
    <row r="503">
      <c r="A503" s="120"/>
      <c r="B503" s="123"/>
      <c r="C503" s="124"/>
      <c r="D503" s="125"/>
      <c r="E503" s="120"/>
      <c r="F503" s="125"/>
      <c r="G503" s="125"/>
      <c r="H503" s="125"/>
      <c r="I503" s="120"/>
      <c r="J503" s="120"/>
      <c r="K503" s="120"/>
      <c r="L503" s="120"/>
      <c r="M503" s="121"/>
      <c r="N503" s="121"/>
      <c r="O503" s="121"/>
      <c r="P503" s="121"/>
      <c r="Q503" s="121"/>
      <c r="R503" s="121"/>
      <c r="S503" s="121"/>
      <c r="T503" s="121"/>
      <c r="U503" s="121"/>
    </row>
    <row r="504">
      <c r="A504" s="120"/>
      <c r="B504" s="123"/>
      <c r="C504" s="124"/>
      <c r="D504" s="125"/>
      <c r="E504" s="120"/>
      <c r="F504" s="125"/>
      <c r="G504" s="125"/>
      <c r="H504" s="125"/>
      <c r="I504" s="120"/>
      <c r="J504" s="120"/>
      <c r="K504" s="120"/>
      <c r="L504" s="120"/>
      <c r="M504" s="121"/>
      <c r="N504" s="121"/>
      <c r="O504" s="121"/>
      <c r="P504" s="121"/>
      <c r="Q504" s="121"/>
      <c r="R504" s="121"/>
      <c r="S504" s="121"/>
      <c r="T504" s="121"/>
      <c r="U504" s="121"/>
    </row>
    <row r="505">
      <c r="A505" s="120"/>
      <c r="B505" s="123"/>
      <c r="C505" s="124"/>
      <c r="D505" s="125"/>
      <c r="E505" s="120"/>
      <c r="F505" s="125"/>
      <c r="G505" s="125"/>
      <c r="H505" s="125"/>
      <c r="I505" s="120"/>
      <c r="J505" s="120"/>
      <c r="K505" s="120"/>
      <c r="L505" s="120"/>
      <c r="M505" s="121"/>
      <c r="N505" s="121"/>
      <c r="O505" s="121"/>
      <c r="P505" s="121"/>
      <c r="Q505" s="121"/>
      <c r="R505" s="121"/>
      <c r="S505" s="121"/>
      <c r="T505" s="121"/>
      <c r="U505" s="121"/>
    </row>
    <row r="506">
      <c r="A506" s="120"/>
      <c r="B506" s="123"/>
      <c r="C506" s="124"/>
      <c r="D506" s="125"/>
      <c r="E506" s="120"/>
      <c r="F506" s="125"/>
      <c r="G506" s="125"/>
      <c r="H506" s="125"/>
      <c r="I506" s="120"/>
      <c r="J506" s="120"/>
      <c r="K506" s="120"/>
      <c r="L506" s="120"/>
      <c r="M506" s="121"/>
      <c r="N506" s="121"/>
      <c r="O506" s="121"/>
      <c r="P506" s="121"/>
      <c r="Q506" s="121"/>
      <c r="R506" s="121"/>
      <c r="S506" s="121"/>
      <c r="T506" s="121"/>
      <c r="U506" s="121"/>
    </row>
    <row r="507">
      <c r="A507" s="120"/>
      <c r="B507" s="123"/>
      <c r="C507" s="124"/>
      <c r="D507" s="125"/>
      <c r="E507" s="120"/>
      <c r="F507" s="125"/>
      <c r="G507" s="125"/>
      <c r="H507" s="125"/>
      <c r="I507" s="120"/>
      <c r="J507" s="120"/>
      <c r="K507" s="120"/>
      <c r="L507" s="120"/>
      <c r="M507" s="121"/>
      <c r="N507" s="121"/>
      <c r="O507" s="121"/>
      <c r="P507" s="121"/>
      <c r="Q507" s="121"/>
      <c r="R507" s="121"/>
      <c r="S507" s="121"/>
      <c r="T507" s="121"/>
      <c r="U507" s="121"/>
    </row>
    <row r="508">
      <c r="A508" s="120"/>
      <c r="B508" s="123"/>
      <c r="C508" s="124"/>
      <c r="D508" s="125"/>
      <c r="E508" s="120"/>
      <c r="F508" s="125"/>
      <c r="G508" s="125"/>
      <c r="H508" s="125"/>
      <c r="I508" s="120"/>
      <c r="J508" s="120"/>
      <c r="K508" s="120"/>
      <c r="L508" s="120"/>
      <c r="M508" s="121"/>
      <c r="N508" s="121"/>
      <c r="O508" s="121"/>
      <c r="P508" s="121"/>
      <c r="Q508" s="121"/>
      <c r="R508" s="121"/>
      <c r="S508" s="121"/>
      <c r="T508" s="121"/>
      <c r="U508" s="121"/>
    </row>
    <row r="509">
      <c r="A509" s="120"/>
      <c r="B509" s="123"/>
      <c r="C509" s="124"/>
      <c r="D509" s="125"/>
      <c r="E509" s="120"/>
      <c r="F509" s="125"/>
      <c r="G509" s="125"/>
      <c r="H509" s="125"/>
      <c r="I509" s="120"/>
      <c r="J509" s="120"/>
      <c r="K509" s="120"/>
      <c r="L509" s="120"/>
      <c r="M509" s="121"/>
      <c r="N509" s="121"/>
      <c r="O509" s="121"/>
      <c r="P509" s="121"/>
      <c r="Q509" s="121"/>
      <c r="R509" s="121"/>
      <c r="S509" s="121"/>
      <c r="T509" s="121"/>
      <c r="U509" s="121"/>
    </row>
    <row r="510">
      <c r="A510" s="120"/>
      <c r="B510" s="123"/>
      <c r="C510" s="124"/>
      <c r="D510" s="125"/>
      <c r="E510" s="120"/>
      <c r="F510" s="125"/>
      <c r="G510" s="125"/>
      <c r="H510" s="125"/>
      <c r="I510" s="120"/>
      <c r="J510" s="120"/>
      <c r="K510" s="120"/>
      <c r="L510" s="120"/>
      <c r="M510" s="121"/>
      <c r="N510" s="121"/>
      <c r="O510" s="121"/>
      <c r="P510" s="121"/>
      <c r="Q510" s="121"/>
      <c r="R510" s="121"/>
      <c r="S510" s="121"/>
      <c r="T510" s="121"/>
      <c r="U510" s="121"/>
    </row>
    <row r="511">
      <c r="A511" s="120"/>
      <c r="B511" s="123"/>
      <c r="C511" s="124"/>
      <c r="D511" s="125"/>
      <c r="E511" s="120"/>
      <c r="F511" s="125"/>
      <c r="G511" s="125"/>
      <c r="H511" s="125"/>
      <c r="I511" s="120"/>
      <c r="J511" s="120"/>
      <c r="K511" s="120"/>
      <c r="L511" s="120"/>
      <c r="M511" s="121"/>
      <c r="N511" s="121"/>
      <c r="O511" s="121"/>
      <c r="P511" s="121"/>
      <c r="Q511" s="121"/>
      <c r="R511" s="121"/>
      <c r="S511" s="121"/>
      <c r="T511" s="121"/>
      <c r="U511" s="121"/>
    </row>
    <row r="512">
      <c r="A512" s="120"/>
      <c r="B512" s="123"/>
      <c r="C512" s="124"/>
      <c r="D512" s="125"/>
      <c r="E512" s="120"/>
      <c r="F512" s="125"/>
      <c r="G512" s="125"/>
      <c r="H512" s="125"/>
      <c r="I512" s="120"/>
      <c r="J512" s="120"/>
      <c r="K512" s="120"/>
      <c r="L512" s="120"/>
      <c r="M512" s="121"/>
      <c r="N512" s="121"/>
      <c r="O512" s="121"/>
      <c r="P512" s="121"/>
      <c r="Q512" s="121"/>
      <c r="R512" s="121"/>
      <c r="S512" s="121"/>
      <c r="T512" s="121"/>
      <c r="U512" s="121"/>
    </row>
    <row r="513">
      <c r="A513" s="120"/>
      <c r="B513" s="123"/>
      <c r="C513" s="124"/>
      <c r="D513" s="125"/>
      <c r="E513" s="120"/>
      <c r="F513" s="125"/>
      <c r="G513" s="125"/>
      <c r="H513" s="125"/>
      <c r="I513" s="120"/>
      <c r="J513" s="120"/>
      <c r="K513" s="120"/>
      <c r="L513" s="120"/>
      <c r="M513" s="121"/>
      <c r="N513" s="121"/>
      <c r="O513" s="121"/>
      <c r="P513" s="121"/>
      <c r="Q513" s="121"/>
      <c r="R513" s="121"/>
      <c r="S513" s="121"/>
      <c r="T513" s="121"/>
      <c r="U513" s="121"/>
    </row>
    <row r="514">
      <c r="A514" s="120"/>
      <c r="B514" s="123"/>
      <c r="C514" s="124"/>
      <c r="D514" s="125"/>
      <c r="E514" s="120"/>
      <c r="F514" s="125"/>
      <c r="G514" s="125"/>
      <c r="H514" s="125"/>
      <c r="I514" s="120"/>
      <c r="J514" s="120"/>
      <c r="K514" s="120"/>
      <c r="L514" s="120"/>
      <c r="M514" s="121"/>
      <c r="N514" s="121"/>
      <c r="O514" s="121"/>
      <c r="P514" s="121"/>
      <c r="Q514" s="121"/>
      <c r="R514" s="121"/>
      <c r="S514" s="121"/>
      <c r="T514" s="121"/>
      <c r="U514" s="121"/>
    </row>
    <row r="515">
      <c r="A515" s="120"/>
      <c r="B515" s="123"/>
      <c r="C515" s="124"/>
      <c r="D515" s="125"/>
      <c r="E515" s="120"/>
      <c r="F515" s="125"/>
      <c r="G515" s="125"/>
      <c r="H515" s="125"/>
      <c r="I515" s="120"/>
      <c r="J515" s="120"/>
      <c r="K515" s="120"/>
      <c r="L515" s="120"/>
      <c r="M515" s="121"/>
      <c r="N515" s="121"/>
      <c r="O515" s="121"/>
      <c r="P515" s="121"/>
      <c r="Q515" s="121"/>
      <c r="R515" s="121"/>
      <c r="S515" s="121"/>
      <c r="T515" s="121"/>
      <c r="U515" s="121"/>
    </row>
    <row r="516">
      <c r="A516" s="120"/>
      <c r="B516" s="123"/>
      <c r="C516" s="124"/>
      <c r="D516" s="125"/>
      <c r="E516" s="120"/>
      <c r="F516" s="125"/>
      <c r="G516" s="125"/>
      <c r="H516" s="125"/>
      <c r="I516" s="120"/>
      <c r="J516" s="120"/>
      <c r="K516" s="120"/>
      <c r="L516" s="120"/>
      <c r="M516" s="121"/>
      <c r="N516" s="121"/>
      <c r="O516" s="121"/>
      <c r="P516" s="121"/>
      <c r="Q516" s="121"/>
      <c r="R516" s="121"/>
      <c r="S516" s="121"/>
      <c r="T516" s="121"/>
      <c r="U516" s="121"/>
    </row>
    <row r="517">
      <c r="A517" s="120"/>
      <c r="B517" s="123"/>
      <c r="C517" s="124"/>
      <c r="D517" s="125"/>
      <c r="E517" s="120"/>
      <c r="F517" s="125"/>
      <c r="G517" s="125"/>
      <c r="H517" s="125"/>
      <c r="I517" s="120"/>
      <c r="J517" s="120"/>
      <c r="K517" s="120"/>
      <c r="L517" s="120"/>
      <c r="M517" s="121"/>
      <c r="N517" s="121"/>
      <c r="O517" s="121"/>
      <c r="P517" s="121"/>
      <c r="Q517" s="121"/>
      <c r="R517" s="121"/>
      <c r="S517" s="121"/>
      <c r="T517" s="121"/>
      <c r="U517" s="121"/>
    </row>
    <row r="518">
      <c r="A518" s="120"/>
      <c r="B518" s="123"/>
      <c r="C518" s="124"/>
      <c r="D518" s="125"/>
      <c r="E518" s="120"/>
      <c r="F518" s="125"/>
      <c r="G518" s="125"/>
      <c r="H518" s="125"/>
      <c r="I518" s="120"/>
      <c r="J518" s="120"/>
      <c r="K518" s="120"/>
      <c r="L518" s="120"/>
      <c r="M518" s="121"/>
      <c r="N518" s="121"/>
      <c r="O518" s="121"/>
      <c r="P518" s="121"/>
      <c r="Q518" s="121"/>
      <c r="R518" s="121"/>
      <c r="S518" s="121"/>
      <c r="T518" s="121"/>
      <c r="U518" s="121"/>
    </row>
    <row r="519">
      <c r="A519" s="120"/>
      <c r="B519" s="123"/>
      <c r="C519" s="124"/>
      <c r="D519" s="125"/>
      <c r="E519" s="120"/>
      <c r="F519" s="125"/>
      <c r="G519" s="125"/>
      <c r="H519" s="125"/>
      <c r="I519" s="120"/>
      <c r="J519" s="120"/>
      <c r="K519" s="120"/>
      <c r="L519" s="120"/>
      <c r="M519" s="121"/>
      <c r="N519" s="121"/>
      <c r="O519" s="121"/>
      <c r="P519" s="121"/>
      <c r="Q519" s="121"/>
      <c r="R519" s="121"/>
      <c r="S519" s="121"/>
      <c r="T519" s="121"/>
      <c r="U519" s="121"/>
    </row>
    <row r="520">
      <c r="A520" s="120"/>
      <c r="B520" s="123"/>
      <c r="C520" s="124"/>
      <c r="D520" s="125"/>
      <c r="E520" s="120"/>
      <c r="F520" s="125"/>
      <c r="G520" s="125"/>
      <c r="H520" s="125"/>
      <c r="I520" s="120"/>
      <c r="J520" s="120"/>
      <c r="K520" s="120"/>
      <c r="L520" s="120"/>
      <c r="M520" s="121"/>
      <c r="N520" s="121"/>
      <c r="O520" s="121"/>
      <c r="P520" s="121"/>
      <c r="Q520" s="121"/>
      <c r="R520" s="121"/>
      <c r="S520" s="121"/>
      <c r="T520" s="121"/>
      <c r="U520" s="121"/>
    </row>
    <row r="521">
      <c r="A521" s="120"/>
      <c r="B521" s="123"/>
      <c r="C521" s="124"/>
      <c r="D521" s="125"/>
      <c r="E521" s="120"/>
      <c r="F521" s="125"/>
      <c r="G521" s="125"/>
      <c r="H521" s="125"/>
      <c r="I521" s="120"/>
      <c r="J521" s="120"/>
      <c r="K521" s="120"/>
      <c r="L521" s="120"/>
      <c r="M521" s="121"/>
      <c r="N521" s="121"/>
      <c r="O521" s="121"/>
      <c r="P521" s="121"/>
      <c r="Q521" s="121"/>
      <c r="R521" s="121"/>
      <c r="S521" s="121"/>
      <c r="T521" s="121"/>
      <c r="U521" s="121"/>
    </row>
    <row r="522">
      <c r="A522" s="120"/>
      <c r="B522" s="123"/>
      <c r="C522" s="124"/>
      <c r="D522" s="125"/>
      <c r="E522" s="120"/>
      <c r="F522" s="125"/>
      <c r="G522" s="125"/>
      <c r="H522" s="125"/>
      <c r="I522" s="120"/>
      <c r="J522" s="120"/>
      <c r="K522" s="120"/>
      <c r="L522" s="120"/>
      <c r="M522" s="121"/>
      <c r="N522" s="121"/>
      <c r="O522" s="121"/>
      <c r="P522" s="121"/>
      <c r="Q522" s="121"/>
      <c r="R522" s="121"/>
      <c r="S522" s="121"/>
      <c r="T522" s="121"/>
      <c r="U522" s="121"/>
    </row>
    <row r="523">
      <c r="A523" s="120"/>
      <c r="B523" s="123"/>
      <c r="C523" s="124"/>
      <c r="D523" s="125"/>
      <c r="E523" s="120"/>
      <c r="F523" s="125"/>
      <c r="G523" s="125"/>
      <c r="H523" s="125"/>
      <c r="I523" s="120"/>
      <c r="J523" s="120"/>
      <c r="K523" s="120"/>
      <c r="L523" s="120"/>
      <c r="M523" s="121"/>
      <c r="N523" s="121"/>
      <c r="O523" s="121"/>
      <c r="P523" s="121"/>
      <c r="Q523" s="121"/>
      <c r="R523" s="121"/>
      <c r="S523" s="121"/>
      <c r="T523" s="121"/>
      <c r="U523" s="121"/>
    </row>
    <row r="524">
      <c r="A524" s="120"/>
      <c r="B524" s="123"/>
      <c r="C524" s="124"/>
      <c r="D524" s="125"/>
      <c r="E524" s="120"/>
      <c r="F524" s="125"/>
      <c r="G524" s="125"/>
      <c r="H524" s="125"/>
      <c r="I524" s="120"/>
      <c r="J524" s="120"/>
      <c r="K524" s="120"/>
      <c r="L524" s="120"/>
      <c r="M524" s="121"/>
      <c r="N524" s="121"/>
      <c r="O524" s="121"/>
      <c r="P524" s="121"/>
      <c r="Q524" s="121"/>
      <c r="R524" s="121"/>
      <c r="S524" s="121"/>
      <c r="T524" s="121"/>
      <c r="U524" s="121"/>
    </row>
    <row r="525">
      <c r="A525" s="120"/>
      <c r="B525" s="123"/>
      <c r="C525" s="124"/>
      <c r="D525" s="125"/>
      <c r="E525" s="120"/>
      <c r="F525" s="125"/>
      <c r="G525" s="125"/>
      <c r="H525" s="125"/>
      <c r="I525" s="120"/>
      <c r="J525" s="120"/>
      <c r="K525" s="120"/>
      <c r="L525" s="120"/>
      <c r="M525" s="121"/>
      <c r="N525" s="121"/>
      <c r="O525" s="121"/>
      <c r="P525" s="121"/>
      <c r="Q525" s="121"/>
      <c r="R525" s="121"/>
      <c r="S525" s="121"/>
      <c r="T525" s="121"/>
      <c r="U525" s="121"/>
    </row>
    <row r="526">
      <c r="A526" s="120"/>
      <c r="B526" s="123"/>
      <c r="C526" s="124"/>
      <c r="D526" s="125"/>
      <c r="E526" s="120"/>
      <c r="F526" s="125"/>
      <c r="G526" s="125"/>
      <c r="H526" s="125"/>
      <c r="I526" s="120"/>
      <c r="J526" s="120"/>
      <c r="K526" s="120"/>
      <c r="L526" s="120"/>
      <c r="M526" s="121"/>
      <c r="N526" s="121"/>
      <c r="O526" s="121"/>
      <c r="P526" s="121"/>
      <c r="Q526" s="121"/>
      <c r="R526" s="121"/>
      <c r="S526" s="121"/>
      <c r="T526" s="121"/>
      <c r="U526" s="121"/>
    </row>
    <row r="527">
      <c r="A527" s="120"/>
      <c r="B527" s="123"/>
      <c r="C527" s="124"/>
      <c r="D527" s="125"/>
      <c r="E527" s="120"/>
      <c r="F527" s="125"/>
      <c r="G527" s="125"/>
      <c r="H527" s="125"/>
      <c r="I527" s="120"/>
      <c r="J527" s="120"/>
      <c r="K527" s="120"/>
      <c r="L527" s="120"/>
      <c r="M527" s="121"/>
      <c r="N527" s="121"/>
      <c r="O527" s="121"/>
      <c r="P527" s="121"/>
      <c r="Q527" s="121"/>
      <c r="R527" s="121"/>
      <c r="S527" s="121"/>
      <c r="T527" s="121"/>
      <c r="U527" s="121"/>
    </row>
    <row r="528">
      <c r="A528" s="120"/>
      <c r="B528" s="123"/>
      <c r="C528" s="124"/>
      <c r="D528" s="125"/>
      <c r="E528" s="120"/>
      <c r="F528" s="125"/>
      <c r="G528" s="125"/>
      <c r="H528" s="125"/>
      <c r="I528" s="120"/>
      <c r="J528" s="120"/>
      <c r="K528" s="120"/>
      <c r="L528" s="120"/>
      <c r="M528" s="121"/>
      <c r="N528" s="121"/>
      <c r="O528" s="121"/>
      <c r="P528" s="121"/>
      <c r="Q528" s="121"/>
      <c r="R528" s="121"/>
      <c r="S528" s="121"/>
      <c r="T528" s="121"/>
      <c r="U528" s="121"/>
    </row>
    <row r="529">
      <c r="A529" s="120"/>
      <c r="B529" s="123"/>
      <c r="C529" s="124"/>
      <c r="D529" s="125"/>
      <c r="E529" s="120"/>
      <c r="F529" s="125"/>
      <c r="G529" s="125"/>
      <c r="H529" s="125"/>
      <c r="I529" s="120"/>
      <c r="J529" s="120"/>
      <c r="K529" s="120"/>
      <c r="L529" s="120"/>
      <c r="M529" s="121"/>
      <c r="N529" s="121"/>
      <c r="O529" s="121"/>
      <c r="P529" s="121"/>
      <c r="Q529" s="121"/>
      <c r="R529" s="121"/>
      <c r="S529" s="121"/>
      <c r="T529" s="121"/>
      <c r="U529" s="121"/>
    </row>
    <row r="530">
      <c r="A530" s="120"/>
      <c r="B530" s="123"/>
      <c r="C530" s="124"/>
      <c r="D530" s="125"/>
      <c r="E530" s="120"/>
      <c r="F530" s="125"/>
      <c r="G530" s="125"/>
      <c r="H530" s="125"/>
      <c r="I530" s="120"/>
      <c r="J530" s="120"/>
      <c r="K530" s="120"/>
      <c r="L530" s="120"/>
      <c r="M530" s="121"/>
      <c r="N530" s="121"/>
      <c r="O530" s="121"/>
      <c r="P530" s="121"/>
      <c r="Q530" s="121"/>
      <c r="R530" s="121"/>
      <c r="S530" s="121"/>
      <c r="T530" s="121"/>
      <c r="U530" s="121"/>
    </row>
    <row r="531">
      <c r="A531" s="120"/>
      <c r="B531" s="123"/>
      <c r="C531" s="124"/>
      <c r="D531" s="125"/>
      <c r="E531" s="120"/>
      <c r="F531" s="125"/>
      <c r="G531" s="125"/>
      <c r="H531" s="125"/>
      <c r="I531" s="120"/>
      <c r="J531" s="120"/>
      <c r="K531" s="120"/>
      <c r="L531" s="120"/>
      <c r="M531" s="121"/>
      <c r="N531" s="121"/>
      <c r="O531" s="121"/>
      <c r="P531" s="121"/>
      <c r="Q531" s="121"/>
      <c r="R531" s="121"/>
      <c r="S531" s="121"/>
      <c r="T531" s="121"/>
      <c r="U531" s="121"/>
    </row>
    <row r="532">
      <c r="A532" s="120"/>
      <c r="B532" s="123"/>
      <c r="C532" s="124"/>
      <c r="D532" s="125"/>
      <c r="E532" s="120"/>
      <c r="F532" s="125"/>
      <c r="G532" s="125"/>
      <c r="H532" s="125"/>
      <c r="I532" s="120"/>
      <c r="J532" s="120"/>
      <c r="K532" s="120"/>
      <c r="L532" s="120"/>
      <c r="M532" s="121"/>
      <c r="N532" s="121"/>
      <c r="O532" s="121"/>
      <c r="P532" s="121"/>
      <c r="Q532" s="121"/>
      <c r="R532" s="121"/>
      <c r="S532" s="121"/>
      <c r="T532" s="121"/>
      <c r="U532" s="121"/>
    </row>
    <row r="533">
      <c r="A533" s="120"/>
      <c r="B533" s="123"/>
      <c r="C533" s="124"/>
      <c r="D533" s="125"/>
      <c r="E533" s="120"/>
      <c r="F533" s="125"/>
      <c r="G533" s="125"/>
      <c r="H533" s="125"/>
      <c r="I533" s="120"/>
      <c r="J533" s="120"/>
      <c r="K533" s="120"/>
      <c r="L533" s="120"/>
      <c r="M533" s="121"/>
      <c r="N533" s="121"/>
      <c r="O533" s="121"/>
      <c r="P533" s="121"/>
      <c r="Q533" s="121"/>
      <c r="R533" s="121"/>
      <c r="S533" s="121"/>
      <c r="T533" s="121"/>
      <c r="U533" s="121"/>
    </row>
    <row r="534">
      <c r="A534" s="120"/>
      <c r="B534" s="123"/>
      <c r="C534" s="124"/>
      <c r="D534" s="125"/>
      <c r="E534" s="120"/>
      <c r="F534" s="125"/>
      <c r="G534" s="125"/>
      <c r="H534" s="125"/>
      <c r="I534" s="120"/>
      <c r="J534" s="120"/>
      <c r="K534" s="120"/>
      <c r="L534" s="120"/>
      <c r="M534" s="121"/>
      <c r="N534" s="121"/>
      <c r="O534" s="121"/>
      <c r="P534" s="121"/>
      <c r="Q534" s="121"/>
      <c r="R534" s="121"/>
      <c r="S534" s="121"/>
      <c r="T534" s="121"/>
      <c r="U534" s="121"/>
    </row>
    <row r="535">
      <c r="A535" s="120"/>
      <c r="B535" s="123"/>
      <c r="C535" s="124"/>
      <c r="D535" s="125"/>
      <c r="E535" s="120"/>
      <c r="F535" s="125"/>
      <c r="G535" s="125"/>
      <c r="H535" s="125"/>
      <c r="I535" s="120"/>
      <c r="J535" s="120"/>
      <c r="K535" s="120"/>
      <c r="L535" s="120"/>
      <c r="M535" s="121"/>
      <c r="N535" s="121"/>
      <c r="O535" s="121"/>
      <c r="P535" s="121"/>
      <c r="Q535" s="121"/>
      <c r="R535" s="121"/>
      <c r="S535" s="121"/>
      <c r="T535" s="121"/>
      <c r="U535" s="121"/>
    </row>
    <row r="536">
      <c r="A536" s="120"/>
      <c r="B536" s="123"/>
      <c r="C536" s="124"/>
      <c r="D536" s="125"/>
      <c r="E536" s="120"/>
      <c r="F536" s="125"/>
      <c r="G536" s="125"/>
      <c r="H536" s="125"/>
      <c r="I536" s="120"/>
      <c r="J536" s="120"/>
      <c r="K536" s="120"/>
      <c r="L536" s="120"/>
      <c r="M536" s="121"/>
      <c r="N536" s="121"/>
      <c r="O536" s="121"/>
      <c r="P536" s="121"/>
      <c r="Q536" s="121"/>
      <c r="R536" s="121"/>
      <c r="S536" s="121"/>
      <c r="T536" s="121"/>
      <c r="U536" s="121"/>
    </row>
    <row r="537">
      <c r="A537" s="120"/>
      <c r="B537" s="123"/>
      <c r="C537" s="124"/>
      <c r="D537" s="122"/>
      <c r="E537" s="120"/>
      <c r="F537" s="122"/>
      <c r="G537" s="122"/>
      <c r="H537" s="122"/>
      <c r="I537" s="120"/>
      <c r="J537" s="120"/>
      <c r="K537" s="120"/>
      <c r="L537" s="120"/>
      <c r="M537" s="121"/>
      <c r="N537" s="121"/>
      <c r="O537" s="121"/>
      <c r="P537" s="121"/>
      <c r="Q537" s="121"/>
      <c r="R537" s="121"/>
      <c r="S537" s="121"/>
      <c r="T537" s="121"/>
      <c r="U537" s="121"/>
    </row>
    <row r="538">
      <c r="A538" s="120"/>
      <c r="B538" s="123"/>
      <c r="C538" s="124"/>
      <c r="D538" s="122"/>
      <c r="E538" s="120"/>
      <c r="F538" s="122"/>
      <c r="G538" s="122"/>
      <c r="H538" s="122"/>
      <c r="I538" s="120"/>
      <c r="J538" s="120"/>
      <c r="K538" s="120"/>
      <c r="L538" s="120"/>
      <c r="M538" s="121"/>
      <c r="N538" s="121"/>
      <c r="O538" s="121"/>
      <c r="P538" s="121"/>
      <c r="Q538" s="121"/>
      <c r="R538" s="121"/>
      <c r="S538" s="121"/>
      <c r="T538" s="121"/>
      <c r="U538" s="121"/>
    </row>
    <row r="539">
      <c r="A539" s="120"/>
      <c r="B539" s="123"/>
      <c r="C539" s="124"/>
      <c r="D539" s="122"/>
      <c r="E539" s="120"/>
      <c r="F539" s="122"/>
      <c r="G539" s="122"/>
      <c r="H539" s="122"/>
      <c r="I539" s="120"/>
      <c r="J539" s="120"/>
      <c r="K539" s="120"/>
      <c r="L539" s="120"/>
      <c r="M539" s="121"/>
      <c r="N539" s="121"/>
      <c r="O539" s="121"/>
      <c r="P539" s="121"/>
      <c r="Q539" s="121"/>
      <c r="R539" s="121"/>
      <c r="S539" s="121"/>
      <c r="T539" s="121"/>
      <c r="U539" s="121"/>
    </row>
    <row r="540">
      <c r="A540" s="120"/>
      <c r="B540" s="123"/>
      <c r="C540" s="124"/>
      <c r="D540" s="122"/>
      <c r="E540" s="120"/>
      <c r="F540" s="122"/>
      <c r="G540" s="122"/>
      <c r="H540" s="122"/>
      <c r="I540" s="120"/>
      <c r="J540" s="120"/>
      <c r="K540" s="120"/>
      <c r="L540" s="120"/>
      <c r="M540" s="121"/>
      <c r="N540" s="121"/>
      <c r="O540" s="121"/>
      <c r="P540" s="121"/>
      <c r="Q540" s="121"/>
      <c r="R540" s="121"/>
      <c r="S540" s="121"/>
      <c r="T540" s="121"/>
      <c r="U540" s="121"/>
    </row>
    <row r="541">
      <c r="A541" s="120"/>
      <c r="B541" s="123"/>
      <c r="C541" s="124"/>
      <c r="D541" s="122"/>
      <c r="E541" s="120"/>
      <c r="F541" s="122"/>
      <c r="G541" s="122"/>
      <c r="H541" s="122"/>
      <c r="I541" s="120"/>
      <c r="J541" s="120"/>
      <c r="K541" s="120"/>
      <c r="L541" s="120"/>
      <c r="M541" s="121"/>
      <c r="N541" s="121"/>
      <c r="O541" s="121"/>
      <c r="P541" s="121"/>
      <c r="Q541" s="121"/>
      <c r="R541" s="121"/>
      <c r="S541" s="121"/>
      <c r="T541" s="121"/>
      <c r="U541" s="121"/>
    </row>
    <row r="542">
      <c r="A542" s="120"/>
      <c r="B542" s="123"/>
      <c r="C542" s="124"/>
      <c r="D542" s="122"/>
      <c r="E542" s="120"/>
      <c r="F542" s="122"/>
      <c r="G542" s="122"/>
      <c r="H542" s="122"/>
      <c r="I542" s="120"/>
      <c r="J542" s="120"/>
      <c r="K542" s="120"/>
      <c r="L542" s="120"/>
      <c r="M542" s="121"/>
      <c r="N542" s="121"/>
      <c r="O542" s="121"/>
      <c r="P542" s="121"/>
      <c r="Q542" s="121"/>
      <c r="R542" s="121"/>
      <c r="S542" s="121"/>
      <c r="T542" s="121"/>
      <c r="U542" s="121"/>
    </row>
    <row r="543">
      <c r="A543" s="120"/>
      <c r="B543" s="123"/>
      <c r="C543" s="124"/>
      <c r="D543" s="122"/>
      <c r="E543" s="120"/>
      <c r="F543" s="122"/>
      <c r="G543" s="122"/>
      <c r="H543" s="122"/>
      <c r="I543" s="120"/>
      <c r="J543" s="120"/>
      <c r="K543" s="120"/>
      <c r="L543" s="120"/>
      <c r="M543" s="121"/>
      <c r="N543" s="121"/>
      <c r="O543" s="121"/>
      <c r="P543" s="121"/>
      <c r="Q543" s="121"/>
      <c r="R543" s="121"/>
      <c r="S543" s="121"/>
      <c r="T543" s="121"/>
      <c r="U543" s="121"/>
    </row>
    <row r="544">
      <c r="A544" s="120"/>
      <c r="B544" s="123"/>
      <c r="C544" s="124"/>
      <c r="D544" s="122"/>
      <c r="E544" s="120"/>
      <c r="F544" s="122"/>
      <c r="G544" s="122"/>
      <c r="H544" s="122"/>
      <c r="I544" s="120"/>
      <c r="J544" s="120"/>
      <c r="K544" s="120"/>
      <c r="L544" s="120"/>
      <c r="M544" s="121"/>
      <c r="N544" s="121"/>
      <c r="O544" s="121"/>
      <c r="P544" s="121"/>
      <c r="Q544" s="121"/>
      <c r="R544" s="121"/>
      <c r="S544" s="121"/>
      <c r="T544" s="121"/>
      <c r="U544" s="121"/>
    </row>
    <row r="545">
      <c r="A545" s="120"/>
      <c r="B545" s="123"/>
      <c r="C545" s="124"/>
      <c r="D545" s="122"/>
      <c r="E545" s="120"/>
      <c r="F545" s="122"/>
      <c r="G545" s="122"/>
      <c r="H545" s="122"/>
      <c r="I545" s="120"/>
      <c r="J545" s="120"/>
      <c r="K545" s="120"/>
      <c r="L545" s="120"/>
      <c r="M545" s="121"/>
      <c r="N545" s="121"/>
      <c r="O545" s="121"/>
      <c r="P545" s="121"/>
      <c r="Q545" s="121"/>
      <c r="R545" s="121"/>
      <c r="S545" s="121"/>
      <c r="T545" s="121"/>
      <c r="U545" s="121"/>
    </row>
    <row r="546">
      <c r="A546" s="120"/>
      <c r="B546" s="123"/>
      <c r="C546" s="124"/>
      <c r="D546" s="122"/>
      <c r="E546" s="120"/>
      <c r="F546" s="122"/>
      <c r="G546" s="122"/>
      <c r="H546" s="122"/>
      <c r="I546" s="120"/>
      <c r="J546" s="120"/>
      <c r="K546" s="120"/>
      <c r="L546" s="120"/>
      <c r="M546" s="121"/>
      <c r="N546" s="121"/>
      <c r="O546" s="121"/>
      <c r="P546" s="121"/>
      <c r="Q546" s="121"/>
      <c r="R546" s="121"/>
      <c r="S546" s="121"/>
      <c r="T546" s="121"/>
      <c r="U546" s="121"/>
    </row>
    <row r="547">
      <c r="A547" s="120"/>
      <c r="B547" s="123"/>
      <c r="C547" s="124"/>
      <c r="D547" s="122"/>
      <c r="E547" s="120"/>
      <c r="F547" s="122"/>
      <c r="G547" s="122"/>
      <c r="H547" s="122"/>
      <c r="I547" s="120"/>
      <c r="J547" s="120"/>
      <c r="K547" s="120"/>
      <c r="L547" s="120"/>
      <c r="M547" s="121"/>
      <c r="N547" s="121"/>
      <c r="O547" s="121"/>
      <c r="P547" s="121"/>
      <c r="Q547" s="121"/>
      <c r="R547" s="121"/>
      <c r="S547" s="121"/>
      <c r="T547" s="121"/>
      <c r="U547" s="121"/>
    </row>
    <row r="548">
      <c r="A548" s="120"/>
      <c r="B548" s="123"/>
      <c r="C548" s="124"/>
      <c r="D548" s="122"/>
      <c r="E548" s="120"/>
      <c r="F548" s="122"/>
      <c r="G548" s="122"/>
      <c r="H548" s="122"/>
      <c r="I548" s="120"/>
      <c r="J548" s="120"/>
      <c r="K548" s="120"/>
      <c r="L548" s="120"/>
      <c r="M548" s="121"/>
      <c r="N548" s="121"/>
      <c r="O548" s="121"/>
      <c r="P548" s="121"/>
      <c r="Q548" s="121"/>
      <c r="R548" s="121"/>
      <c r="S548" s="121"/>
      <c r="T548" s="121"/>
      <c r="U548" s="121"/>
    </row>
    <row r="549">
      <c r="A549" s="120"/>
      <c r="B549" s="123"/>
      <c r="C549" s="124"/>
      <c r="D549" s="122"/>
      <c r="E549" s="120"/>
      <c r="F549" s="122"/>
      <c r="G549" s="122"/>
      <c r="H549" s="122"/>
      <c r="I549" s="120"/>
      <c r="J549" s="120"/>
      <c r="K549" s="120"/>
      <c r="L549" s="120"/>
      <c r="M549" s="121"/>
      <c r="N549" s="121"/>
      <c r="O549" s="121"/>
      <c r="P549" s="121"/>
      <c r="Q549" s="121"/>
      <c r="R549" s="121"/>
      <c r="S549" s="121"/>
      <c r="T549" s="121"/>
      <c r="U549" s="121"/>
    </row>
    <row r="550">
      <c r="A550" s="120"/>
      <c r="B550" s="123"/>
      <c r="C550" s="124"/>
      <c r="D550" s="122"/>
      <c r="E550" s="120"/>
      <c r="F550" s="122"/>
      <c r="G550" s="122"/>
      <c r="H550" s="122"/>
      <c r="I550" s="120"/>
      <c r="J550" s="120"/>
      <c r="K550" s="120"/>
      <c r="L550" s="120"/>
      <c r="M550" s="121"/>
      <c r="N550" s="121"/>
      <c r="O550" s="121"/>
      <c r="P550" s="121"/>
      <c r="Q550" s="121"/>
      <c r="R550" s="121"/>
      <c r="S550" s="121"/>
      <c r="T550" s="121"/>
      <c r="U550" s="121"/>
    </row>
    <row r="551">
      <c r="A551" s="120"/>
      <c r="B551" s="123"/>
      <c r="C551" s="124"/>
      <c r="D551" s="122"/>
      <c r="E551" s="120"/>
      <c r="F551" s="122"/>
      <c r="G551" s="122"/>
      <c r="H551" s="122"/>
      <c r="I551" s="120"/>
      <c r="J551" s="120"/>
      <c r="K551" s="120"/>
      <c r="L551" s="120"/>
      <c r="M551" s="121"/>
      <c r="N551" s="121"/>
      <c r="O551" s="121"/>
      <c r="P551" s="121"/>
      <c r="Q551" s="121"/>
      <c r="R551" s="121"/>
      <c r="S551" s="121"/>
      <c r="T551" s="121"/>
      <c r="U551" s="121"/>
    </row>
    <row r="552">
      <c r="A552" s="120"/>
      <c r="B552" s="123"/>
      <c r="C552" s="124"/>
      <c r="D552" s="122"/>
      <c r="E552" s="120"/>
      <c r="F552" s="122"/>
      <c r="G552" s="122"/>
      <c r="H552" s="122"/>
      <c r="I552" s="120"/>
      <c r="J552" s="120"/>
      <c r="K552" s="120"/>
      <c r="L552" s="120"/>
      <c r="M552" s="121"/>
      <c r="N552" s="121"/>
      <c r="O552" s="121"/>
      <c r="P552" s="121"/>
      <c r="Q552" s="121"/>
      <c r="R552" s="121"/>
      <c r="S552" s="121"/>
      <c r="T552" s="121"/>
      <c r="U552" s="121"/>
    </row>
    <row r="553">
      <c r="A553" s="120"/>
      <c r="B553" s="123"/>
      <c r="C553" s="124"/>
      <c r="D553" s="122"/>
      <c r="E553" s="120"/>
      <c r="F553" s="122"/>
      <c r="G553" s="122"/>
      <c r="H553" s="122"/>
      <c r="I553" s="120"/>
      <c r="J553" s="120"/>
      <c r="K553" s="120"/>
      <c r="L553" s="120"/>
      <c r="M553" s="121"/>
      <c r="N553" s="121"/>
      <c r="O553" s="121"/>
      <c r="P553" s="121"/>
      <c r="Q553" s="121"/>
      <c r="R553" s="121"/>
      <c r="S553" s="121"/>
      <c r="T553" s="121"/>
      <c r="U553" s="121"/>
    </row>
    <row r="554">
      <c r="A554" s="120"/>
      <c r="B554" s="123"/>
      <c r="C554" s="124"/>
      <c r="D554" s="122"/>
      <c r="E554" s="120"/>
      <c r="F554" s="122"/>
      <c r="G554" s="122"/>
      <c r="H554" s="122"/>
      <c r="I554" s="120"/>
      <c r="J554" s="120"/>
      <c r="K554" s="120"/>
      <c r="L554" s="120"/>
      <c r="M554" s="121"/>
      <c r="N554" s="121"/>
      <c r="O554" s="121"/>
      <c r="P554" s="121"/>
      <c r="Q554" s="121"/>
      <c r="R554" s="121"/>
      <c r="S554" s="121"/>
      <c r="T554" s="121"/>
      <c r="U554" s="121"/>
    </row>
    <row r="555">
      <c r="A555" s="120"/>
      <c r="B555" s="123"/>
      <c r="C555" s="124"/>
      <c r="D555" s="125"/>
      <c r="E555" s="120"/>
      <c r="F555" s="125"/>
      <c r="G555" s="125"/>
      <c r="H555" s="125"/>
      <c r="I555" s="120"/>
      <c r="J555" s="120"/>
      <c r="K555" s="120"/>
      <c r="L555" s="120"/>
      <c r="M555" s="121"/>
      <c r="N555" s="121"/>
      <c r="O555" s="121"/>
      <c r="P555" s="121"/>
      <c r="Q555" s="121"/>
      <c r="R555" s="121"/>
      <c r="S555" s="121"/>
      <c r="T555" s="121"/>
      <c r="U555" s="121"/>
    </row>
    <row r="556">
      <c r="A556" s="120"/>
      <c r="B556" s="123"/>
      <c r="C556" s="124"/>
      <c r="D556" s="125"/>
      <c r="E556" s="120"/>
      <c r="F556" s="125"/>
      <c r="G556" s="125"/>
      <c r="H556" s="125"/>
      <c r="I556" s="120"/>
      <c r="J556" s="120"/>
      <c r="K556" s="120"/>
      <c r="L556" s="120"/>
      <c r="M556" s="121"/>
      <c r="N556" s="121"/>
      <c r="O556" s="121"/>
      <c r="P556" s="121"/>
      <c r="Q556" s="121"/>
      <c r="R556" s="121"/>
      <c r="S556" s="121"/>
      <c r="T556" s="121"/>
      <c r="U556" s="121"/>
    </row>
    <row r="557">
      <c r="A557" s="120"/>
      <c r="B557" s="123"/>
      <c r="C557" s="124"/>
      <c r="D557" s="125"/>
      <c r="E557" s="120"/>
      <c r="F557" s="125"/>
      <c r="G557" s="125"/>
      <c r="H557" s="125"/>
      <c r="I557" s="120"/>
      <c r="J557" s="120"/>
      <c r="K557" s="120"/>
      <c r="L557" s="120"/>
      <c r="M557" s="121"/>
      <c r="N557" s="121"/>
      <c r="O557" s="121"/>
      <c r="P557" s="121"/>
      <c r="Q557" s="121"/>
      <c r="R557" s="121"/>
      <c r="S557" s="121"/>
      <c r="T557" s="121"/>
      <c r="U557" s="121"/>
    </row>
    <row r="558">
      <c r="A558" s="120"/>
      <c r="B558" s="123"/>
      <c r="C558" s="124"/>
      <c r="D558" s="125"/>
      <c r="E558" s="120"/>
      <c r="F558" s="125"/>
      <c r="G558" s="125"/>
      <c r="H558" s="125"/>
      <c r="I558" s="120"/>
      <c r="J558" s="120"/>
      <c r="K558" s="120"/>
      <c r="L558" s="120"/>
      <c r="M558" s="121"/>
      <c r="N558" s="121"/>
      <c r="O558" s="121"/>
      <c r="P558" s="121"/>
      <c r="Q558" s="121"/>
      <c r="R558" s="121"/>
      <c r="S558" s="121"/>
      <c r="T558" s="121"/>
      <c r="U558" s="121"/>
    </row>
    <row r="559">
      <c r="A559" s="120"/>
      <c r="B559" s="123"/>
      <c r="C559" s="124"/>
      <c r="D559" s="125"/>
      <c r="E559" s="120"/>
      <c r="F559" s="125"/>
      <c r="G559" s="125"/>
      <c r="H559" s="125"/>
      <c r="I559" s="120"/>
      <c r="J559" s="120"/>
      <c r="K559" s="120"/>
      <c r="L559" s="120"/>
      <c r="M559" s="121"/>
      <c r="N559" s="121"/>
      <c r="O559" s="121"/>
      <c r="P559" s="121"/>
      <c r="Q559" s="121"/>
      <c r="R559" s="121"/>
      <c r="S559" s="121"/>
      <c r="T559" s="121"/>
      <c r="U559" s="121"/>
    </row>
    <row r="560">
      <c r="A560" s="120"/>
      <c r="B560" s="123"/>
      <c r="C560" s="124"/>
      <c r="D560" s="125"/>
      <c r="E560" s="120"/>
      <c r="F560" s="125"/>
      <c r="G560" s="125"/>
      <c r="H560" s="125"/>
      <c r="I560" s="120"/>
      <c r="J560" s="120"/>
      <c r="K560" s="120"/>
      <c r="L560" s="120"/>
      <c r="M560" s="121"/>
      <c r="N560" s="121"/>
      <c r="O560" s="121"/>
      <c r="P560" s="121"/>
      <c r="Q560" s="121"/>
      <c r="R560" s="121"/>
      <c r="S560" s="121"/>
      <c r="T560" s="121"/>
      <c r="U560" s="121"/>
    </row>
    <row r="561">
      <c r="A561" s="120"/>
      <c r="B561" s="123"/>
      <c r="C561" s="124"/>
      <c r="D561" s="125"/>
      <c r="E561" s="120"/>
      <c r="F561" s="125"/>
      <c r="G561" s="125"/>
      <c r="H561" s="125"/>
      <c r="I561" s="120"/>
      <c r="J561" s="120"/>
      <c r="K561" s="120"/>
      <c r="L561" s="120"/>
      <c r="M561" s="121"/>
      <c r="N561" s="121"/>
      <c r="O561" s="121"/>
      <c r="P561" s="121"/>
      <c r="Q561" s="121"/>
      <c r="R561" s="121"/>
      <c r="S561" s="121"/>
      <c r="T561" s="121"/>
      <c r="U561" s="121"/>
    </row>
    <row r="562">
      <c r="A562" s="120"/>
      <c r="B562" s="123"/>
      <c r="C562" s="124"/>
      <c r="D562" s="125"/>
      <c r="E562" s="120"/>
      <c r="F562" s="125"/>
      <c r="G562" s="125"/>
      <c r="H562" s="125"/>
      <c r="I562" s="120"/>
      <c r="J562" s="120"/>
      <c r="K562" s="120"/>
      <c r="L562" s="120"/>
      <c r="M562" s="121"/>
      <c r="N562" s="121"/>
      <c r="O562" s="121"/>
      <c r="P562" s="121"/>
      <c r="Q562" s="121"/>
      <c r="R562" s="121"/>
      <c r="S562" s="121"/>
      <c r="T562" s="121"/>
      <c r="U562" s="121"/>
    </row>
    <row r="563">
      <c r="A563" s="120"/>
      <c r="B563" s="123"/>
      <c r="C563" s="124"/>
      <c r="D563" s="125"/>
      <c r="E563" s="120"/>
      <c r="F563" s="125"/>
      <c r="G563" s="125"/>
      <c r="H563" s="125"/>
      <c r="I563" s="120"/>
      <c r="J563" s="120"/>
      <c r="K563" s="120"/>
      <c r="L563" s="120"/>
      <c r="M563" s="121"/>
      <c r="N563" s="121"/>
      <c r="O563" s="121"/>
      <c r="P563" s="121"/>
      <c r="Q563" s="121"/>
      <c r="R563" s="121"/>
      <c r="S563" s="121"/>
      <c r="T563" s="121"/>
      <c r="U563" s="121"/>
    </row>
    <row r="564">
      <c r="A564" s="120"/>
      <c r="B564" s="123"/>
      <c r="C564" s="124"/>
      <c r="D564" s="125"/>
      <c r="E564" s="120"/>
      <c r="F564" s="125"/>
      <c r="G564" s="125"/>
      <c r="H564" s="125"/>
      <c r="I564" s="120"/>
      <c r="J564" s="120"/>
      <c r="K564" s="120"/>
      <c r="L564" s="120"/>
      <c r="M564" s="121"/>
      <c r="N564" s="121"/>
      <c r="O564" s="121"/>
      <c r="P564" s="121"/>
      <c r="Q564" s="121"/>
      <c r="R564" s="121"/>
      <c r="S564" s="121"/>
      <c r="T564" s="121"/>
      <c r="U564" s="121"/>
    </row>
    <row r="565">
      <c r="A565" s="120"/>
      <c r="B565" s="123"/>
      <c r="C565" s="124"/>
      <c r="D565" s="125"/>
      <c r="E565" s="120"/>
      <c r="F565" s="125"/>
      <c r="G565" s="125"/>
      <c r="H565" s="125"/>
      <c r="I565" s="120"/>
      <c r="J565" s="120"/>
      <c r="K565" s="120"/>
      <c r="L565" s="120"/>
      <c r="M565" s="121"/>
      <c r="N565" s="121"/>
      <c r="O565" s="121"/>
      <c r="P565" s="121"/>
      <c r="Q565" s="121"/>
      <c r="R565" s="121"/>
      <c r="S565" s="121"/>
      <c r="T565" s="121"/>
      <c r="U565" s="121"/>
    </row>
    <row r="566">
      <c r="A566" s="120"/>
      <c r="B566" s="123"/>
      <c r="C566" s="124"/>
      <c r="D566" s="125"/>
      <c r="E566" s="120"/>
      <c r="F566" s="125"/>
      <c r="G566" s="125"/>
      <c r="H566" s="125"/>
      <c r="I566" s="120"/>
      <c r="J566" s="120"/>
      <c r="K566" s="120"/>
      <c r="L566" s="120"/>
      <c r="M566" s="121"/>
      <c r="N566" s="121"/>
      <c r="O566" s="121"/>
      <c r="P566" s="121"/>
      <c r="Q566" s="121"/>
      <c r="R566" s="121"/>
      <c r="S566" s="121"/>
      <c r="T566" s="121"/>
      <c r="U566" s="121"/>
    </row>
    <row r="567">
      <c r="A567" s="120"/>
      <c r="B567" s="123"/>
      <c r="C567" s="124"/>
      <c r="D567" s="125"/>
      <c r="E567" s="120"/>
      <c r="F567" s="125"/>
      <c r="G567" s="125"/>
      <c r="H567" s="125"/>
      <c r="I567" s="120"/>
      <c r="J567" s="120"/>
      <c r="K567" s="120"/>
      <c r="L567" s="120"/>
      <c r="M567" s="121"/>
      <c r="N567" s="121"/>
      <c r="O567" s="121"/>
      <c r="P567" s="121"/>
      <c r="Q567" s="121"/>
      <c r="R567" s="121"/>
      <c r="S567" s="121"/>
      <c r="T567" s="121"/>
      <c r="U567" s="121"/>
    </row>
    <row r="568">
      <c r="A568" s="120"/>
      <c r="B568" s="123"/>
      <c r="C568" s="124"/>
      <c r="D568" s="125"/>
      <c r="E568" s="120"/>
      <c r="F568" s="125"/>
      <c r="G568" s="125"/>
      <c r="H568" s="125"/>
      <c r="I568" s="120"/>
      <c r="J568" s="120"/>
      <c r="K568" s="120"/>
      <c r="L568" s="120"/>
      <c r="M568" s="121"/>
      <c r="N568" s="121"/>
      <c r="O568" s="121"/>
      <c r="P568" s="121"/>
      <c r="Q568" s="121"/>
      <c r="R568" s="121"/>
      <c r="S568" s="121"/>
      <c r="T568" s="121"/>
      <c r="U568" s="121"/>
    </row>
    <row r="569">
      <c r="A569" s="120"/>
      <c r="B569" s="123"/>
      <c r="C569" s="124"/>
      <c r="D569" s="125"/>
      <c r="E569" s="120"/>
      <c r="F569" s="125"/>
      <c r="G569" s="125"/>
      <c r="H569" s="125"/>
      <c r="I569" s="120"/>
      <c r="J569" s="120"/>
      <c r="K569" s="120"/>
      <c r="L569" s="120"/>
      <c r="M569" s="121"/>
      <c r="N569" s="121"/>
      <c r="O569" s="121"/>
      <c r="P569" s="121"/>
      <c r="Q569" s="121"/>
      <c r="R569" s="121"/>
      <c r="S569" s="121"/>
      <c r="T569" s="121"/>
      <c r="U569" s="121"/>
    </row>
    <row r="570">
      <c r="A570" s="120"/>
      <c r="B570" s="123"/>
      <c r="C570" s="124"/>
      <c r="D570" s="125"/>
      <c r="E570" s="120"/>
      <c r="F570" s="125"/>
      <c r="G570" s="125"/>
      <c r="H570" s="125"/>
      <c r="I570" s="120"/>
      <c r="J570" s="120"/>
      <c r="K570" s="120"/>
      <c r="L570" s="120"/>
      <c r="M570" s="121"/>
      <c r="N570" s="121"/>
      <c r="O570" s="121"/>
      <c r="P570" s="121"/>
      <c r="Q570" s="121"/>
      <c r="R570" s="121"/>
      <c r="S570" s="121"/>
      <c r="T570" s="121"/>
      <c r="U570" s="121"/>
    </row>
    <row r="571">
      <c r="A571" s="120"/>
      <c r="B571" s="123"/>
      <c r="C571" s="124"/>
      <c r="D571" s="125"/>
      <c r="E571" s="120"/>
      <c r="F571" s="125"/>
      <c r="G571" s="125"/>
      <c r="H571" s="125"/>
      <c r="I571" s="120"/>
      <c r="J571" s="120"/>
      <c r="K571" s="120"/>
      <c r="L571" s="120"/>
      <c r="M571" s="121"/>
      <c r="N571" s="121"/>
      <c r="O571" s="121"/>
      <c r="P571" s="121"/>
      <c r="Q571" s="121"/>
      <c r="R571" s="121"/>
      <c r="S571" s="121"/>
      <c r="T571" s="121"/>
      <c r="U571" s="121"/>
    </row>
    <row r="572">
      <c r="A572" s="120"/>
      <c r="B572" s="123"/>
      <c r="C572" s="124"/>
      <c r="D572" s="125"/>
      <c r="E572" s="120"/>
      <c r="F572" s="125"/>
      <c r="G572" s="125"/>
      <c r="H572" s="125"/>
      <c r="I572" s="120"/>
      <c r="J572" s="120"/>
      <c r="K572" s="120"/>
      <c r="L572" s="120"/>
      <c r="M572" s="121"/>
      <c r="N572" s="121"/>
      <c r="O572" s="121"/>
      <c r="P572" s="121"/>
      <c r="Q572" s="121"/>
      <c r="R572" s="121"/>
      <c r="S572" s="121"/>
      <c r="T572" s="121"/>
      <c r="U572" s="121"/>
    </row>
    <row r="573">
      <c r="A573" s="120"/>
      <c r="B573" s="123"/>
      <c r="C573" s="124"/>
      <c r="D573" s="125"/>
      <c r="E573" s="120"/>
      <c r="F573" s="125"/>
      <c r="G573" s="125"/>
      <c r="H573" s="125"/>
      <c r="I573" s="120"/>
      <c r="J573" s="120"/>
      <c r="K573" s="120"/>
      <c r="L573" s="120"/>
      <c r="M573" s="121"/>
      <c r="N573" s="121"/>
      <c r="O573" s="121"/>
      <c r="P573" s="121"/>
      <c r="Q573" s="121"/>
      <c r="R573" s="121"/>
      <c r="S573" s="121"/>
      <c r="T573" s="121"/>
      <c r="U573" s="121"/>
    </row>
    <row r="574">
      <c r="A574" s="120"/>
      <c r="B574" s="123"/>
      <c r="C574" s="124"/>
      <c r="D574" s="125"/>
      <c r="E574" s="120"/>
      <c r="F574" s="125"/>
      <c r="G574" s="125"/>
      <c r="H574" s="125"/>
      <c r="I574" s="120"/>
      <c r="J574" s="120"/>
      <c r="K574" s="120"/>
      <c r="L574" s="120"/>
      <c r="M574" s="121"/>
      <c r="N574" s="121"/>
      <c r="O574" s="121"/>
      <c r="P574" s="121"/>
      <c r="Q574" s="121"/>
      <c r="R574" s="121"/>
      <c r="S574" s="121"/>
      <c r="T574" s="121"/>
      <c r="U574" s="121"/>
    </row>
    <row r="575">
      <c r="A575" s="120"/>
      <c r="B575" s="123"/>
      <c r="C575" s="124"/>
      <c r="D575" s="125"/>
      <c r="E575" s="120"/>
      <c r="F575" s="125"/>
      <c r="G575" s="125"/>
      <c r="H575" s="125"/>
      <c r="I575" s="120"/>
      <c r="J575" s="120"/>
      <c r="K575" s="120"/>
      <c r="L575" s="120"/>
      <c r="M575" s="121"/>
      <c r="N575" s="121"/>
      <c r="O575" s="121"/>
      <c r="P575" s="121"/>
      <c r="Q575" s="121"/>
      <c r="R575" s="121"/>
      <c r="S575" s="121"/>
      <c r="T575" s="121"/>
      <c r="U575" s="121"/>
    </row>
    <row r="576">
      <c r="A576" s="120"/>
      <c r="B576" s="123"/>
      <c r="C576" s="124"/>
      <c r="D576" s="125"/>
      <c r="E576" s="120"/>
      <c r="F576" s="125"/>
      <c r="G576" s="125"/>
      <c r="H576" s="125"/>
      <c r="I576" s="120"/>
      <c r="J576" s="120"/>
      <c r="K576" s="120"/>
      <c r="L576" s="120"/>
      <c r="M576" s="121"/>
      <c r="N576" s="121"/>
      <c r="O576" s="121"/>
      <c r="P576" s="121"/>
      <c r="Q576" s="121"/>
      <c r="R576" s="121"/>
      <c r="S576" s="121"/>
      <c r="T576" s="121"/>
      <c r="U576" s="121"/>
    </row>
    <row r="577">
      <c r="A577" s="120"/>
      <c r="B577" s="123"/>
      <c r="C577" s="124"/>
      <c r="D577" s="125"/>
      <c r="E577" s="120"/>
      <c r="F577" s="125"/>
      <c r="G577" s="125"/>
      <c r="H577" s="125"/>
      <c r="I577" s="120"/>
      <c r="J577" s="120"/>
      <c r="K577" s="120"/>
      <c r="L577" s="120"/>
      <c r="M577" s="121"/>
      <c r="N577" s="121"/>
      <c r="O577" s="121"/>
      <c r="P577" s="121"/>
      <c r="Q577" s="121"/>
      <c r="R577" s="121"/>
      <c r="S577" s="121"/>
      <c r="T577" s="121"/>
      <c r="U577" s="121"/>
    </row>
    <row r="578">
      <c r="A578" s="120"/>
      <c r="B578" s="123"/>
      <c r="C578" s="124"/>
      <c r="D578" s="125"/>
      <c r="E578" s="120"/>
      <c r="F578" s="125"/>
      <c r="G578" s="125"/>
      <c r="H578" s="125"/>
      <c r="I578" s="120"/>
      <c r="J578" s="120"/>
      <c r="K578" s="120"/>
      <c r="L578" s="120"/>
      <c r="M578" s="121"/>
      <c r="N578" s="121"/>
      <c r="O578" s="121"/>
      <c r="P578" s="121"/>
      <c r="Q578" s="121"/>
      <c r="R578" s="121"/>
      <c r="S578" s="121"/>
      <c r="T578" s="121"/>
      <c r="U578" s="121"/>
    </row>
    <row r="579">
      <c r="A579" s="120"/>
      <c r="B579" s="123"/>
      <c r="C579" s="124"/>
      <c r="D579" s="125"/>
      <c r="E579" s="120"/>
      <c r="F579" s="125"/>
      <c r="G579" s="125"/>
      <c r="H579" s="125"/>
      <c r="I579" s="120"/>
      <c r="J579" s="120"/>
      <c r="K579" s="120"/>
      <c r="L579" s="120"/>
      <c r="M579" s="121"/>
      <c r="N579" s="121"/>
      <c r="O579" s="121"/>
      <c r="P579" s="121"/>
      <c r="Q579" s="121"/>
      <c r="R579" s="121"/>
      <c r="S579" s="121"/>
      <c r="T579" s="121"/>
      <c r="U579" s="121"/>
    </row>
    <row r="580">
      <c r="A580" s="120"/>
      <c r="B580" s="123"/>
      <c r="C580" s="124"/>
      <c r="D580" s="125"/>
      <c r="E580" s="120"/>
      <c r="F580" s="125"/>
      <c r="G580" s="125"/>
      <c r="H580" s="125"/>
      <c r="I580" s="120"/>
      <c r="J580" s="120"/>
      <c r="K580" s="120"/>
      <c r="L580" s="120"/>
      <c r="M580" s="121"/>
      <c r="N580" s="121"/>
      <c r="O580" s="121"/>
      <c r="P580" s="121"/>
      <c r="Q580" s="121"/>
      <c r="R580" s="121"/>
      <c r="S580" s="121"/>
      <c r="T580" s="121"/>
      <c r="U580" s="121"/>
    </row>
    <row r="581">
      <c r="A581" s="120"/>
      <c r="B581" s="123"/>
      <c r="C581" s="124"/>
      <c r="D581" s="125"/>
      <c r="E581" s="120"/>
      <c r="F581" s="125"/>
      <c r="G581" s="125"/>
      <c r="H581" s="125"/>
      <c r="I581" s="120"/>
      <c r="J581" s="120"/>
      <c r="K581" s="120"/>
      <c r="L581" s="120"/>
      <c r="M581" s="121"/>
      <c r="N581" s="121"/>
      <c r="O581" s="121"/>
      <c r="P581" s="121"/>
      <c r="Q581" s="121"/>
      <c r="R581" s="121"/>
      <c r="S581" s="121"/>
      <c r="T581" s="121"/>
      <c r="U581" s="121"/>
    </row>
    <row r="582">
      <c r="A582" s="120"/>
      <c r="B582" s="123"/>
      <c r="C582" s="124"/>
      <c r="D582" s="125"/>
      <c r="E582" s="120"/>
      <c r="F582" s="125"/>
      <c r="G582" s="125"/>
      <c r="H582" s="125"/>
      <c r="I582" s="120"/>
      <c r="J582" s="120"/>
      <c r="K582" s="120"/>
      <c r="L582" s="120"/>
      <c r="M582" s="121"/>
      <c r="N582" s="121"/>
      <c r="O582" s="121"/>
      <c r="P582" s="121"/>
      <c r="Q582" s="121"/>
      <c r="R582" s="121"/>
      <c r="S582" s="121"/>
      <c r="T582" s="121"/>
      <c r="U582" s="121"/>
    </row>
    <row r="583">
      <c r="A583" s="120"/>
      <c r="B583" s="123"/>
      <c r="C583" s="124"/>
      <c r="D583" s="125"/>
      <c r="E583" s="120"/>
      <c r="F583" s="125"/>
      <c r="G583" s="125"/>
      <c r="H583" s="125"/>
      <c r="I583" s="120"/>
      <c r="J583" s="120"/>
      <c r="K583" s="120"/>
      <c r="L583" s="120"/>
      <c r="M583" s="121"/>
      <c r="N583" s="121"/>
      <c r="O583" s="121"/>
      <c r="P583" s="121"/>
      <c r="Q583" s="121"/>
      <c r="R583" s="121"/>
      <c r="S583" s="121"/>
      <c r="T583" s="121"/>
      <c r="U583" s="121"/>
    </row>
    <row r="584">
      <c r="A584" s="120"/>
      <c r="B584" s="123"/>
      <c r="C584" s="124"/>
      <c r="D584" s="125"/>
      <c r="E584" s="120"/>
      <c r="F584" s="125"/>
      <c r="G584" s="125"/>
      <c r="H584" s="125"/>
      <c r="I584" s="120"/>
      <c r="J584" s="120"/>
      <c r="K584" s="120"/>
      <c r="L584" s="120"/>
      <c r="M584" s="121"/>
      <c r="N584" s="121"/>
      <c r="O584" s="121"/>
      <c r="P584" s="121"/>
      <c r="Q584" s="121"/>
      <c r="R584" s="121"/>
      <c r="S584" s="121"/>
      <c r="T584" s="121"/>
      <c r="U584" s="121"/>
    </row>
    <row r="585">
      <c r="A585" s="120"/>
      <c r="B585" s="123"/>
      <c r="C585" s="124"/>
      <c r="D585" s="125"/>
      <c r="E585" s="120"/>
      <c r="F585" s="125"/>
      <c r="G585" s="125"/>
      <c r="H585" s="125"/>
      <c r="I585" s="120"/>
      <c r="J585" s="120"/>
      <c r="K585" s="120"/>
      <c r="L585" s="120"/>
      <c r="M585" s="121"/>
      <c r="N585" s="121"/>
      <c r="O585" s="121"/>
      <c r="P585" s="121"/>
      <c r="Q585" s="121"/>
      <c r="R585" s="121"/>
      <c r="S585" s="121"/>
      <c r="T585" s="121"/>
      <c r="U585" s="121"/>
    </row>
    <row r="586">
      <c r="A586" s="120"/>
      <c r="B586" s="123"/>
      <c r="C586" s="124"/>
      <c r="D586" s="125"/>
      <c r="E586" s="120"/>
      <c r="F586" s="125"/>
      <c r="G586" s="125"/>
      <c r="H586" s="125"/>
      <c r="I586" s="120"/>
      <c r="J586" s="120"/>
      <c r="K586" s="120"/>
      <c r="L586" s="120"/>
      <c r="M586" s="121"/>
      <c r="N586" s="121"/>
      <c r="O586" s="121"/>
      <c r="P586" s="121"/>
      <c r="Q586" s="121"/>
      <c r="R586" s="121"/>
      <c r="S586" s="121"/>
      <c r="T586" s="121"/>
      <c r="U586" s="121"/>
    </row>
    <row r="587">
      <c r="A587" s="120"/>
      <c r="B587" s="123"/>
      <c r="C587" s="124"/>
      <c r="D587" s="125"/>
      <c r="E587" s="120"/>
      <c r="F587" s="125"/>
      <c r="G587" s="125"/>
      <c r="H587" s="125"/>
      <c r="I587" s="120"/>
      <c r="J587" s="120"/>
      <c r="K587" s="120"/>
      <c r="L587" s="120"/>
      <c r="M587" s="121"/>
      <c r="N587" s="121"/>
      <c r="O587" s="121"/>
      <c r="P587" s="121"/>
      <c r="Q587" s="121"/>
      <c r="R587" s="121"/>
      <c r="S587" s="121"/>
      <c r="T587" s="121"/>
      <c r="U587" s="121"/>
    </row>
    <row r="588">
      <c r="A588" s="120"/>
      <c r="B588" s="123"/>
      <c r="C588" s="124"/>
      <c r="D588" s="125"/>
      <c r="E588" s="120"/>
      <c r="F588" s="125"/>
      <c r="G588" s="125"/>
      <c r="H588" s="125"/>
      <c r="I588" s="120"/>
      <c r="J588" s="120"/>
      <c r="K588" s="120"/>
      <c r="L588" s="120"/>
      <c r="M588" s="121"/>
      <c r="N588" s="121"/>
      <c r="O588" s="121"/>
      <c r="P588" s="121"/>
      <c r="Q588" s="121"/>
      <c r="R588" s="121"/>
      <c r="S588" s="121"/>
      <c r="T588" s="121"/>
      <c r="U588" s="121"/>
    </row>
    <row r="589">
      <c r="A589" s="120"/>
      <c r="B589" s="123"/>
      <c r="C589" s="124"/>
      <c r="D589" s="125"/>
      <c r="E589" s="120"/>
      <c r="F589" s="125"/>
      <c r="G589" s="125"/>
      <c r="H589" s="125"/>
      <c r="I589" s="120"/>
      <c r="J589" s="120"/>
      <c r="K589" s="120"/>
      <c r="L589" s="120"/>
      <c r="M589" s="121"/>
      <c r="N589" s="121"/>
      <c r="O589" s="121"/>
      <c r="P589" s="121"/>
      <c r="Q589" s="121"/>
      <c r="R589" s="121"/>
      <c r="S589" s="121"/>
      <c r="T589" s="121"/>
      <c r="U589" s="121"/>
    </row>
    <row r="590">
      <c r="A590" s="120"/>
      <c r="B590" s="123"/>
      <c r="C590" s="124"/>
      <c r="D590" s="125"/>
      <c r="E590" s="120"/>
      <c r="F590" s="125"/>
      <c r="G590" s="125"/>
      <c r="H590" s="125"/>
      <c r="I590" s="120"/>
      <c r="J590" s="120"/>
      <c r="K590" s="120"/>
      <c r="L590" s="120"/>
      <c r="M590" s="121"/>
      <c r="N590" s="121"/>
      <c r="O590" s="121"/>
      <c r="P590" s="121"/>
      <c r="Q590" s="121"/>
      <c r="R590" s="121"/>
      <c r="S590" s="121"/>
      <c r="T590" s="121"/>
      <c r="U590" s="121"/>
    </row>
    <row r="591">
      <c r="A591" s="120"/>
      <c r="B591" s="123"/>
      <c r="C591" s="124"/>
      <c r="D591" s="125"/>
      <c r="E591" s="120"/>
      <c r="F591" s="125"/>
      <c r="G591" s="125"/>
      <c r="H591" s="125"/>
      <c r="I591" s="120"/>
      <c r="J591" s="120"/>
      <c r="K591" s="120"/>
      <c r="L591" s="120"/>
      <c r="M591" s="121"/>
      <c r="N591" s="121"/>
      <c r="O591" s="121"/>
      <c r="P591" s="121"/>
      <c r="Q591" s="121"/>
      <c r="R591" s="121"/>
      <c r="S591" s="121"/>
      <c r="T591" s="121"/>
      <c r="U591" s="121"/>
    </row>
    <row r="592">
      <c r="A592" s="120"/>
      <c r="B592" s="123"/>
      <c r="C592" s="124"/>
      <c r="D592" s="125"/>
      <c r="E592" s="120"/>
      <c r="F592" s="125"/>
      <c r="G592" s="125"/>
      <c r="H592" s="125"/>
      <c r="I592" s="120"/>
      <c r="J592" s="120"/>
      <c r="K592" s="120"/>
      <c r="L592" s="120"/>
      <c r="M592" s="121"/>
      <c r="N592" s="121"/>
      <c r="O592" s="121"/>
      <c r="P592" s="121"/>
      <c r="Q592" s="121"/>
      <c r="R592" s="121"/>
      <c r="S592" s="121"/>
      <c r="T592" s="121"/>
      <c r="U592" s="121"/>
    </row>
    <row r="593">
      <c r="A593" s="120"/>
      <c r="B593" s="123"/>
      <c r="C593" s="124"/>
      <c r="D593" s="125"/>
      <c r="E593" s="120"/>
      <c r="F593" s="125"/>
      <c r="G593" s="125"/>
      <c r="H593" s="125"/>
      <c r="I593" s="120"/>
      <c r="J593" s="120"/>
      <c r="K593" s="120"/>
      <c r="L593" s="120"/>
      <c r="M593" s="121"/>
      <c r="N593" s="121"/>
      <c r="O593" s="121"/>
      <c r="P593" s="121"/>
      <c r="Q593" s="121"/>
      <c r="R593" s="121"/>
      <c r="S593" s="121"/>
      <c r="T593" s="121"/>
      <c r="U593" s="121"/>
    </row>
    <row r="594">
      <c r="A594" s="120"/>
      <c r="B594" s="123"/>
      <c r="C594" s="124"/>
      <c r="D594" s="125"/>
      <c r="E594" s="120"/>
      <c r="F594" s="125"/>
      <c r="G594" s="125"/>
      <c r="H594" s="125"/>
      <c r="I594" s="120"/>
      <c r="J594" s="120"/>
      <c r="K594" s="120"/>
      <c r="L594" s="120"/>
      <c r="M594" s="121"/>
      <c r="N594" s="121"/>
      <c r="O594" s="121"/>
      <c r="P594" s="121"/>
      <c r="Q594" s="121"/>
      <c r="R594" s="121"/>
      <c r="S594" s="121"/>
      <c r="T594" s="121"/>
      <c r="U594" s="121"/>
    </row>
    <row r="595">
      <c r="A595" s="120"/>
      <c r="B595" s="123"/>
      <c r="C595" s="124"/>
      <c r="D595" s="125"/>
      <c r="E595" s="120"/>
      <c r="F595" s="125"/>
      <c r="G595" s="125"/>
      <c r="H595" s="125"/>
      <c r="I595" s="120"/>
      <c r="J595" s="120"/>
      <c r="K595" s="120"/>
      <c r="L595" s="120"/>
      <c r="M595" s="121"/>
      <c r="N595" s="121"/>
      <c r="O595" s="121"/>
      <c r="P595" s="121"/>
      <c r="Q595" s="121"/>
      <c r="R595" s="121"/>
      <c r="S595" s="121"/>
      <c r="T595" s="121"/>
      <c r="U595" s="121"/>
    </row>
    <row r="596">
      <c r="A596" s="120"/>
      <c r="B596" s="123"/>
      <c r="C596" s="124"/>
      <c r="D596" s="125"/>
      <c r="E596" s="120"/>
      <c r="F596" s="125"/>
      <c r="G596" s="125"/>
      <c r="H596" s="125"/>
      <c r="I596" s="120"/>
      <c r="J596" s="120"/>
      <c r="K596" s="120"/>
      <c r="L596" s="120"/>
      <c r="M596" s="121"/>
      <c r="N596" s="121"/>
      <c r="O596" s="121"/>
      <c r="P596" s="121"/>
      <c r="Q596" s="121"/>
      <c r="R596" s="121"/>
      <c r="S596" s="121"/>
      <c r="T596" s="121"/>
      <c r="U596" s="121"/>
    </row>
    <row r="597">
      <c r="A597" s="120"/>
      <c r="B597" s="123"/>
      <c r="C597" s="124"/>
      <c r="D597" s="125"/>
      <c r="E597" s="120"/>
      <c r="F597" s="125"/>
      <c r="G597" s="125"/>
      <c r="H597" s="125"/>
      <c r="I597" s="120"/>
      <c r="J597" s="120"/>
      <c r="K597" s="120"/>
      <c r="L597" s="120"/>
      <c r="M597" s="121"/>
      <c r="N597" s="121"/>
      <c r="O597" s="121"/>
      <c r="P597" s="121"/>
      <c r="Q597" s="121"/>
      <c r="R597" s="121"/>
      <c r="S597" s="121"/>
      <c r="T597" s="121"/>
      <c r="U597" s="121"/>
    </row>
    <row r="598">
      <c r="A598" s="120"/>
      <c r="B598" s="123"/>
      <c r="C598" s="124"/>
      <c r="D598" s="125"/>
      <c r="E598" s="120"/>
      <c r="F598" s="125"/>
      <c r="G598" s="125"/>
      <c r="H598" s="125"/>
      <c r="I598" s="120"/>
      <c r="J598" s="120"/>
      <c r="K598" s="120"/>
      <c r="L598" s="120"/>
      <c r="M598" s="121"/>
      <c r="N598" s="121"/>
      <c r="O598" s="121"/>
      <c r="P598" s="121"/>
      <c r="Q598" s="121"/>
      <c r="R598" s="121"/>
      <c r="S598" s="121"/>
      <c r="T598" s="121"/>
      <c r="U598" s="121"/>
    </row>
    <row r="599">
      <c r="A599" s="120"/>
      <c r="B599" s="123"/>
      <c r="C599" s="124"/>
      <c r="D599" s="122"/>
      <c r="E599" s="120"/>
      <c r="F599" s="122"/>
      <c r="G599" s="122"/>
      <c r="H599" s="122"/>
      <c r="I599" s="120"/>
      <c r="J599" s="120"/>
      <c r="K599" s="120"/>
      <c r="L599" s="120"/>
      <c r="M599" s="121"/>
      <c r="N599" s="121"/>
      <c r="O599" s="121"/>
      <c r="P599" s="121"/>
      <c r="Q599" s="121"/>
      <c r="R599" s="121"/>
      <c r="S599" s="121"/>
      <c r="T599" s="121"/>
      <c r="U599" s="121"/>
    </row>
    <row r="600">
      <c r="A600" s="120"/>
      <c r="B600" s="123"/>
      <c r="C600" s="124"/>
      <c r="D600" s="122"/>
      <c r="E600" s="120"/>
      <c r="F600" s="122"/>
      <c r="G600" s="122"/>
      <c r="H600" s="122"/>
      <c r="I600" s="120"/>
      <c r="J600" s="120"/>
      <c r="K600" s="120"/>
      <c r="L600" s="120"/>
      <c r="M600" s="121"/>
      <c r="N600" s="121"/>
      <c r="O600" s="121"/>
      <c r="P600" s="121"/>
      <c r="Q600" s="121"/>
      <c r="R600" s="121"/>
      <c r="S600" s="121"/>
      <c r="T600" s="121"/>
      <c r="U600" s="121"/>
    </row>
    <row r="601">
      <c r="A601" s="120"/>
      <c r="B601" s="123"/>
      <c r="C601" s="124"/>
      <c r="D601" s="122"/>
      <c r="E601" s="120"/>
      <c r="F601" s="122"/>
      <c r="G601" s="122"/>
      <c r="H601" s="122"/>
      <c r="I601" s="120"/>
      <c r="J601" s="120"/>
      <c r="K601" s="120"/>
      <c r="L601" s="120"/>
      <c r="M601" s="121"/>
      <c r="N601" s="121"/>
      <c r="O601" s="121"/>
      <c r="P601" s="121"/>
      <c r="Q601" s="121"/>
      <c r="R601" s="121"/>
      <c r="S601" s="121"/>
      <c r="T601" s="121"/>
      <c r="U601" s="121"/>
    </row>
    <row r="602">
      <c r="A602" s="120"/>
      <c r="B602" s="123"/>
      <c r="C602" s="124"/>
      <c r="D602" s="122"/>
      <c r="E602" s="120"/>
      <c r="F602" s="122"/>
      <c r="G602" s="122"/>
      <c r="H602" s="122"/>
      <c r="I602" s="120"/>
      <c r="J602" s="120"/>
      <c r="K602" s="120"/>
      <c r="L602" s="120"/>
      <c r="M602" s="121"/>
      <c r="N602" s="121"/>
      <c r="O602" s="121"/>
      <c r="P602" s="121"/>
      <c r="Q602" s="121"/>
      <c r="R602" s="121"/>
      <c r="S602" s="121"/>
      <c r="T602" s="121"/>
      <c r="U602" s="121"/>
    </row>
    <row r="603">
      <c r="A603" s="120"/>
      <c r="B603" s="123"/>
      <c r="C603" s="124"/>
      <c r="D603" s="122"/>
      <c r="E603" s="120"/>
      <c r="F603" s="122"/>
      <c r="G603" s="122"/>
      <c r="H603" s="122"/>
      <c r="I603" s="120"/>
      <c r="J603" s="120"/>
      <c r="K603" s="120"/>
      <c r="L603" s="120"/>
      <c r="M603" s="121"/>
      <c r="N603" s="121"/>
      <c r="O603" s="121"/>
      <c r="P603" s="121"/>
      <c r="Q603" s="121"/>
      <c r="R603" s="121"/>
      <c r="S603" s="121"/>
      <c r="T603" s="121"/>
      <c r="U603" s="121"/>
    </row>
    <row r="604">
      <c r="A604" s="120"/>
      <c r="B604" s="123"/>
      <c r="C604" s="124"/>
      <c r="D604" s="122"/>
      <c r="E604" s="120"/>
      <c r="F604" s="122"/>
      <c r="G604" s="122"/>
      <c r="H604" s="122"/>
      <c r="I604" s="120"/>
      <c r="J604" s="120"/>
      <c r="K604" s="120"/>
      <c r="L604" s="120"/>
      <c r="M604" s="121"/>
      <c r="N604" s="121"/>
      <c r="O604" s="121"/>
      <c r="P604" s="121"/>
      <c r="Q604" s="121"/>
      <c r="R604" s="121"/>
      <c r="S604" s="121"/>
      <c r="T604" s="121"/>
      <c r="U604" s="121"/>
    </row>
    <row r="605">
      <c r="A605" s="120"/>
      <c r="B605" s="123"/>
      <c r="C605" s="124"/>
      <c r="D605" s="122"/>
      <c r="E605" s="120"/>
      <c r="F605" s="122"/>
      <c r="G605" s="122"/>
      <c r="H605" s="122"/>
      <c r="I605" s="120"/>
      <c r="J605" s="120"/>
      <c r="K605" s="120"/>
      <c r="L605" s="120"/>
      <c r="M605" s="121"/>
      <c r="N605" s="121"/>
      <c r="O605" s="121"/>
      <c r="P605" s="121"/>
      <c r="Q605" s="121"/>
      <c r="R605" s="121"/>
      <c r="S605" s="121"/>
      <c r="T605" s="121"/>
      <c r="U605" s="121"/>
    </row>
    <row r="606">
      <c r="A606" s="120"/>
      <c r="B606" s="123"/>
      <c r="C606" s="124"/>
      <c r="D606" s="122"/>
      <c r="E606" s="120"/>
      <c r="F606" s="122"/>
      <c r="G606" s="122"/>
      <c r="H606" s="122"/>
      <c r="I606" s="120"/>
      <c r="J606" s="120"/>
      <c r="K606" s="120"/>
      <c r="L606" s="120"/>
      <c r="M606" s="121"/>
      <c r="N606" s="121"/>
      <c r="O606" s="121"/>
      <c r="P606" s="121"/>
      <c r="Q606" s="121"/>
      <c r="R606" s="121"/>
      <c r="S606" s="121"/>
      <c r="T606" s="121"/>
      <c r="U606" s="121"/>
    </row>
    <row r="607">
      <c r="A607" s="120"/>
      <c r="B607" s="123"/>
      <c r="C607" s="124"/>
      <c r="D607" s="122"/>
      <c r="E607" s="120"/>
      <c r="F607" s="122"/>
      <c r="G607" s="122"/>
      <c r="H607" s="122"/>
      <c r="I607" s="120"/>
      <c r="J607" s="120"/>
      <c r="K607" s="120"/>
      <c r="L607" s="120"/>
      <c r="M607" s="121"/>
      <c r="N607" s="121"/>
      <c r="O607" s="121"/>
      <c r="P607" s="121"/>
      <c r="Q607" s="121"/>
      <c r="R607" s="121"/>
      <c r="S607" s="121"/>
      <c r="T607" s="121"/>
      <c r="U607" s="121"/>
    </row>
    <row r="608">
      <c r="A608" s="120"/>
      <c r="B608" s="123"/>
      <c r="C608" s="124"/>
      <c r="D608" s="122"/>
      <c r="E608" s="120"/>
      <c r="F608" s="122"/>
      <c r="G608" s="122"/>
      <c r="H608" s="122"/>
      <c r="I608" s="120"/>
      <c r="J608" s="120"/>
      <c r="K608" s="120"/>
      <c r="L608" s="120"/>
      <c r="M608" s="121"/>
      <c r="N608" s="121"/>
      <c r="O608" s="121"/>
      <c r="P608" s="121"/>
      <c r="Q608" s="121"/>
      <c r="R608" s="121"/>
      <c r="S608" s="121"/>
      <c r="T608" s="121"/>
      <c r="U608" s="121"/>
    </row>
    <row r="609">
      <c r="A609" s="120"/>
      <c r="B609" s="123"/>
      <c r="C609" s="124"/>
      <c r="D609" s="122"/>
      <c r="E609" s="120"/>
      <c r="F609" s="122"/>
      <c r="G609" s="122"/>
      <c r="H609" s="122"/>
      <c r="I609" s="120"/>
      <c r="J609" s="120"/>
      <c r="K609" s="120"/>
      <c r="L609" s="120"/>
      <c r="M609" s="121"/>
      <c r="N609" s="121"/>
      <c r="O609" s="121"/>
      <c r="P609" s="121"/>
      <c r="Q609" s="121"/>
      <c r="R609" s="121"/>
      <c r="S609" s="121"/>
      <c r="T609" s="121"/>
      <c r="U609" s="121"/>
    </row>
    <row r="610">
      <c r="A610" s="120"/>
      <c r="B610" s="123"/>
      <c r="C610" s="124"/>
      <c r="D610" s="122"/>
      <c r="E610" s="120"/>
      <c r="F610" s="122"/>
      <c r="G610" s="122"/>
      <c r="H610" s="122"/>
      <c r="I610" s="120"/>
      <c r="J610" s="120"/>
      <c r="K610" s="120"/>
      <c r="L610" s="120"/>
      <c r="M610" s="121"/>
      <c r="N610" s="121"/>
      <c r="O610" s="121"/>
      <c r="P610" s="121"/>
      <c r="Q610" s="121"/>
      <c r="R610" s="121"/>
      <c r="S610" s="121"/>
      <c r="T610" s="121"/>
      <c r="U610" s="121"/>
    </row>
    <row r="611">
      <c r="A611" s="120"/>
      <c r="B611" s="123"/>
      <c r="C611" s="124"/>
      <c r="D611" s="122"/>
      <c r="E611" s="120"/>
      <c r="F611" s="122"/>
      <c r="G611" s="122"/>
      <c r="H611" s="122"/>
      <c r="I611" s="120"/>
      <c r="J611" s="120"/>
      <c r="K611" s="120"/>
      <c r="L611" s="120"/>
      <c r="M611" s="121"/>
      <c r="N611" s="121"/>
      <c r="O611" s="121"/>
      <c r="P611" s="121"/>
      <c r="Q611" s="121"/>
      <c r="R611" s="121"/>
      <c r="S611" s="121"/>
      <c r="T611" s="121"/>
      <c r="U611" s="121"/>
    </row>
    <row r="612">
      <c r="A612" s="120"/>
      <c r="B612" s="123"/>
      <c r="C612" s="124"/>
      <c r="D612" s="122"/>
      <c r="E612" s="120"/>
      <c r="F612" s="122"/>
      <c r="G612" s="122"/>
      <c r="H612" s="122"/>
      <c r="I612" s="120"/>
      <c r="J612" s="120"/>
      <c r="K612" s="120"/>
      <c r="L612" s="120"/>
      <c r="M612" s="121"/>
      <c r="N612" s="121"/>
      <c r="O612" s="121"/>
      <c r="P612" s="121"/>
      <c r="Q612" s="121"/>
      <c r="R612" s="121"/>
      <c r="S612" s="121"/>
      <c r="T612" s="121"/>
      <c r="U612" s="121"/>
    </row>
    <row r="613">
      <c r="A613" s="120"/>
      <c r="B613" s="123"/>
      <c r="C613" s="124"/>
      <c r="D613" s="122"/>
      <c r="E613" s="120"/>
      <c r="F613" s="122"/>
      <c r="G613" s="122"/>
      <c r="H613" s="122"/>
      <c r="I613" s="120"/>
      <c r="J613" s="120"/>
      <c r="K613" s="120"/>
      <c r="L613" s="120"/>
      <c r="M613" s="121"/>
      <c r="N613" s="121"/>
      <c r="O613" s="121"/>
      <c r="P613" s="121"/>
      <c r="Q613" s="121"/>
      <c r="R613" s="121"/>
      <c r="S613" s="121"/>
      <c r="T613" s="121"/>
      <c r="U613" s="121"/>
    </row>
    <row r="614">
      <c r="A614" s="120"/>
      <c r="B614" s="123"/>
      <c r="C614" s="124"/>
      <c r="D614" s="122"/>
      <c r="E614" s="120"/>
      <c r="F614" s="122"/>
      <c r="G614" s="122"/>
      <c r="H614" s="122"/>
      <c r="I614" s="120"/>
      <c r="J614" s="120"/>
      <c r="K614" s="120"/>
      <c r="L614" s="120"/>
      <c r="M614" s="121"/>
      <c r="N614" s="121"/>
      <c r="O614" s="121"/>
      <c r="P614" s="121"/>
      <c r="Q614" s="121"/>
      <c r="R614" s="121"/>
      <c r="S614" s="121"/>
      <c r="T614" s="121"/>
      <c r="U614" s="121"/>
    </row>
    <row r="615">
      <c r="A615" s="120"/>
      <c r="B615" s="123"/>
      <c r="C615" s="124"/>
      <c r="D615" s="122"/>
      <c r="E615" s="120"/>
      <c r="F615" s="122"/>
      <c r="G615" s="122"/>
      <c r="H615" s="122"/>
      <c r="I615" s="120"/>
      <c r="J615" s="120"/>
      <c r="K615" s="120"/>
      <c r="L615" s="120"/>
      <c r="M615" s="121"/>
      <c r="N615" s="121"/>
      <c r="O615" s="121"/>
      <c r="P615" s="121"/>
      <c r="Q615" s="121"/>
      <c r="R615" s="121"/>
      <c r="S615" s="121"/>
      <c r="T615" s="121"/>
      <c r="U615" s="121"/>
    </row>
    <row r="616">
      <c r="A616" s="120"/>
      <c r="B616" s="123"/>
      <c r="C616" s="124"/>
      <c r="D616" s="122"/>
      <c r="E616" s="120"/>
      <c r="F616" s="122"/>
      <c r="G616" s="122"/>
      <c r="H616" s="122"/>
      <c r="I616" s="120"/>
      <c r="J616" s="120"/>
      <c r="K616" s="120"/>
      <c r="L616" s="120"/>
      <c r="M616" s="121"/>
      <c r="N616" s="121"/>
      <c r="O616" s="121"/>
      <c r="P616" s="121"/>
      <c r="Q616" s="121"/>
      <c r="R616" s="121"/>
      <c r="S616" s="121"/>
      <c r="T616" s="121"/>
      <c r="U616" s="121"/>
    </row>
    <row r="617">
      <c r="A617" s="120"/>
      <c r="B617" s="123"/>
      <c r="C617" s="124"/>
      <c r="D617" s="125"/>
      <c r="E617" s="120"/>
      <c r="F617" s="125"/>
      <c r="G617" s="125"/>
      <c r="H617" s="125"/>
      <c r="I617" s="120"/>
      <c r="J617" s="120"/>
      <c r="K617" s="120"/>
      <c r="L617" s="120"/>
      <c r="M617" s="121"/>
      <c r="N617" s="121"/>
      <c r="O617" s="121"/>
      <c r="P617" s="121"/>
      <c r="Q617" s="121"/>
      <c r="R617" s="121"/>
      <c r="S617" s="121"/>
      <c r="T617" s="121"/>
      <c r="U617" s="121"/>
    </row>
    <row r="618">
      <c r="A618" s="120"/>
      <c r="B618" s="123"/>
      <c r="C618" s="124"/>
      <c r="D618" s="125"/>
      <c r="E618" s="120"/>
      <c r="F618" s="125"/>
      <c r="G618" s="125"/>
      <c r="H618" s="125"/>
      <c r="I618" s="120"/>
      <c r="J618" s="120"/>
      <c r="K618" s="120"/>
      <c r="L618" s="120"/>
      <c r="M618" s="121"/>
      <c r="N618" s="121"/>
      <c r="O618" s="121"/>
      <c r="P618" s="121"/>
      <c r="Q618" s="121"/>
      <c r="R618" s="121"/>
      <c r="S618" s="121"/>
      <c r="T618" s="121"/>
      <c r="U618" s="121"/>
    </row>
    <row r="619">
      <c r="A619" s="120"/>
      <c r="B619" s="123"/>
      <c r="C619" s="124"/>
      <c r="D619" s="125"/>
      <c r="E619" s="120"/>
      <c r="F619" s="125"/>
      <c r="G619" s="125"/>
      <c r="H619" s="125"/>
      <c r="I619" s="120"/>
      <c r="J619" s="120"/>
      <c r="K619" s="120"/>
      <c r="L619" s="120"/>
      <c r="M619" s="121"/>
      <c r="N619" s="121"/>
      <c r="O619" s="121"/>
      <c r="P619" s="121"/>
      <c r="Q619" s="121"/>
      <c r="R619" s="121"/>
      <c r="S619" s="121"/>
      <c r="T619" s="121"/>
      <c r="U619" s="121"/>
    </row>
    <row r="620">
      <c r="A620" s="120"/>
      <c r="B620" s="123"/>
      <c r="C620" s="124"/>
      <c r="D620" s="125"/>
      <c r="E620" s="120"/>
      <c r="F620" s="125"/>
      <c r="G620" s="125"/>
      <c r="H620" s="125"/>
      <c r="I620" s="120"/>
      <c r="J620" s="120"/>
      <c r="K620" s="120"/>
      <c r="L620" s="120"/>
      <c r="M620" s="121"/>
      <c r="N620" s="121"/>
      <c r="O620" s="121"/>
      <c r="P620" s="121"/>
      <c r="Q620" s="121"/>
      <c r="R620" s="121"/>
      <c r="S620" s="121"/>
      <c r="T620" s="121"/>
      <c r="U620" s="121"/>
    </row>
    <row r="621">
      <c r="A621" s="120"/>
      <c r="B621" s="123"/>
      <c r="C621" s="124"/>
      <c r="D621" s="125"/>
      <c r="E621" s="120"/>
      <c r="F621" s="125"/>
      <c r="G621" s="125"/>
      <c r="H621" s="125"/>
      <c r="I621" s="120"/>
      <c r="J621" s="120"/>
      <c r="K621" s="120"/>
      <c r="L621" s="120"/>
      <c r="M621" s="121"/>
      <c r="N621" s="121"/>
      <c r="O621" s="121"/>
      <c r="P621" s="121"/>
      <c r="Q621" s="121"/>
      <c r="R621" s="121"/>
      <c r="S621" s="121"/>
      <c r="T621" s="121"/>
      <c r="U621" s="121"/>
    </row>
    <row r="622">
      <c r="A622" s="120"/>
      <c r="B622" s="123"/>
      <c r="C622" s="124"/>
      <c r="D622" s="125"/>
      <c r="E622" s="120"/>
      <c r="F622" s="125"/>
      <c r="G622" s="125"/>
      <c r="H622" s="125"/>
      <c r="I622" s="120"/>
      <c r="J622" s="120"/>
      <c r="K622" s="120"/>
      <c r="L622" s="120"/>
      <c r="M622" s="121"/>
      <c r="N622" s="121"/>
      <c r="O622" s="121"/>
      <c r="P622" s="121"/>
      <c r="Q622" s="121"/>
      <c r="R622" s="121"/>
      <c r="S622" s="121"/>
      <c r="T622" s="121"/>
      <c r="U622" s="121"/>
    </row>
    <row r="623">
      <c r="A623" s="120"/>
      <c r="B623" s="123"/>
      <c r="C623" s="124"/>
      <c r="D623" s="125"/>
      <c r="E623" s="120"/>
      <c r="F623" s="125"/>
      <c r="G623" s="125"/>
      <c r="H623" s="125"/>
      <c r="I623" s="120"/>
      <c r="J623" s="120"/>
      <c r="K623" s="120"/>
      <c r="L623" s="120"/>
      <c r="M623" s="121"/>
      <c r="N623" s="121"/>
      <c r="O623" s="121"/>
      <c r="P623" s="121"/>
      <c r="Q623" s="121"/>
      <c r="R623" s="121"/>
      <c r="S623" s="121"/>
      <c r="T623" s="121"/>
      <c r="U623" s="121"/>
    </row>
    <row r="624">
      <c r="A624" s="120"/>
      <c r="B624" s="123"/>
      <c r="C624" s="124"/>
      <c r="D624" s="125"/>
      <c r="E624" s="120"/>
      <c r="F624" s="125"/>
      <c r="G624" s="125"/>
      <c r="H624" s="125"/>
      <c r="I624" s="120"/>
      <c r="J624" s="120"/>
      <c r="K624" s="120"/>
      <c r="L624" s="120"/>
      <c r="M624" s="121"/>
      <c r="N624" s="121"/>
      <c r="O624" s="121"/>
      <c r="P624" s="121"/>
      <c r="Q624" s="121"/>
      <c r="R624" s="121"/>
      <c r="S624" s="121"/>
      <c r="T624" s="121"/>
      <c r="U624" s="121"/>
    </row>
    <row r="625">
      <c r="A625" s="120"/>
      <c r="B625" s="123"/>
      <c r="C625" s="124"/>
      <c r="D625" s="125"/>
      <c r="E625" s="120"/>
      <c r="F625" s="125"/>
      <c r="G625" s="125"/>
      <c r="H625" s="125"/>
      <c r="I625" s="120"/>
      <c r="J625" s="120"/>
      <c r="K625" s="120"/>
      <c r="L625" s="120"/>
      <c r="M625" s="121"/>
      <c r="N625" s="121"/>
      <c r="O625" s="121"/>
      <c r="P625" s="121"/>
      <c r="Q625" s="121"/>
      <c r="R625" s="121"/>
      <c r="S625" s="121"/>
      <c r="T625" s="121"/>
      <c r="U625" s="121"/>
    </row>
    <row r="626">
      <c r="A626" s="120"/>
      <c r="B626" s="123"/>
      <c r="C626" s="124"/>
      <c r="D626" s="125"/>
      <c r="E626" s="120"/>
      <c r="F626" s="125"/>
      <c r="G626" s="125"/>
      <c r="H626" s="125"/>
      <c r="I626" s="120"/>
      <c r="J626" s="120"/>
      <c r="K626" s="120"/>
      <c r="L626" s="120"/>
      <c r="M626" s="121"/>
      <c r="N626" s="121"/>
      <c r="O626" s="121"/>
      <c r="P626" s="121"/>
      <c r="Q626" s="121"/>
      <c r="R626" s="121"/>
      <c r="S626" s="121"/>
      <c r="T626" s="121"/>
      <c r="U626" s="121"/>
    </row>
    <row r="627">
      <c r="A627" s="120"/>
      <c r="B627" s="123"/>
      <c r="C627" s="124"/>
      <c r="D627" s="125"/>
      <c r="E627" s="120"/>
      <c r="F627" s="125"/>
      <c r="G627" s="125"/>
      <c r="H627" s="125"/>
      <c r="I627" s="120"/>
      <c r="J627" s="120"/>
      <c r="K627" s="120"/>
      <c r="L627" s="120"/>
      <c r="M627" s="121"/>
      <c r="N627" s="121"/>
      <c r="O627" s="121"/>
      <c r="P627" s="121"/>
      <c r="Q627" s="121"/>
      <c r="R627" s="121"/>
      <c r="S627" s="121"/>
      <c r="T627" s="121"/>
      <c r="U627" s="121"/>
    </row>
    <row r="628">
      <c r="A628" s="120"/>
      <c r="B628" s="123"/>
      <c r="C628" s="124"/>
      <c r="D628" s="125"/>
      <c r="E628" s="120"/>
      <c r="F628" s="125"/>
      <c r="G628" s="125"/>
      <c r="H628" s="125"/>
      <c r="I628" s="120"/>
      <c r="J628" s="120"/>
      <c r="K628" s="120"/>
      <c r="L628" s="120"/>
      <c r="M628" s="121"/>
      <c r="N628" s="121"/>
      <c r="O628" s="121"/>
      <c r="P628" s="121"/>
      <c r="Q628" s="121"/>
      <c r="R628" s="121"/>
      <c r="S628" s="121"/>
      <c r="T628" s="121"/>
      <c r="U628" s="121"/>
    </row>
    <row r="629">
      <c r="A629" s="120"/>
      <c r="B629" s="123"/>
      <c r="C629" s="124"/>
      <c r="D629" s="125"/>
      <c r="E629" s="120"/>
      <c r="F629" s="125"/>
      <c r="G629" s="125"/>
      <c r="H629" s="125"/>
      <c r="I629" s="120"/>
      <c r="J629" s="120"/>
      <c r="K629" s="120"/>
      <c r="L629" s="120"/>
      <c r="M629" s="121"/>
      <c r="N629" s="121"/>
      <c r="O629" s="121"/>
      <c r="P629" s="121"/>
      <c r="Q629" s="121"/>
      <c r="R629" s="121"/>
      <c r="S629" s="121"/>
      <c r="T629" s="121"/>
      <c r="U629" s="121"/>
    </row>
    <row r="630">
      <c r="A630" s="120"/>
      <c r="B630" s="123"/>
      <c r="C630" s="124"/>
      <c r="D630" s="125"/>
      <c r="E630" s="120"/>
      <c r="F630" s="125"/>
      <c r="G630" s="125"/>
      <c r="H630" s="125"/>
      <c r="I630" s="120"/>
      <c r="J630" s="120"/>
      <c r="K630" s="120"/>
      <c r="L630" s="120"/>
      <c r="M630" s="121"/>
      <c r="N630" s="121"/>
      <c r="O630" s="121"/>
      <c r="P630" s="121"/>
      <c r="Q630" s="121"/>
      <c r="R630" s="121"/>
      <c r="S630" s="121"/>
      <c r="T630" s="121"/>
      <c r="U630" s="121"/>
    </row>
    <row r="631">
      <c r="A631" s="120"/>
      <c r="B631" s="123"/>
      <c r="C631" s="124"/>
      <c r="D631" s="125"/>
      <c r="E631" s="120"/>
      <c r="F631" s="125"/>
      <c r="G631" s="125"/>
      <c r="H631" s="125"/>
      <c r="I631" s="120"/>
      <c r="J631" s="120"/>
      <c r="K631" s="120"/>
      <c r="L631" s="120"/>
      <c r="M631" s="121"/>
      <c r="N631" s="121"/>
      <c r="O631" s="121"/>
      <c r="P631" s="121"/>
      <c r="Q631" s="121"/>
      <c r="R631" s="121"/>
      <c r="S631" s="121"/>
      <c r="T631" s="121"/>
      <c r="U631" s="121"/>
    </row>
    <row r="632">
      <c r="A632" s="120"/>
      <c r="B632" s="123"/>
      <c r="C632" s="124"/>
      <c r="D632" s="125"/>
      <c r="E632" s="120"/>
      <c r="F632" s="125"/>
      <c r="G632" s="125"/>
      <c r="H632" s="125"/>
      <c r="I632" s="120"/>
      <c r="J632" s="120"/>
      <c r="K632" s="120"/>
      <c r="L632" s="120"/>
      <c r="M632" s="121"/>
      <c r="N632" s="121"/>
      <c r="O632" s="121"/>
      <c r="P632" s="121"/>
      <c r="Q632" s="121"/>
      <c r="R632" s="121"/>
      <c r="S632" s="121"/>
      <c r="T632" s="121"/>
      <c r="U632" s="121"/>
    </row>
    <row r="633">
      <c r="A633" s="120"/>
      <c r="B633" s="123"/>
      <c r="C633" s="124"/>
      <c r="D633" s="125"/>
      <c r="E633" s="120"/>
      <c r="F633" s="125"/>
      <c r="G633" s="125"/>
      <c r="H633" s="125"/>
      <c r="I633" s="120"/>
      <c r="J633" s="120"/>
      <c r="K633" s="120"/>
      <c r="L633" s="120"/>
      <c r="M633" s="121"/>
      <c r="N633" s="121"/>
      <c r="O633" s="121"/>
      <c r="P633" s="121"/>
      <c r="Q633" s="121"/>
      <c r="R633" s="121"/>
      <c r="S633" s="121"/>
      <c r="T633" s="121"/>
      <c r="U633" s="121"/>
    </row>
    <row r="634">
      <c r="A634" s="120"/>
      <c r="B634" s="123"/>
      <c r="C634" s="124"/>
      <c r="D634" s="125"/>
      <c r="E634" s="120"/>
      <c r="F634" s="125"/>
      <c r="G634" s="125"/>
      <c r="H634" s="125"/>
      <c r="I634" s="120"/>
      <c r="J634" s="120"/>
      <c r="K634" s="120"/>
      <c r="L634" s="120"/>
      <c r="M634" s="121"/>
      <c r="N634" s="121"/>
      <c r="O634" s="121"/>
      <c r="P634" s="121"/>
      <c r="Q634" s="121"/>
      <c r="R634" s="121"/>
      <c r="S634" s="121"/>
      <c r="T634" s="121"/>
      <c r="U634" s="121"/>
    </row>
    <row r="635">
      <c r="A635" s="120"/>
      <c r="B635" s="123"/>
      <c r="C635" s="124"/>
      <c r="D635" s="125"/>
      <c r="E635" s="120"/>
      <c r="F635" s="125"/>
      <c r="G635" s="125"/>
      <c r="H635" s="125"/>
      <c r="I635" s="120"/>
      <c r="J635" s="120"/>
      <c r="K635" s="120"/>
      <c r="L635" s="120"/>
      <c r="M635" s="121"/>
      <c r="N635" s="121"/>
      <c r="O635" s="121"/>
      <c r="P635" s="121"/>
      <c r="Q635" s="121"/>
      <c r="R635" s="121"/>
      <c r="S635" s="121"/>
      <c r="T635" s="121"/>
      <c r="U635" s="121"/>
    </row>
    <row r="636">
      <c r="A636" s="120"/>
      <c r="B636" s="123"/>
      <c r="C636" s="124"/>
      <c r="D636" s="125"/>
      <c r="E636" s="120"/>
      <c r="F636" s="125"/>
      <c r="G636" s="125"/>
      <c r="H636" s="125"/>
      <c r="I636" s="120"/>
      <c r="J636" s="120"/>
      <c r="K636" s="120"/>
      <c r="L636" s="120"/>
      <c r="M636" s="121"/>
      <c r="N636" s="121"/>
      <c r="O636" s="121"/>
      <c r="P636" s="121"/>
      <c r="Q636" s="121"/>
      <c r="R636" s="121"/>
      <c r="S636" s="121"/>
      <c r="T636" s="121"/>
      <c r="U636" s="121"/>
    </row>
    <row r="637">
      <c r="A637" s="120"/>
      <c r="B637" s="123"/>
      <c r="C637" s="124"/>
      <c r="D637" s="125"/>
      <c r="E637" s="120"/>
      <c r="F637" s="125"/>
      <c r="G637" s="125"/>
      <c r="H637" s="125"/>
      <c r="I637" s="120"/>
      <c r="J637" s="120"/>
      <c r="K637" s="120"/>
      <c r="L637" s="120"/>
      <c r="M637" s="121"/>
      <c r="N637" s="121"/>
      <c r="O637" s="121"/>
      <c r="P637" s="121"/>
      <c r="Q637" s="121"/>
      <c r="R637" s="121"/>
      <c r="S637" s="121"/>
      <c r="T637" s="121"/>
      <c r="U637" s="121"/>
    </row>
    <row r="638">
      <c r="A638" s="120"/>
      <c r="B638" s="123"/>
      <c r="C638" s="124"/>
      <c r="D638" s="125"/>
      <c r="E638" s="120"/>
      <c r="F638" s="125"/>
      <c r="G638" s="125"/>
      <c r="H638" s="125"/>
      <c r="I638" s="120"/>
      <c r="J638" s="120"/>
      <c r="K638" s="120"/>
      <c r="L638" s="120"/>
      <c r="M638" s="121"/>
      <c r="N638" s="121"/>
      <c r="O638" s="121"/>
      <c r="P638" s="121"/>
      <c r="Q638" s="121"/>
      <c r="R638" s="121"/>
      <c r="S638" s="121"/>
      <c r="T638" s="121"/>
      <c r="U638" s="121"/>
    </row>
    <row r="639">
      <c r="A639" s="120"/>
      <c r="B639" s="123"/>
      <c r="C639" s="124"/>
      <c r="D639" s="125"/>
      <c r="E639" s="120"/>
      <c r="F639" s="125"/>
      <c r="G639" s="125"/>
      <c r="H639" s="125"/>
      <c r="I639" s="120"/>
      <c r="J639" s="120"/>
      <c r="K639" s="120"/>
      <c r="L639" s="120"/>
      <c r="M639" s="121"/>
      <c r="N639" s="121"/>
      <c r="O639" s="121"/>
      <c r="P639" s="121"/>
      <c r="Q639" s="121"/>
      <c r="R639" s="121"/>
      <c r="S639" s="121"/>
      <c r="T639" s="121"/>
      <c r="U639" s="121"/>
    </row>
    <row r="640">
      <c r="A640" s="120"/>
      <c r="B640" s="123"/>
      <c r="C640" s="124"/>
      <c r="D640" s="125"/>
      <c r="E640" s="120"/>
      <c r="F640" s="125"/>
      <c r="G640" s="125"/>
      <c r="H640" s="125"/>
      <c r="I640" s="120"/>
      <c r="J640" s="120"/>
      <c r="K640" s="120"/>
      <c r="L640" s="120"/>
      <c r="M640" s="121"/>
      <c r="N640" s="121"/>
      <c r="O640" s="121"/>
      <c r="P640" s="121"/>
      <c r="Q640" s="121"/>
      <c r="R640" s="121"/>
      <c r="S640" s="121"/>
      <c r="T640" s="121"/>
      <c r="U640" s="121"/>
    </row>
    <row r="641">
      <c r="A641" s="120"/>
      <c r="B641" s="123"/>
      <c r="C641" s="124"/>
      <c r="D641" s="125"/>
      <c r="E641" s="120"/>
      <c r="F641" s="125"/>
      <c r="G641" s="125"/>
      <c r="H641" s="125"/>
      <c r="I641" s="120"/>
      <c r="J641" s="120"/>
      <c r="K641" s="120"/>
      <c r="L641" s="120"/>
      <c r="M641" s="121"/>
      <c r="N641" s="121"/>
      <c r="O641" s="121"/>
      <c r="P641" s="121"/>
      <c r="Q641" s="121"/>
      <c r="R641" s="121"/>
      <c r="S641" s="121"/>
      <c r="T641" s="121"/>
      <c r="U641" s="121"/>
    </row>
    <row r="642">
      <c r="A642" s="120"/>
      <c r="B642" s="123"/>
      <c r="C642" s="124"/>
      <c r="D642" s="125"/>
      <c r="E642" s="120"/>
      <c r="F642" s="125"/>
      <c r="G642" s="125"/>
      <c r="H642" s="125"/>
      <c r="I642" s="120"/>
      <c r="J642" s="120"/>
      <c r="K642" s="120"/>
      <c r="L642" s="120"/>
      <c r="M642" s="121"/>
      <c r="N642" s="121"/>
      <c r="O642" s="121"/>
      <c r="P642" s="121"/>
      <c r="Q642" s="121"/>
      <c r="R642" s="121"/>
      <c r="S642" s="121"/>
      <c r="T642" s="121"/>
      <c r="U642" s="121"/>
    </row>
    <row r="643">
      <c r="A643" s="120"/>
      <c r="B643" s="123"/>
      <c r="C643" s="124"/>
      <c r="D643" s="125"/>
      <c r="E643" s="120"/>
      <c r="F643" s="125"/>
      <c r="G643" s="125"/>
      <c r="H643" s="125"/>
      <c r="I643" s="120"/>
      <c r="J643" s="120"/>
      <c r="K643" s="120"/>
      <c r="L643" s="120"/>
      <c r="M643" s="121"/>
      <c r="N643" s="121"/>
      <c r="O643" s="121"/>
      <c r="P643" s="121"/>
      <c r="Q643" s="121"/>
      <c r="R643" s="121"/>
      <c r="S643" s="121"/>
      <c r="T643" s="121"/>
      <c r="U643" s="121"/>
    </row>
    <row r="644">
      <c r="A644" s="120"/>
      <c r="B644" s="123"/>
      <c r="C644" s="124"/>
      <c r="D644" s="125"/>
      <c r="E644" s="120"/>
      <c r="F644" s="125"/>
      <c r="G644" s="125"/>
      <c r="H644" s="125"/>
      <c r="I644" s="120"/>
      <c r="J644" s="120"/>
      <c r="K644" s="120"/>
      <c r="L644" s="120"/>
      <c r="M644" s="121"/>
      <c r="N644" s="121"/>
      <c r="O644" s="121"/>
      <c r="P644" s="121"/>
      <c r="Q644" s="121"/>
      <c r="R644" s="121"/>
      <c r="S644" s="121"/>
      <c r="T644" s="121"/>
      <c r="U644" s="121"/>
    </row>
    <row r="645">
      <c r="A645" s="120"/>
      <c r="B645" s="123"/>
      <c r="C645" s="124"/>
      <c r="D645" s="125"/>
      <c r="E645" s="120"/>
      <c r="F645" s="125"/>
      <c r="G645" s="125"/>
      <c r="H645" s="125"/>
      <c r="I645" s="120"/>
      <c r="J645" s="120"/>
      <c r="K645" s="120"/>
      <c r="L645" s="120"/>
      <c r="M645" s="121"/>
      <c r="N645" s="121"/>
      <c r="O645" s="121"/>
      <c r="P645" s="121"/>
      <c r="Q645" s="121"/>
      <c r="R645" s="121"/>
      <c r="S645" s="121"/>
      <c r="T645" s="121"/>
      <c r="U645" s="121"/>
    </row>
    <row r="646">
      <c r="A646" s="120"/>
      <c r="B646" s="123"/>
      <c r="C646" s="124"/>
      <c r="D646" s="125"/>
      <c r="E646" s="120"/>
      <c r="F646" s="125"/>
      <c r="G646" s="125"/>
      <c r="H646" s="125"/>
      <c r="I646" s="120"/>
      <c r="J646" s="120"/>
      <c r="K646" s="120"/>
      <c r="L646" s="120"/>
      <c r="M646" s="121"/>
      <c r="N646" s="121"/>
      <c r="O646" s="121"/>
      <c r="P646" s="121"/>
      <c r="Q646" s="121"/>
      <c r="R646" s="121"/>
      <c r="S646" s="121"/>
      <c r="T646" s="121"/>
      <c r="U646" s="121"/>
    </row>
    <row r="647">
      <c r="A647" s="120"/>
      <c r="B647" s="123"/>
      <c r="C647" s="124"/>
      <c r="D647" s="125"/>
      <c r="E647" s="120"/>
      <c r="F647" s="125"/>
      <c r="G647" s="125"/>
      <c r="H647" s="125"/>
      <c r="I647" s="120"/>
      <c r="J647" s="120"/>
      <c r="K647" s="120"/>
      <c r="L647" s="120"/>
      <c r="M647" s="121"/>
      <c r="N647" s="121"/>
      <c r="O647" s="121"/>
      <c r="P647" s="121"/>
      <c r="Q647" s="121"/>
      <c r="R647" s="121"/>
      <c r="S647" s="121"/>
      <c r="T647" s="121"/>
      <c r="U647" s="121"/>
    </row>
    <row r="648">
      <c r="A648" s="120"/>
      <c r="B648" s="123"/>
      <c r="C648" s="124"/>
      <c r="D648" s="125"/>
      <c r="E648" s="120"/>
      <c r="F648" s="125"/>
      <c r="G648" s="125"/>
      <c r="H648" s="125"/>
      <c r="I648" s="120"/>
      <c r="J648" s="120"/>
      <c r="K648" s="120"/>
      <c r="L648" s="120"/>
      <c r="M648" s="121"/>
      <c r="N648" s="121"/>
      <c r="O648" s="121"/>
      <c r="P648" s="121"/>
      <c r="Q648" s="121"/>
      <c r="R648" s="121"/>
      <c r="S648" s="121"/>
      <c r="T648" s="121"/>
      <c r="U648" s="121"/>
    </row>
    <row r="649">
      <c r="A649" s="120"/>
      <c r="B649" s="123"/>
      <c r="C649" s="124"/>
      <c r="D649" s="125"/>
      <c r="E649" s="120"/>
      <c r="F649" s="125"/>
      <c r="G649" s="125"/>
      <c r="H649" s="125"/>
      <c r="I649" s="120"/>
      <c r="J649" s="120"/>
      <c r="K649" s="120"/>
      <c r="L649" s="120"/>
      <c r="M649" s="121"/>
      <c r="N649" s="121"/>
      <c r="O649" s="121"/>
      <c r="P649" s="121"/>
      <c r="Q649" s="121"/>
      <c r="R649" s="121"/>
      <c r="S649" s="121"/>
      <c r="T649" s="121"/>
      <c r="U649" s="121"/>
    </row>
    <row r="650">
      <c r="A650" s="120"/>
      <c r="B650" s="123"/>
      <c r="C650" s="124"/>
      <c r="D650" s="125"/>
      <c r="E650" s="120"/>
      <c r="F650" s="125"/>
      <c r="G650" s="125"/>
      <c r="H650" s="125"/>
      <c r="I650" s="120"/>
      <c r="J650" s="120"/>
      <c r="K650" s="120"/>
      <c r="L650" s="120"/>
      <c r="M650" s="121"/>
      <c r="N650" s="121"/>
      <c r="O650" s="121"/>
      <c r="P650" s="121"/>
      <c r="Q650" s="121"/>
      <c r="R650" s="121"/>
      <c r="S650" s="121"/>
      <c r="T650" s="121"/>
      <c r="U650" s="121"/>
    </row>
    <row r="651">
      <c r="A651" s="120"/>
      <c r="B651" s="123"/>
      <c r="C651" s="124"/>
      <c r="D651" s="125"/>
      <c r="E651" s="120"/>
      <c r="F651" s="125"/>
      <c r="G651" s="125"/>
      <c r="H651" s="125"/>
      <c r="I651" s="120"/>
      <c r="J651" s="120"/>
      <c r="K651" s="120"/>
      <c r="L651" s="120"/>
      <c r="M651" s="121"/>
      <c r="N651" s="121"/>
      <c r="O651" s="121"/>
      <c r="P651" s="121"/>
      <c r="Q651" s="121"/>
      <c r="R651" s="121"/>
      <c r="S651" s="121"/>
      <c r="T651" s="121"/>
      <c r="U651" s="121"/>
    </row>
    <row r="652">
      <c r="A652" s="120"/>
      <c r="B652" s="123"/>
      <c r="C652" s="124"/>
      <c r="D652" s="125"/>
      <c r="E652" s="120"/>
      <c r="F652" s="125"/>
      <c r="G652" s="125"/>
      <c r="H652" s="125"/>
      <c r="I652" s="120"/>
      <c r="J652" s="120"/>
      <c r="K652" s="120"/>
      <c r="L652" s="120"/>
      <c r="M652" s="121"/>
      <c r="N652" s="121"/>
      <c r="O652" s="121"/>
      <c r="P652" s="121"/>
      <c r="Q652" s="121"/>
      <c r="R652" s="121"/>
      <c r="S652" s="121"/>
      <c r="T652" s="121"/>
      <c r="U652" s="121"/>
    </row>
    <row r="653">
      <c r="A653" s="120"/>
      <c r="B653" s="123"/>
      <c r="C653" s="124"/>
      <c r="D653" s="125"/>
      <c r="E653" s="120"/>
      <c r="F653" s="125"/>
      <c r="G653" s="125"/>
      <c r="H653" s="125"/>
      <c r="I653" s="120"/>
      <c r="J653" s="120"/>
      <c r="K653" s="120"/>
      <c r="L653" s="120"/>
      <c r="M653" s="121"/>
      <c r="N653" s="121"/>
      <c r="O653" s="121"/>
      <c r="P653" s="121"/>
      <c r="Q653" s="121"/>
      <c r="R653" s="121"/>
      <c r="S653" s="121"/>
      <c r="T653" s="121"/>
      <c r="U653" s="121"/>
    </row>
    <row r="654">
      <c r="A654" s="120"/>
      <c r="B654" s="123"/>
      <c r="C654" s="124"/>
      <c r="D654" s="125"/>
      <c r="E654" s="120"/>
      <c r="F654" s="125"/>
      <c r="G654" s="125"/>
      <c r="H654" s="125"/>
      <c r="I654" s="120"/>
      <c r="J654" s="120"/>
      <c r="K654" s="120"/>
      <c r="L654" s="120"/>
      <c r="M654" s="121"/>
      <c r="N654" s="121"/>
      <c r="O654" s="121"/>
      <c r="P654" s="121"/>
      <c r="Q654" s="121"/>
      <c r="R654" s="121"/>
      <c r="S654" s="121"/>
      <c r="T654" s="121"/>
      <c r="U654" s="121"/>
    </row>
    <row r="655">
      <c r="A655" s="120"/>
      <c r="B655" s="123"/>
      <c r="C655" s="124"/>
      <c r="D655" s="122"/>
      <c r="E655" s="120"/>
      <c r="F655" s="122"/>
      <c r="G655" s="122"/>
      <c r="H655" s="122"/>
      <c r="I655" s="120"/>
      <c r="J655" s="120"/>
      <c r="K655" s="120"/>
      <c r="L655" s="120"/>
      <c r="M655" s="121"/>
      <c r="N655" s="121"/>
      <c r="O655" s="121"/>
      <c r="P655" s="121"/>
      <c r="Q655" s="121"/>
      <c r="R655" s="121"/>
      <c r="S655" s="121"/>
      <c r="T655" s="121"/>
      <c r="U655" s="121"/>
    </row>
    <row r="656">
      <c r="A656" s="120"/>
      <c r="B656" s="123"/>
      <c r="C656" s="124"/>
      <c r="D656" s="122"/>
      <c r="E656" s="120"/>
      <c r="F656" s="122"/>
      <c r="G656" s="122"/>
      <c r="H656" s="122"/>
      <c r="I656" s="120"/>
      <c r="J656" s="120"/>
      <c r="K656" s="120"/>
      <c r="L656" s="120"/>
      <c r="M656" s="121"/>
      <c r="N656" s="121"/>
      <c r="O656" s="121"/>
      <c r="P656" s="121"/>
      <c r="Q656" s="121"/>
      <c r="R656" s="121"/>
      <c r="S656" s="121"/>
      <c r="T656" s="121"/>
      <c r="U656" s="121"/>
    </row>
    <row r="657">
      <c r="A657" s="120"/>
      <c r="B657" s="123"/>
      <c r="C657" s="124"/>
      <c r="D657" s="122"/>
      <c r="E657" s="120"/>
      <c r="F657" s="122"/>
      <c r="G657" s="122"/>
      <c r="H657" s="122"/>
      <c r="I657" s="120"/>
      <c r="J657" s="120"/>
      <c r="K657" s="120"/>
      <c r="L657" s="120"/>
      <c r="M657" s="121"/>
      <c r="N657" s="121"/>
      <c r="O657" s="121"/>
      <c r="P657" s="121"/>
      <c r="Q657" s="121"/>
      <c r="R657" s="121"/>
      <c r="S657" s="121"/>
      <c r="T657" s="121"/>
      <c r="U657" s="121"/>
    </row>
    <row r="658">
      <c r="A658" s="120"/>
      <c r="B658" s="123"/>
      <c r="C658" s="124"/>
      <c r="D658" s="122"/>
      <c r="E658" s="120"/>
      <c r="F658" s="122"/>
      <c r="G658" s="122"/>
      <c r="H658" s="122"/>
      <c r="I658" s="120"/>
      <c r="J658" s="120"/>
      <c r="K658" s="120"/>
      <c r="L658" s="120"/>
      <c r="M658" s="121"/>
      <c r="N658" s="121"/>
      <c r="O658" s="121"/>
      <c r="P658" s="121"/>
      <c r="Q658" s="121"/>
      <c r="R658" s="121"/>
      <c r="S658" s="121"/>
      <c r="T658" s="121"/>
      <c r="U658" s="121"/>
    </row>
    <row r="659">
      <c r="A659" s="120"/>
      <c r="B659" s="123"/>
      <c r="C659" s="124"/>
      <c r="D659" s="122"/>
      <c r="E659" s="120"/>
      <c r="F659" s="122"/>
      <c r="G659" s="122"/>
      <c r="H659" s="122"/>
      <c r="I659" s="120"/>
      <c r="J659" s="120"/>
      <c r="K659" s="120"/>
      <c r="L659" s="120"/>
      <c r="M659" s="121"/>
      <c r="N659" s="121"/>
      <c r="O659" s="121"/>
      <c r="P659" s="121"/>
      <c r="Q659" s="121"/>
      <c r="R659" s="121"/>
      <c r="S659" s="121"/>
      <c r="T659" s="121"/>
      <c r="U659" s="121"/>
    </row>
    <row r="660">
      <c r="A660" s="120"/>
      <c r="B660" s="123"/>
      <c r="C660" s="124"/>
      <c r="D660" s="122"/>
      <c r="E660" s="120"/>
      <c r="F660" s="122"/>
      <c r="G660" s="122"/>
      <c r="H660" s="122"/>
      <c r="I660" s="120"/>
      <c r="J660" s="120"/>
      <c r="K660" s="120"/>
      <c r="L660" s="120"/>
      <c r="M660" s="121"/>
      <c r="N660" s="121"/>
      <c r="O660" s="121"/>
      <c r="P660" s="121"/>
      <c r="Q660" s="121"/>
      <c r="R660" s="121"/>
      <c r="S660" s="121"/>
      <c r="T660" s="121"/>
      <c r="U660" s="121"/>
    </row>
    <row r="661">
      <c r="A661" s="120"/>
      <c r="B661" s="123"/>
      <c r="C661" s="124"/>
      <c r="D661" s="122"/>
      <c r="E661" s="120"/>
      <c r="F661" s="122"/>
      <c r="G661" s="122"/>
      <c r="H661" s="122"/>
      <c r="I661" s="120"/>
      <c r="J661" s="120"/>
      <c r="K661" s="120"/>
      <c r="L661" s="120"/>
      <c r="M661" s="121"/>
      <c r="N661" s="121"/>
      <c r="O661" s="121"/>
      <c r="P661" s="121"/>
      <c r="Q661" s="121"/>
      <c r="R661" s="121"/>
      <c r="S661" s="121"/>
      <c r="T661" s="121"/>
      <c r="U661" s="121"/>
    </row>
    <row r="662">
      <c r="A662" s="120"/>
      <c r="B662" s="123"/>
      <c r="C662" s="124"/>
      <c r="D662" s="122"/>
      <c r="E662" s="120"/>
      <c r="F662" s="122"/>
      <c r="G662" s="122"/>
      <c r="H662" s="122"/>
      <c r="I662" s="120"/>
      <c r="J662" s="120"/>
      <c r="K662" s="120"/>
      <c r="L662" s="120"/>
      <c r="M662" s="121"/>
      <c r="N662" s="121"/>
      <c r="O662" s="121"/>
      <c r="P662" s="121"/>
      <c r="Q662" s="121"/>
      <c r="R662" s="121"/>
      <c r="S662" s="121"/>
      <c r="T662" s="121"/>
      <c r="U662" s="121"/>
    </row>
    <row r="663">
      <c r="A663" s="120"/>
      <c r="B663" s="123"/>
      <c r="C663" s="124"/>
      <c r="D663" s="122"/>
      <c r="E663" s="120"/>
      <c r="F663" s="122"/>
      <c r="G663" s="122"/>
      <c r="H663" s="122"/>
      <c r="I663" s="120"/>
      <c r="J663" s="120"/>
      <c r="K663" s="120"/>
      <c r="L663" s="120"/>
      <c r="M663" s="121"/>
      <c r="N663" s="121"/>
      <c r="O663" s="121"/>
      <c r="P663" s="121"/>
      <c r="Q663" s="121"/>
      <c r="R663" s="121"/>
      <c r="S663" s="121"/>
      <c r="T663" s="121"/>
      <c r="U663" s="121"/>
    </row>
    <row r="664">
      <c r="A664" s="120"/>
      <c r="B664" s="123"/>
      <c r="C664" s="124"/>
      <c r="D664" s="122"/>
      <c r="E664" s="120"/>
      <c r="F664" s="122"/>
      <c r="G664" s="122"/>
      <c r="H664" s="122"/>
      <c r="I664" s="120"/>
      <c r="J664" s="120"/>
      <c r="K664" s="120"/>
      <c r="L664" s="120"/>
      <c r="M664" s="121"/>
      <c r="N664" s="121"/>
      <c r="O664" s="121"/>
      <c r="P664" s="121"/>
      <c r="Q664" s="121"/>
      <c r="R664" s="121"/>
      <c r="S664" s="121"/>
      <c r="T664" s="121"/>
      <c r="U664" s="121"/>
    </row>
    <row r="665">
      <c r="A665" s="120"/>
      <c r="B665" s="123"/>
      <c r="C665" s="124"/>
      <c r="D665" s="122"/>
      <c r="E665" s="120"/>
      <c r="F665" s="122"/>
      <c r="G665" s="122"/>
      <c r="H665" s="122"/>
      <c r="I665" s="120"/>
      <c r="J665" s="120"/>
      <c r="K665" s="120"/>
      <c r="L665" s="120"/>
      <c r="M665" s="121"/>
      <c r="N665" s="121"/>
      <c r="O665" s="121"/>
      <c r="P665" s="121"/>
      <c r="Q665" s="121"/>
      <c r="R665" s="121"/>
      <c r="S665" s="121"/>
      <c r="T665" s="121"/>
      <c r="U665" s="121"/>
    </row>
    <row r="666">
      <c r="A666" s="120"/>
      <c r="B666" s="123"/>
      <c r="C666" s="124"/>
      <c r="D666" s="122"/>
      <c r="E666" s="120"/>
      <c r="F666" s="122"/>
      <c r="G666" s="122"/>
      <c r="H666" s="122"/>
      <c r="I666" s="120"/>
      <c r="J666" s="120"/>
      <c r="K666" s="120"/>
      <c r="L666" s="120"/>
      <c r="M666" s="121"/>
      <c r="N666" s="121"/>
      <c r="O666" s="121"/>
      <c r="P666" s="121"/>
      <c r="Q666" s="121"/>
      <c r="R666" s="121"/>
      <c r="S666" s="121"/>
      <c r="T666" s="121"/>
      <c r="U666" s="121"/>
    </row>
    <row r="667">
      <c r="A667" s="120"/>
      <c r="B667" s="123"/>
      <c r="C667" s="124"/>
      <c r="D667" s="122"/>
      <c r="E667" s="120"/>
      <c r="F667" s="122"/>
      <c r="G667" s="122"/>
      <c r="H667" s="122"/>
      <c r="I667" s="120"/>
      <c r="J667" s="120"/>
      <c r="K667" s="120"/>
      <c r="L667" s="120"/>
      <c r="M667" s="121"/>
      <c r="N667" s="121"/>
      <c r="O667" s="121"/>
      <c r="P667" s="121"/>
      <c r="Q667" s="121"/>
      <c r="R667" s="121"/>
      <c r="S667" s="121"/>
      <c r="T667" s="121"/>
      <c r="U667" s="121"/>
    </row>
    <row r="668">
      <c r="A668" s="120"/>
      <c r="B668" s="123"/>
      <c r="C668" s="124"/>
      <c r="D668" s="122"/>
      <c r="E668" s="120"/>
      <c r="F668" s="122"/>
      <c r="G668" s="122"/>
      <c r="H668" s="122"/>
      <c r="I668" s="120"/>
      <c r="J668" s="120"/>
      <c r="K668" s="120"/>
      <c r="L668" s="120"/>
      <c r="M668" s="121"/>
      <c r="N668" s="121"/>
      <c r="O668" s="121"/>
      <c r="P668" s="121"/>
      <c r="Q668" s="121"/>
      <c r="R668" s="121"/>
      <c r="S668" s="121"/>
      <c r="T668" s="121"/>
      <c r="U668" s="121"/>
    </row>
    <row r="669">
      <c r="A669" s="120"/>
      <c r="B669" s="123"/>
      <c r="C669" s="124"/>
      <c r="D669" s="122"/>
      <c r="E669" s="120"/>
      <c r="F669" s="122"/>
      <c r="G669" s="122"/>
      <c r="H669" s="122"/>
      <c r="I669" s="120"/>
      <c r="J669" s="120"/>
      <c r="K669" s="120"/>
      <c r="L669" s="120"/>
      <c r="M669" s="121"/>
      <c r="N669" s="121"/>
      <c r="O669" s="121"/>
      <c r="P669" s="121"/>
      <c r="Q669" s="121"/>
      <c r="R669" s="121"/>
      <c r="S669" s="121"/>
      <c r="T669" s="121"/>
      <c r="U669" s="121"/>
    </row>
    <row r="670">
      <c r="A670" s="120"/>
      <c r="B670" s="123"/>
      <c r="C670" s="124"/>
      <c r="D670" s="122"/>
      <c r="E670" s="120"/>
      <c r="F670" s="122"/>
      <c r="G670" s="122"/>
      <c r="H670" s="122"/>
      <c r="I670" s="120"/>
      <c r="J670" s="120"/>
      <c r="K670" s="120"/>
      <c r="L670" s="120"/>
      <c r="M670" s="121"/>
      <c r="N670" s="121"/>
      <c r="O670" s="121"/>
      <c r="P670" s="121"/>
      <c r="Q670" s="121"/>
      <c r="R670" s="121"/>
      <c r="S670" s="121"/>
      <c r="T670" s="121"/>
      <c r="U670" s="121"/>
    </row>
    <row r="671">
      <c r="A671" s="120"/>
      <c r="B671" s="123"/>
      <c r="C671" s="124"/>
      <c r="D671" s="122"/>
      <c r="E671" s="120"/>
      <c r="F671" s="122"/>
      <c r="G671" s="122"/>
      <c r="H671" s="122"/>
      <c r="I671" s="120"/>
      <c r="J671" s="120"/>
      <c r="K671" s="120"/>
      <c r="L671" s="120"/>
      <c r="M671" s="121"/>
      <c r="N671" s="121"/>
      <c r="O671" s="121"/>
      <c r="P671" s="121"/>
      <c r="Q671" s="121"/>
      <c r="R671" s="121"/>
      <c r="S671" s="121"/>
      <c r="T671" s="121"/>
      <c r="U671" s="121"/>
    </row>
    <row r="672">
      <c r="A672" s="120"/>
      <c r="B672" s="123"/>
      <c r="C672" s="124"/>
      <c r="D672" s="122"/>
      <c r="E672" s="120"/>
      <c r="F672" s="122"/>
      <c r="G672" s="122"/>
      <c r="H672" s="122"/>
      <c r="I672" s="120"/>
      <c r="J672" s="120"/>
      <c r="K672" s="120"/>
      <c r="L672" s="120"/>
      <c r="M672" s="121"/>
      <c r="N672" s="121"/>
      <c r="O672" s="121"/>
      <c r="P672" s="121"/>
      <c r="Q672" s="121"/>
      <c r="R672" s="121"/>
      <c r="S672" s="121"/>
      <c r="T672" s="121"/>
      <c r="U672" s="121"/>
    </row>
    <row r="673">
      <c r="A673" s="120"/>
      <c r="B673" s="123"/>
      <c r="C673" s="124"/>
      <c r="D673" s="122"/>
      <c r="E673" s="120"/>
      <c r="F673" s="122"/>
      <c r="G673" s="122"/>
      <c r="H673" s="122"/>
      <c r="I673" s="120"/>
      <c r="J673" s="120"/>
      <c r="K673" s="120"/>
      <c r="L673" s="120"/>
      <c r="M673" s="121"/>
      <c r="N673" s="121"/>
      <c r="O673" s="121"/>
      <c r="P673" s="121"/>
      <c r="Q673" s="121"/>
      <c r="R673" s="121"/>
      <c r="S673" s="121"/>
      <c r="T673" s="121"/>
      <c r="U673" s="121"/>
    </row>
    <row r="674">
      <c r="A674" s="120"/>
      <c r="B674" s="123"/>
      <c r="C674" s="124"/>
      <c r="D674" s="125"/>
      <c r="E674" s="120"/>
      <c r="F674" s="125"/>
      <c r="G674" s="125"/>
      <c r="H674" s="125"/>
      <c r="I674" s="120"/>
      <c r="J674" s="120"/>
      <c r="K674" s="120"/>
      <c r="L674" s="120"/>
      <c r="M674" s="121"/>
      <c r="N674" s="121"/>
      <c r="O674" s="121"/>
      <c r="P674" s="121"/>
      <c r="Q674" s="121"/>
      <c r="R674" s="121"/>
      <c r="S674" s="121"/>
      <c r="T674" s="121"/>
      <c r="U674" s="121"/>
    </row>
    <row r="675">
      <c r="A675" s="120"/>
      <c r="B675" s="123"/>
      <c r="C675" s="124"/>
      <c r="D675" s="125"/>
      <c r="E675" s="120"/>
      <c r="F675" s="125"/>
      <c r="G675" s="125"/>
      <c r="H675" s="125"/>
      <c r="I675" s="120"/>
      <c r="J675" s="120"/>
      <c r="K675" s="120"/>
      <c r="L675" s="120"/>
      <c r="M675" s="121"/>
      <c r="N675" s="121"/>
      <c r="O675" s="121"/>
      <c r="P675" s="121"/>
      <c r="Q675" s="121"/>
      <c r="R675" s="121"/>
      <c r="S675" s="121"/>
      <c r="T675" s="121"/>
      <c r="U675" s="121"/>
    </row>
    <row r="676">
      <c r="A676" s="120"/>
      <c r="B676" s="123"/>
      <c r="C676" s="124"/>
      <c r="D676" s="125"/>
      <c r="E676" s="120"/>
      <c r="F676" s="125"/>
      <c r="G676" s="125"/>
      <c r="H676" s="125"/>
      <c r="I676" s="120"/>
      <c r="J676" s="120"/>
      <c r="K676" s="120"/>
      <c r="L676" s="120"/>
      <c r="M676" s="121"/>
      <c r="N676" s="121"/>
      <c r="O676" s="121"/>
      <c r="P676" s="121"/>
      <c r="Q676" s="121"/>
      <c r="R676" s="121"/>
      <c r="S676" s="121"/>
      <c r="T676" s="121"/>
      <c r="U676" s="121"/>
    </row>
    <row r="677">
      <c r="A677" s="120"/>
      <c r="B677" s="123"/>
      <c r="C677" s="124"/>
      <c r="D677" s="125"/>
      <c r="E677" s="120"/>
      <c r="F677" s="125"/>
      <c r="G677" s="125"/>
      <c r="H677" s="125"/>
      <c r="I677" s="120"/>
      <c r="J677" s="120"/>
      <c r="K677" s="120"/>
      <c r="L677" s="120"/>
      <c r="M677" s="121"/>
      <c r="N677" s="121"/>
      <c r="O677" s="121"/>
      <c r="P677" s="121"/>
      <c r="Q677" s="121"/>
      <c r="R677" s="121"/>
      <c r="S677" s="121"/>
      <c r="T677" s="121"/>
      <c r="U677" s="121"/>
    </row>
    <row r="678">
      <c r="A678" s="120"/>
      <c r="B678" s="123"/>
      <c r="C678" s="124"/>
      <c r="D678" s="125"/>
      <c r="E678" s="120"/>
      <c r="F678" s="125"/>
      <c r="G678" s="125"/>
      <c r="H678" s="125"/>
      <c r="I678" s="120"/>
      <c r="J678" s="120"/>
      <c r="K678" s="120"/>
      <c r="L678" s="120"/>
      <c r="M678" s="121"/>
      <c r="N678" s="121"/>
      <c r="O678" s="121"/>
      <c r="P678" s="121"/>
      <c r="Q678" s="121"/>
      <c r="R678" s="121"/>
      <c r="S678" s="121"/>
      <c r="T678" s="121"/>
      <c r="U678" s="121"/>
    </row>
    <row r="679">
      <c r="A679" s="120"/>
      <c r="B679" s="123"/>
      <c r="C679" s="124"/>
      <c r="D679" s="125"/>
      <c r="E679" s="120"/>
      <c r="F679" s="125"/>
      <c r="G679" s="125"/>
      <c r="H679" s="125"/>
      <c r="I679" s="120"/>
      <c r="J679" s="120"/>
      <c r="K679" s="120"/>
      <c r="L679" s="120"/>
      <c r="M679" s="121"/>
      <c r="N679" s="121"/>
      <c r="O679" s="121"/>
      <c r="P679" s="121"/>
      <c r="Q679" s="121"/>
      <c r="R679" s="121"/>
      <c r="S679" s="121"/>
      <c r="T679" s="121"/>
      <c r="U679" s="121"/>
    </row>
    <row r="680">
      <c r="A680" s="120"/>
      <c r="B680" s="123"/>
      <c r="C680" s="124"/>
      <c r="D680" s="125"/>
      <c r="E680" s="120"/>
      <c r="F680" s="125"/>
      <c r="G680" s="125"/>
      <c r="H680" s="125"/>
      <c r="I680" s="120"/>
      <c r="J680" s="120"/>
      <c r="K680" s="120"/>
      <c r="L680" s="120"/>
      <c r="M680" s="121"/>
      <c r="N680" s="121"/>
      <c r="O680" s="121"/>
      <c r="P680" s="121"/>
      <c r="Q680" s="121"/>
      <c r="R680" s="121"/>
      <c r="S680" s="121"/>
      <c r="T680" s="121"/>
      <c r="U680" s="121"/>
    </row>
    <row r="681">
      <c r="A681" s="120"/>
      <c r="B681" s="123"/>
      <c r="C681" s="124"/>
      <c r="D681" s="125"/>
      <c r="E681" s="120"/>
      <c r="F681" s="125"/>
      <c r="G681" s="125"/>
      <c r="H681" s="125"/>
      <c r="I681" s="120"/>
      <c r="J681" s="120"/>
      <c r="K681" s="120"/>
      <c r="L681" s="120"/>
      <c r="M681" s="121"/>
      <c r="N681" s="121"/>
      <c r="O681" s="121"/>
      <c r="P681" s="121"/>
      <c r="Q681" s="121"/>
      <c r="R681" s="121"/>
      <c r="S681" s="121"/>
      <c r="T681" s="121"/>
      <c r="U681" s="121"/>
    </row>
    <row r="682">
      <c r="A682" s="120"/>
      <c r="B682" s="123"/>
      <c r="C682" s="124"/>
      <c r="D682" s="125"/>
      <c r="E682" s="120"/>
      <c r="F682" s="125"/>
      <c r="G682" s="125"/>
      <c r="H682" s="125"/>
      <c r="I682" s="120"/>
      <c r="J682" s="120"/>
      <c r="K682" s="120"/>
      <c r="L682" s="120"/>
      <c r="M682" s="121"/>
      <c r="N682" s="121"/>
      <c r="O682" s="121"/>
      <c r="P682" s="121"/>
      <c r="Q682" s="121"/>
      <c r="R682" s="121"/>
      <c r="S682" s="121"/>
      <c r="T682" s="121"/>
      <c r="U682" s="121"/>
    </row>
    <row r="683">
      <c r="A683" s="120"/>
      <c r="B683" s="123"/>
      <c r="C683" s="124"/>
      <c r="D683" s="125"/>
      <c r="E683" s="120"/>
      <c r="F683" s="125"/>
      <c r="G683" s="125"/>
      <c r="H683" s="125"/>
      <c r="I683" s="120"/>
      <c r="J683" s="120"/>
      <c r="K683" s="120"/>
      <c r="L683" s="120"/>
      <c r="M683" s="121"/>
      <c r="N683" s="121"/>
      <c r="O683" s="121"/>
      <c r="P683" s="121"/>
      <c r="Q683" s="121"/>
      <c r="R683" s="121"/>
      <c r="S683" s="121"/>
      <c r="T683" s="121"/>
      <c r="U683" s="121"/>
    </row>
    <row r="684">
      <c r="A684" s="120"/>
      <c r="B684" s="123"/>
      <c r="C684" s="124"/>
      <c r="D684" s="125"/>
      <c r="E684" s="120"/>
      <c r="F684" s="125"/>
      <c r="G684" s="125"/>
      <c r="H684" s="125"/>
      <c r="I684" s="120"/>
      <c r="J684" s="120"/>
      <c r="K684" s="120"/>
      <c r="L684" s="120"/>
      <c r="M684" s="121"/>
      <c r="N684" s="121"/>
      <c r="O684" s="121"/>
      <c r="P684" s="121"/>
      <c r="Q684" s="121"/>
      <c r="R684" s="121"/>
      <c r="S684" s="121"/>
      <c r="T684" s="121"/>
      <c r="U684" s="121"/>
    </row>
    <row r="685">
      <c r="A685" s="120"/>
      <c r="B685" s="123"/>
      <c r="C685" s="124"/>
      <c r="D685" s="125"/>
      <c r="E685" s="120"/>
      <c r="F685" s="125"/>
      <c r="G685" s="125"/>
      <c r="H685" s="125"/>
      <c r="I685" s="120"/>
      <c r="J685" s="120"/>
      <c r="K685" s="120"/>
      <c r="L685" s="120"/>
      <c r="M685" s="121"/>
      <c r="N685" s="121"/>
      <c r="O685" s="121"/>
      <c r="P685" s="121"/>
      <c r="Q685" s="121"/>
      <c r="R685" s="121"/>
      <c r="S685" s="121"/>
      <c r="T685" s="121"/>
      <c r="U685" s="121"/>
    </row>
    <row r="686">
      <c r="A686" s="120"/>
      <c r="B686" s="123"/>
      <c r="C686" s="124"/>
      <c r="D686" s="125"/>
      <c r="E686" s="120"/>
      <c r="F686" s="125"/>
      <c r="G686" s="125"/>
      <c r="H686" s="125"/>
      <c r="I686" s="120"/>
      <c r="J686" s="120"/>
      <c r="K686" s="120"/>
      <c r="L686" s="120"/>
      <c r="M686" s="121"/>
      <c r="N686" s="121"/>
      <c r="O686" s="121"/>
      <c r="P686" s="121"/>
      <c r="Q686" s="121"/>
      <c r="R686" s="121"/>
      <c r="S686" s="121"/>
      <c r="T686" s="121"/>
      <c r="U686" s="121"/>
    </row>
    <row r="687">
      <c r="A687" s="120"/>
      <c r="B687" s="123"/>
      <c r="C687" s="124"/>
      <c r="D687" s="125"/>
      <c r="E687" s="120"/>
      <c r="F687" s="125"/>
      <c r="G687" s="125"/>
      <c r="H687" s="125"/>
      <c r="I687" s="120"/>
      <c r="J687" s="120"/>
      <c r="K687" s="120"/>
      <c r="L687" s="120"/>
      <c r="M687" s="121"/>
      <c r="N687" s="121"/>
      <c r="O687" s="121"/>
      <c r="P687" s="121"/>
      <c r="Q687" s="121"/>
      <c r="R687" s="121"/>
      <c r="S687" s="121"/>
      <c r="T687" s="121"/>
      <c r="U687" s="121"/>
    </row>
    <row r="688">
      <c r="A688" s="120"/>
      <c r="B688" s="123"/>
      <c r="C688" s="124"/>
      <c r="D688" s="125"/>
      <c r="E688" s="120"/>
      <c r="F688" s="125"/>
      <c r="G688" s="125"/>
      <c r="H688" s="125"/>
      <c r="I688" s="120"/>
      <c r="J688" s="120"/>
      <c r="K688" s="120"/>
      <c r="L688" s="120"/>
      <c r="M688" s="121"/>
      <c r="N688" s="121"/>
      <c r="O688" s="121"/>
      <c r="P688" s="121"/>
      <c r="Q688" s="121"/>
      <c r="R688" s="121"/>
      <c r="S688" s="121"/>
      <c r="T688" s="121"/>
      <c r="U688" s="121"/>
    </row>
    <row r="689">
      <c r="A689" s="120"/>
      <c r="B689" s="123"/>
      <c r="C689" s="124"/>
      <c r="D689" s="125"/>
      <c r="E689" s="120"/>
      <c r="F689" s="125"/>
      <c r="G689" s="125"/>
      <c r="H689" s="125"/>
      <c r="I689" s="120"/>
      <c r="J689" s="120"/>
      <c r="K689" s="120"/>
      <c r="L689" s="120"/>
      <c r="M689" s="121"/>
      <c r="N689" s="121"/>
      <c r="O689" s="121"/>
      <c r="P689" s="121"/>
      <c r="Q689" s="121"/>
      <c r="R689" s="121"/>
      <c r="S689" s="121"/>
      <c r="T689" s="121"/>
      <c r="U689" s="121"/>
    </row>
    <row r="690">
      <c r="A690" s="120"/>
      <c r="B690" s="123"/>
      <c r="C690" s="124"/>
      <c r="D690" s="125"/>
      <c r="E690" s="120"/>
      <c r="F690" s="125"/>
      <c r="G690" s="125"/>
      <c r="H690" s="125"/>
      <c r="I690" s="120"/>
      <c r="J690" s="120"/>
      <c r="K690" s="120"/>
      <c r="L690" s="120"/>
      <c r="M690" s="121"/>
      <c r="N690" s="121"/>
      <c r="O690" s="121"/>
      <c r="P690" s="121"/>
      <c r="Q690" s="121"/>
      <c r="R690" s="121"/>
      <c r="S690" s="121"/>
      <c r="T690" s="121"/>
      <c r="U690" s="121"/>
    </row>
    <row r="691">
      <c r="A691" s="120"/>
      <c r="B691" s="123"/>
      <c r="C691" s="124"/>
      <c r="D691" s="125"/>
      <c r="E691" s="120"/>
      <c r="F691" s="125"/>
      <c r="G691" s="125"/>
      <c r="H691" s="125"/>
      <c r="I691" s="120"/>
      <c r="J691" s="120"/>
      <c r="K691" s="120"/>
      <c r="L691" s="120"/>
      <c r="M691" s="121"/>
      <c r="N691" s="121"/>
      <c r="O691" s="121"/>
      <c r="P691" s="121"/>
      <c r="Q691" s="121"/>
      <c r="R691" s="121"/>
      <c r="S691" s="121"/>
      <c r="T691" s="121"/>
      <c r="U691" s="121"/>
    </row>
    <row r="692">
      <c r="A692" s="120"/>
      <c r="B692" s="123"/>
      <c r="C692" s="124"/>
      <c r="D692" s="125"/>
      <c r="E692" s="120"/>
      <c r="F692" s="125"/>
      <c r="G692" s="125"/>
      <c r="H692" s="125"/>
      <c r="I692" s="120"/>
      <c r="J692" s="120"/>
      <c r="K692" s="120"/>
      <c r="L692" s="120"/>
      <c r="M692" s="121"/>
      <c r="N692" s="121"/>
      <c r="O692" s="121"/>
      <c r="P692" s="121"/>
      <c r="Q692" s="121"/>
      <c r="R692" s="121"/>
      <c r="S692" s="121"/>
      <c r="T692" s="121"/>
      <c r="U692" s="121"/>
    </row>
    <row r="693">
      <c r="A693" s="120"/>
      <c r="B693" s="123"/>
      <c r="C693" s="124"/>
      <c r="D693" s="125"/>
      <c r="E693" s="120"/>
      <c r="F693" s="125"/>
      <c r="G693" s="125"/>
      <c r="H693" s="125"/>
      <c r="I693" s="120"/>
      <c r="J693" s="120"/>
      <c r="K693" s="120"/>
      <c r="L693" s="120"/>
      <c r="M693" s="121"/>
      <c r="N693" s="121"/>
      <c r="O693" s="121"/>
      <c r="P693" s="121"/>
      <c r="Q693" s="121"/>
      <c r="R693" s="121"/>
      <c r="S693" s="121"/>
      <c r="T693" s="121"/>
      <c r="U693" s="121"/>
    </row>
    <row r="694">
      <c r="A694" s="120"/>
      <c r="B694" s="123"/>
      <c r="C694" s="124"/>
      <c r="D694" s="125"/>
      <c r="E694" s="120"/>
      <c r="F694" s="125"/>
      <c r="G694" s="125"/>
      <c r="H694" s="125"/>
      <c r="I694" s="120"/>
      <c r="J694" s="120"/>
      <c r="K694" s="120"/>
      <c r="L694" s="120"/>
      <c r="M694" s="121"/>
      <c r="N694" s="121"/>
      <c r="O694" s="121"/>
      <c r="P694" s="121"/>
      <c r="Q694" s="121"/>
      <c r="R694" s="121"/>
      <c r="S694" s="121"/>
      <c r="T694" s="121"/>
      <c r="U694" s="121"/>
    </row>
    <row r="695">
      <c r="A695" s="120"/>
      <c r="B695" s="123"/>
      <c r="C695" s="124"/>
      <c r="D695" s="125"/>
      <c r="E695" s="120"/>
      <c r="F695" s="125"/>
      <c r="G695" s="125"/>
      <c r="H695" s="125"/>
      <c r="I695" s="120"/>
      <c r="J695" s="120"/>
      <c r="K695" s="120"/>
      <c r="L695" s="120"/>
      <c r="M695" s="121"/>
      <c r="N695" s="121"/>
      <c r="O695" s="121"/>
      <c r="P695" s="121"/>
      <c r="Q695" s="121"/>
      <c r="R695" s="121"/>
      <c r="S695" s="121"/>
      <c r="T695" s="121"/>
      <c r="U695" s="121"/>
    </row>
    <row r="696">
      <c r="A696" s="120"/>
      <c r="B696" s="123"/>
      <c r="C696" s="124"/>
      <c r="D696" s="125"/>
      <c r="E696" s="120"/>
      <c r="F696" s="125"/>
      <c r="G696" s="125"/>
      <c r="H696" s="125"/>
      <c r="I696" s="120"/>
      <c r="J696" s="120"/>
      <c r="K696" s="120"/>
      <c r="L696" s="120"/>
      <c r="M696" s="121"/>
      <c r="N696" s="121"/>
      <c r="O696" s="121"/>
      <c r="P696" s="121"/>
      <c r="Q696" s="121"/>
      <c r="R696" s="121"/>
      <c r="S696" s="121"/>
      <c r="T696" s="121"/>
      <c r="U696" s="121"/>
    </row>
    <row r="697">
      <c r="A697" s="120"/>
      <c r="B697" s="123"/>
      <c r="C697" s="124"/>
      <c r="D697" s="125"/>
      <c r="E697" s="120"/>
      <c r="F697" s="125"/>
      <c r="G697" s="125"/>
      <c r="H697" s="125"/>
      <c r="I697" s="120"/>
      <c r="J697" s="120"/>
      <c r="K697" s="120"/>
      <c r="L697" s="120"/>
      <c r="M697" s="121"/>
      <c r="N697" s="121"/>
      <c r="O697" s="121"/>
      <c r="P697" s="121"/>
      <c r="Q697" s="121"/>
      <c r="R697" s="121"/>
      <c r="S697" s="121"/>
      <c r="T697" s="121"/>
      <c r="U697" s="121"/>
    </row>
    <row r="698">
      <c r="A698" s="120"/>
      <c r="B698" s="123"/>
      <c r="C698" s="124"/>
      <c r="D698" s="125"/>
      <c r="E698" s="120"/>
      <c r="F698" s="125"/>
      <c r="G698" s="125"/>
      <c r="H698" s="125"/>
      <c r="I698" s="120"/>
      <c r="J698" s="120"/>
      <c r="K698" s="120"/>
      <c r="L698" s="120"/>
      <c r="M698" s="121"/>
      <c r="N698" s="121"/>
      <c r="O698" s="121"/>
      <c r="P698" s="121"/>
      <c r="Q698" s="121"/>
      <c r="R698" s="121"/>
      <c r="S698" s="121"/>
      <c r="T698" s="121"/>
      <c r="U698" s="121"/>
    </row>
    <row r="699">
      <c r="A699" s="120"/>
      <c r="B699" s="123"/>
      <c r="C699" s="124"/>
      <c r="D699" s="125"/>
      <c r="E699" s="120"/>
      <c r="F699" s="125"/>
      <c r="G699" s="125"/>
      <c r="H699" s="125"/>
      <c r="I699" s="120"/>
      <c r="J699" s="120"/>
      <c r="K699" s="120"/>
      <c r="L699" s="120"/>
      <c r="M699" s="121"/>
      <c r="N699" s="121"/>
      <c r="O699" s="121"/>
      <c r="P699" s="121"/>
      <c r="Q699" s="121"/>
      <c r="R699" s="121"/>
      <c r="S699" s="121"/>
      <c r="T699" s="121"/>
      <c r="U699" s="121"/>
    </row>
    <row r="700">
      <c r="A700" s="120"/>
      <c r="B700" s="123"/>
      <c r="C700" s="124"/>
      <c r="D700" s="125"/>
      <c r="E700" s="120"/>
      <c r="F700" s="125"/>
      <c r="G700" s="125"/>
      <c r="H700" s="125"/>
      <c r="I700" s="120"/>
      <c r="J700" s="120"/>
      <c r="K700" s="120"/>
      <c r="L700" s="120"/>
      <c r="M700" s="121"/>
      <c r="N700" s="121"/>
      <c r="O700" s="121"/>
      <c r="P700" s="121"/>
      <c r="Q700" s="121"/>
      <c r="R700" s="121"/>
      <c r="S700" s="121"/>
      <c r="T700" s="121"/>
      <c r="U700" s="121"/>
    </row>
    <row r="701">
      <c r="A701" s="120"/>
      <c r="B701" s="123"/>
      <c r="C701" s="124"/>
      <c r="D701" s="125"/>
      <c r="E701" s="120"/>
      <c r="F701" s="125"/>
      <c r="G701" s="125"/>
      <c r="H701" s="125"/>
      <c r="I701" s="120"/>
      <c r="J701" s="120"/>
      <c r="K701" s="120"/>
      <c r="L701" s="120"/>
      <c r="M701" s="121"/>
      <c r="N701" s="121"/>
      <c r="O701" s="121"/>
      <c r="P701" s="121"/>
      <c r="Q701" s="121"/>
      <c r="R701" s="121"/>
      <c r="S701" s="121"/>
      <c r="T701" s="121"/>
      <c r="U701" s="121"/>
    </row>
    <row r="702">
      <c r="A702" s="120"/>
      <c r="B702" s="123"/>
      <c r="C702" s="124"/>
      <c r="D702" s="125"/>
      <c r="E702" s="120"/>
      <c r="F702" s="125"/>
      <c r="G702" s="125"/>
      <c r="H702" s="125"/>
      <c r="I702" s="120"/>
      <c r="J702" s="120"/>
      <c r="K702" s="120"/>
      <c r="L702" s="120"/>
      <c r="M702" s="121"/>
      <c r="N702" s="121"/>
      <c r="O702" s="121"/>
      <c r="P702" s="121"/>
      <c r="Q702" s="121"/>
      <c r="R702" s="121"/>
      <c r="S702" s="121"/>
      <c r="T702" s="121"/>
      <c r="U702" s="121"/>
    </row>
    <row r="703">
      <c r="A703" s="120"/>
      <c r="B703" s="123"/>
      <c r="C703" s="124"/>
      <c r="D703" s="125"/>
      <c r="E703" s="120"/>
      <c r="F703" s="125"/>
      <c r="G703" s="125"/>
      <c r="H703" s="125"/>
      <c r="I703" s="120"/>
      <c r="J703" s="120"/>
      <c r="K703" s="120"/>
      <c r="L703" s="120"/>
      <c r="M703" s="121"/>
      <c r="N703" s="121"/>
      <c r="O703" s="121"/>
      <c r="P703" s="121"/>
      <c r="Q703" s="121"/>
      <c r="R703" s="121"/>
      <c r="S703" s="121"/>
      <c r="T703" s="121"/>
      <c r="U703" s="121"/>
    </row>
    <row r="704">
      <c r="A704" s="120"/>
      <c r="B704" s="123"/>
      <c r="C704" s="124"/>
      <c r="D704" s="125"/>
      <c r="E704" s="120"/>
      <c r="F704" s="125"/>
      <c r="G704" s="125"/>
      <c r="H704" s="125"/>
      <c r="I704" s="120"/>
      <c r="J704" s="120"/>
      <c r="K704" s="120"/>
      <c r="L704" s="120"/>
      <c r="M704" s="121"/>
      <c r="N704" s="121"/>
      <c r="O704" s="121"/>
      <c r="P704" s="121"/>
      <c r="Q704" s="121"/>
      <c r="R704" s="121"/>
      <c r="S704" s="121"/>
      <c r="T704" s="121"/>
      <c r="U704" s="121"/>
    </row>
    <row r="705">
      <c r="A705" s="120"/>
      <c r="B705" s="123"/>
      <c r="C705" s="124"/>
      <c r="D705" s="125"/>
      <c r="E705" s="120"/>
      <c r="F705" s="125"/>
      <c r="G705" s="125"/>
      <c r="H705" s="125"/>
      <c r="I705" s="120"/>
      <c r="J705" s="120"/>
      <c r="K705" s="120"/>
      <c r="L705" s="120"/>
      <c r="M705" s="121"/>
      <c r="N705" s="121"/>
      <c r="O705" s="121"/>
      <c r="P705" s="121"/>
      <c r="Q705" s="121"/>
      <c r="R705" s="121"/>
      <c r="S705" s="121"/>
      <c r="T705" s="121"/>
      <c r="U705" s="121"/>
    </row>
    <row r="706">
      <c r="A706" s="120"/>
      <c r="B706" s="123"/>
      <c r="C706" s="124"/>
      <c r="D706" s="125"/>
      <c r="E706" s="120"/>
      <c r="F706" s="125"/>
      <c r="G706" s="125"/>
      <c r="H706" s="125"/>
      <c r="I706" s="120"/>
      <c r="J706" s="120"/>
      <c r="K706" s="120"/>
      <c r="L706" s="120"/>
      <c r="M706" s="121"/>
      <c r="N706" s="121"/>
      <c r="O706" s="121"/>
      <c r="P706" s="121"/>
      <c r="Q706" s="121"/>
      <c r="R706" s="121"/>
      <c r="S706" s="121"/>
      <c r="T706" s="121"/>
      <c r="U706" s="121"/>
    </row>
    <row r="707">
      <c r="A707" s="120"/>
      <c r="B707" s="123"/>
      <c r="C707" s="124"/>
      <c r="D707" s="125"/>
      <c r="E707" s="120"/>
      <c r="F707" s="125"/>
      <c r="G707" s="125"/>
      <c r="H707" s="125"/>
      <c r="I707" s="120"/>
      <c r="J707" s="120"/>
      <c r="K707" s="120"/>
      <c r="L707" s="120"/>
      <c r="M707" s="121"/>
      <c r="N707" s="121"/>
      <c r="O707" s="121"/>
      <c r="P707" s="121"/>
      <c r="Q707" s="121"/>
      <c r="R707" s="121"/>
      <c r="S707" s="121"/>
      <c r="T707" s="121"/>
      <c r="U707" s="121"/>
    </row>
    <row r="708">
      <c r="A708" s="120"/>
      <c r="B708" s="123"/>
      <c r="C708" s="124"/>
      <c r="D708" s="125"/>
      <c r="E708" s="120"/>
      <c r="F708" s="125"/>
      <c r="G708" s="125"/>
      <c r="H708" s="125"/>
      <c r="I708" s="120"/>
      <c r="J708" s="120"/>
      <c r="K708" s="120"/>
      <c r="L708" s="120"/>
      <c r="M708" s="121"/>
      <c r="N708" s="121"/>
      <c r="O708" s="121"/>
      <c r="P708" s="121"/>
      <c r="Q708" s="121"/>
      <c r="R708" s="121"/>
      <c r="S708" s="121"/>
      <c r="T708" s="121"/>
      <c r="U708" s="121"/>
    </row>
    <row r="709">
      <c r="A709" s="120"/>
      <c r="B709" s="123"/>
      <c r="C709" s="124"/>
      <c r="D709" s="125"/>
      <c r="E709" s="120"/>
      <c r="F709" s="125"/>
      <c r="G709" s="125"/>
      <c r="H709" s="125"/>
      <c r="I709" s="120"/>
      <c r="J709" s="120"/>
      <c r="K709" s="120"/>
      <c r="L709" s="120"/>
      <c r="M709" s="121"/>
      <c r="N709" s="121"/>
      <c r="O709" s="121"/>
      <c r="P709" s="121"/>
      <c r="Q709" s="121"/>
      <c r="R709" s="121"/>
      <c r="S709" s="121"/>
      <c r="T709" s="121"/>
      <c r="U709" s="121"/>
    </row>
    <row r="710">
      <c r="A710" s="120"/>
      <c r="B710" s="123"/>
      <c r="C710" s="124"/>
      <c r="D710" s="125"/>
      <c r="E710" s="120"/>
      <c r="F710" s="125"/>
      <c r="G710" s="125"/>
      <c r="H710" s="125"/>
      <c r="I710" s="120"/>
      <c r="J710" s="120"/>
      <c r="K710" s="120"/>
      <c r="L710" s="120"/>
      <c r="M710" s="121"/>
      <c r="N710" s="121"/>
      <c r="O710" s="121"/>
      <c r="P710" s="121"/>
      <c r="Q710" s="121"/>
      <c r="R710" s="121"/>
      <c r="S710" s="121"/>
      <c r="T710" s="121"/>
      <c r="U710" s="121"/>
    </row>
    <row r="711">
      <c r="A711" s="120"/>
      <c r="B711" s="123"/>
      <c r="C711" s="124"/>
      <c r="D711" s="125"/>
      <c r="E711" s="120"/>
      <c r="F711" s="125"/>
      <c r="G711" s="125"/>
      <c r="H711" s="125"/>
      <c r="I711" s="120"/>
      <c r="J711" s="120"/>
      <c r="K711" s="120"/>
      <c r="L711" s="120"/>
      <c r="M711" s="121"/>
      <c r="N711" s="121"/>
      <c r="O711" s="121"/>
      <c r="P711" s="121"/>
      <c r="Q711" s="121"/>
      <c r="R711" s="121"/>
      <c r="S711" s="121"/>
      <c r="T711" s="121"/>
      <c r="U711" s="121"/>
    </row>
    <row r="712">
      <c r="A712" s="120"/>
      <c r="B712" s="123"/>
      <c r="C712" s="124"/>
      <c r="D712" s="125"/>
      <c r="E712" s="120"/>
      <c r="F712" s="125"/>
      <c r="G712" s="125"/>
      <c r="H712" s="125"/>
      <c r="I712" s="120"/>
      <c r="J712" s="120"/>
      <c r="K712" s="120"/>
      <c r="L712" s="120"/>
      <c r="M712" s="121"/>
      <c r="N712" s="121"/>
      <c r="O712" s="121"/>
      <c r="P712" s="121"/>
      <c r="Q712" s="121"/>
      <c r="R712" s="121"/>
      <c r="S712" s="121"/>
      <c r="T712" s="121"/>
      <c r="U712" s="121"/>
    </row>
    <row r="713">
      <c r="A713" s="120"/>
      <c r="B713" s="123"/>
      <c r="C713" s="124"/>
      <c r="D713" s="125"/>
      <c r="E713" s="120"/>
      <c r="F713" s="125"/>
      <c r="G713" s="125"/>
      <c r="H713" s="125"/>
      <c r="I713" s="120"/>
      <c r="J713" s="120"/>
      <c r="K713" s="120"/>
      <c r="L713" s="120"/>
      <c r="M713" s="121"/>
      <c r="N713" s="121"/>
      <c r="O713" s="121"/>
      <c r="P713" s="121"/>
      <c r="Q713" s="121"/>
      <c r="R713" s="121"/>
      <c r="S713" s="121"/>
      <c r="T713" s="121"/>
      <c r="U713" s="121"/>
    </row>
    <row r="714">
      <c r="A714" s="120"/>
      <c r="B714" s="123"/>
      <c r="C714" s="124"/>
      <c r="D714" s="125"/>
      <c r="E714" s="120"/>
      <c r="F714" s="125"/>
      <c r="G714" s="125"/>
      <c r="H714" s="125"/>
      <c r="I714" s="120"/>
      <c r="J714" s="120"/>
      <c r="K714" s="120"/>
      <c r="L714" s="120"/>
      <c r="M714" s="121"/>
      <c r="N714" s="121"/>
      <c r="O714" s="121"/>
      <c r="P714" s="121"/>
      <c r="Q714" s="121"/>
      <c r="R714" s="121"/>
      <c r="S714" s="121"/>
      <c r="T714" s="121"/>
      <c r="U714" s="121"/>
    </row>
    <row r="715">
      <c r="A715" s="120"/>
      <c r="B715" s="123"/>
      <c r="C715" s="124"/>
      <c r="D715" s="125"/>
      <c r="E715" s="120"/>
      <c r="F715" s="125"/>
      <c r="G715" s="125"/>
      <c r="H715" s="125"/>
      <c r="I715" s="120"/>
      <c r="J715" s="120"/>
      <c r="K715" s="120"/>
      <c r="L715" s="120"/>
      <c r="M715" s="121"/>
      <c r="N715" s="121"/>
      <c r="O715" s="121"/>
      <c r="P715" s="121"/>
      <c r="Q715" s="121"/>
      <c r="R715" s="121"/>
      <c r="S715" s="121"/>
      <c r="T715" s="121"/>
      <c r="U715" s="121"/>
    </row>
    <row r="716">
      <c r="A716" s="120"/>
      <c r="B716" s="123"/>
      <c r="C716" s="124"/>
      <c r="D716" s="125"/>
      <c r="E716" s="120"/>
      <c r="F716" s="125"/>
      <c r="G716" s="125"/>
      <c r="H716" s="125"/>
      <c r="I716" s="120"/>
      <c r="J716" s="120"/>
      <c r="K716" s="120"/>
      <c r="L716" s="120"/>
      <c r="M716" s="121"/>
      <c r="N716" s="121"/>
      <c r="O716" s="121"/>
      <c r="P716" s="121"/>
      <c r="Q716" s="121"/>
      <c r="R716" s="121"/>
      <c r="S716" s="121"/>
      <c r="T716" s="121"/>
      <c r="U716" s="121"/>
    </row>
    <row r="717">
      <c r="A717" s="120"/>
      <c r="B717" s="123"/>
      <c r="C717" s="124"/>
      <c r="D717" s="125"/>
      <c r="E717" s="120"/>
      <c r="F717" s="125"/>
      <c r="G717" s="125"/>
      <c r="H717" s="125"/>
      <c r="I717" s="120"/>
      <c r="J717" s="120"/>
      <c r="K717" s="120"/>
      <c r="L717" s="120"/>
      <c r="M717" s="121"/>
      <c r="N717" s="121"/>
      <c r="O717" s="121"/>
      <c r="P717" s="121"/>
      <c r="Q717" s="121"/>
      <c r="R717" s="121"/>
      <c r="S717" s="121"/>
      <c r="T717" s="121"/>
      <c r="U717" s="121"/>
    </row>
    <row r="718">
      <c r="A718" s="120"/>
      <c r="B718" s="123"/>
      <c r="C718" s="124"/>
      <c r="D718" s="122"/>
      <c r="E718" s="120"/>
      <c r="F718" s="122"/>
      <c r="G718" s="122"/>
      <c r="H718" s="122"/>
      <c r="I718" s="120"/>
      <c r="J718" s="120"/>
      <c r="K718" s="120"/>
      <c r="L718" s="120"/>
      <c r="M718" s="121"/>
      <c r="N718" s="121"/>
      <c r="O718" s="121"/>
      <c r="P718" s="121"/>
      <c r="Q718" s="121"/>
      <c r="R718" s="121"/>
      <c r="S718" s="121"/>
      <c r="T718" s="121"/>
      <c r="U718" s="121"/>
    </row>
    <row r="719">
      <c r="A719" s="120"/>
      <c r="B719" s="123"/>
      <c r="C719" s="124"/>
      <c r="D719" s="122"/>
      <c r="E719" s="120"/>
      <c r="F719" s="122"/>
      <c r="G719" s="122"/>
      <c r="H719" s="122"/>
      <c r="I719" s="120"/>
      <c r="J719" s="120"/>
      <c r="K719" s="120"/>
      <c r="L719" s="120"/>
      <c r="M719" s="121"/>
      <c r="N719" s="121"/>
      <c r="O719" s="121"/>
      <c r="P719" s="121"/>
      <c r="Q719" s="121"/>
      <c r="R719" s="121"/>
      <c r="S719" s="121"/>
      <c r="T719" s="121"/>
      <c r="U719" s="121"/>
    </row>
    <row r="720">
      <c r="A720" s="120"/>
      <c r="B720" s="123"/>
      <c r="C720" s="124"/>
      <c r="D720" s="122"/>
      <c r="E720" s="120"/>
      <c r="F720" s="122"/>
      <c r="G720" s="122"/>
      <c r="H720" s="122"/>
      <c r="I720" s="120"/>
      <c r="J720" s="120"/>
      <c r="K720" s="120"/>
      <c r="L720" s="120"/>
      <c r="M720" s="121"/>
      <c r="N720" s="121"/>
      <c r="O720" s="121"/>
      <c r="P720" s="121"/>
      <c r="Q720" s="121"/>
      <c r="R720" s="121"/>
      <c r="S720" s="121"/>
      <c r="T720" s="121"/>
      <c r="U720" s="121"/>
    </row>
    <row r="721">
      <c r="A721" s="120"/>
      <c r="B721" s="123"/>
      <c r="C721" s="124"/>
      <c r="D721" s="122"/>
      <c r="E721" s="120"/>
      <c r="F721" s="122"/>
      <c r="G721" s="122"/>
      <c r="H721" s="122"/>
      <c r="I721" s="120"/>
      <c r="J721" s="120"/>
      <c r="K721" s="120"/>
      <c r="L721" s="120"/>
      <c r="M721" s="121"/>
      <c r="N721" s="121"/>
      <c r="O721" s="121"/>
      <c r="P721" s="121"/>
      <c r="Q721" s="121"/>
      <c r="R721" s="121"/>
      <c r="S721" s="121"/>
      <c r="T721" s="121"/>
      <c r="U721" s="121"/>
    </row>
    <row r="722">
      <c r="A722" s="120"/>
      <c r="B722" s="123"/>
      <c r="C722" s="124"/>
      <c r="D722" s="122"/>
      <c r="E722" s="120"/>
      <c r="F722" s="122"/>
      <c r="G722" s="122"/>
      <c r="H722" s="122"/>
      <c r="I722" s="120"/>
      <c r="J722" s="120"/>
      <c r="K722" s="120"/>
      <c r="L722" s="120"/>
      <c r="M722" s="121"/>
      <c r="N722" s="121"/>
      <c r="O722" s="121"/>
      <c r="P722" s="121"/>
      <c r="Q722" s="121"/>
      <c r="R722" s="121"/>
      <c r="S722" s="121"/>
      <c r="T722" s="121"/>
      <c r="U722" s="121"/>
    </row>
    <row r="723">
      <c r="A723" s="120"/>
      <c r="B723" s="123"/>
      <c r="C723" s="124"/>
      <c r="D723" s="122"/>
      <c r="E723" s="120"/>
      <c r="F723" s="122"/>
      <c r="G723" s="122"/>
      <c r="H723" s="122"/>
      <c r="I723" s="120"/>
      <c r="J723" s="120"/>
      <c r="K723" s="120"/>
      <c r="L723" s="120"/>
      <c r="M723" s="121"/>
      <c r="N723" s="121"/>
      <c r="O723" s="121"/>
      <c r="P723" s="121"/>
      <c r="Q723" s="121"/>
      <c r="R723" s="121"/>
      <c r="S723" s="121"/>
      <c r="T723" s="121"/>
      <c r="U723" s="121"/>
    </row>
    <row r="724">
      <c r="A724" s="120"/>
      <c r="B724" s="123"/>
      <c r="C724" s="124"/>
      <c r="D724" s="122"/>
      <c r="E724" s="120"/>
      <c r="F724" s="122"/>
      <c r="G724" s="122"/>
      <c r="H724" s="122"/>
      <c r="I724" s="120"/>
      <c r="J724" s="120"/>
      <c r="K724" s="120"/>
      <c r="L724" s="120"/>
      <c r="M724" s="121"/>
      <c r="N724" s="121"/>
      <c r="O724" s="121"/>
      <c r="P724" s="121"/>
      <c r="Q724" s="121"/>
      <c r="R724" s="121"/>
      <c r="S724" s="121"/>
      <c r="T724" s="121"/>
      <c r="U724" s="121"/>
    </row>
    <row r="725">
      <c r="A725" s="120"/>
      <c r="B725" s="123"/>
      <c r="C725" s="124"/>
      <c r="D725" s="122"/>
      <c r="E725" s="120"/>
      <c r="F725" s="122"/>
      <c r="G725" s="122"/>
      <c r="H725" s="122"/>
      <c r="I725" s="120"/>
      <c r="J725" s="120"/>
      <c r="K725" s="120"/>
      <c r="L725" s="120"/>
      <c r="M725" s="121"/>
      <c r="N725" s="121"/>
      <c r="O725" s="121"/>
      <c r="P725" s="121"/>
      <c r="Q725" s="121"/>
      <c r="R725" s="121"/>
      <c r="S725" s="121"/>
      <c r="T725" s="121"/>
      <c r="U725" s="121"/>
    </row>
    <row r="726">
      <c r="A726" s="120"/>
      <c r="B726" s="123"/>
      <c r="C726" s="124"/>
      <c r="D726" s="122"/>
      <c r="E726" s="120"/>
      <c r="F726" s="122"/>
      <c r="G726" s="122"/>
      <c r="H726" s="122"/>
      <c r="I726" s="120"/>
      <c r="J726" s="120"/>
      <c r="K726" s="120"/>
      <c r="L726" s="120"/>
      <c r="M726" s="121"/>
      <c r="N726" s="121"/>
      <c r="O726" s="121"/>
      <c r="P726" s="121"/>
      <c r="Q726" s="121"/>
      <c r="R726" s="121"/>
      <c r="S726" s="121"/>
      <c r="T726" s="121"/>
      <c r="U726" s="121"/>
    </row>
    <row r="727">
      <c r="A727" s="120"/>
      <c r="B727" s="123"/>
      <c r="C727" s="124"/>
      <c r="D727" s="122"/>
      <c r="E727" s="120"/>
      <c r="F727" s="122"/>
      <c r="G727" s="122"/>
      <c r="H727" s="122"/>
      <c r="I727" s="120"/>
      <c r="J727" s="120"/>
      <c r="K727" s="120"/>
      <c r="L727" s="120"/>
      <c r="M727" s="121"/>
      <c r="N727" s="121"/>
      <c r="O727" s="121"/>
      <c r="P727" s="121"/>
      <c r="Q727" s="121"/>
      <c r="R727" s="121"/>
      <c r="S727" s="121"/>
      <c r="T727" s="121"/>
      <c r="U727" s="121"/>
    </row>
    <row r="728">
      <c r="A728" s="120"/>
      <c r="B728" s="123"/>
      <c r="C728" s="124"/>
      <c r="D728" s="122"/>
      <c r="E728" s="120"/>
      <c r="F728" s="122"/>
      <c r="G728" s="122"/>
      <c r="H728" s="122"/>
      <c r="I728" s="120"/>
      <c r="J728" s="120"/>
      <c r="K728" s="120"/>
      <c r="L728" s="120"/>
      <c r="M728" s="121"/>
      <c r="N728" s="121"/>
      <c r="O728" s="121"/>
      <c r="P728" s="121"/>
      <c r="Q728" s="121"/>
      <c r="R728" s="121"/>
      <c r="S728" s="121"/>
      <c r="T728" s="121"/>
      <c r="U728" s="121"/>
    </row>
    <row r="729">
      <c r="A729" s="120"/>
      <c r="B729" s="123"/>
      <c r="C729" s="124"/>
      <c r="D729" s="122"/>
      <c r="E729" s="120"/>
      <c r="F729" s="122"/>
      <c r="G729" s="122"/>
      <c r="H729" s="122"/>
      <c r="I729" s="120"/>
      <c r="J729" s="120"/>
      <c r="K729" s="120"/>
      <c r="L729" s="120"/>
      <c r="M729" s="121"/>
      <c r="N729" s="121"/>
      <c r="O729" s="121"/>
      <c r="P729" s="121"/>
      <c r="Q729" s="121"/>
      <c r="R729" s="121"/>
      <c r="S729" s="121"/>
      <c r="T729" s="121"/>
      <c r="U729" s="121"/>
    </row>
    <row r="730">
      <c r="A730" s="120"/>
      <c r="B730" s="123"/>
      <c r="C730" s="124"/>
      <c r="D730" s="122"/>
      <c r="E730" s="120"/>
      <c r="F730" s="122"/>
      <c r="G730" s="122"/>
      <c r="H730" s="122"/>
      <c r="I730" s="120"/>
      <c r="J730" s="120"/>
      <c r="K730" s="120"/>
      <c r="L730" s="120"/>
      <c r="M730" s="121"/>
      <c r="N730" s="121"/>
      <c r="O730" s="121"/>
      <c r="P730" s="121"/>
      <c r="Q730" s="121"/>
      <c r="R730" s="121"/>
      <c r="S730" s="121"/>
      <c r="T730" s="121"/>
      <c r="U730" s="121"/>
    </row>
    <row r="731">
      <c r="A731" s="120"/>
      <c r="B731" s="123"/>
      <c r="C731" s="124"/>
      <c r="D731" s="122"/>
      <c r="E731" s="120"/>
      <c r="F731" s="122"/>
      <c r="G731" s="122"/>
      <c r="H731" s="122"/>
      <c r="I731" s="120"/>
      <c r="J731" s="120"/>
      <c r="K731" s="120"/>
      <c r="L731" s="120"/>
      <c r="M731" s="121"/>
      <c r="N731" s="121"/>
      <c r="O731" s="121"/>
      <c r="P731" s="121"/>
      <c r="Q731" s="121"/>
      <c r="R731" s="121"/>
      <c r="S731" s="121"/>
      <c r="T731" s="121"/>
      <c r="U731" s="121"/>
    </row>
    <row r="732">
      <c r="A732" s="120"/>
      <c r="B732" s="123"/>
      <c r="C732" s="124"/>
      <c r="D732" s="122"/>
      <c r="E732" s="120"/>
      <c r="F732" s="122"/>
      <c r="G732" s="122"/>
      <c r="H732" s="122"/>
      <c r="I732" s="120"/>
      <c r="J732" s="120"/>
      <c r="K732" s="120"/>
      <c r="L732" s="120"/>
      <c r="M732" s="121"/>
      <c r="N732" s="121"/>
      <c r="O732" s="121"/>
      <c r="P732" s="121"/>
      <c r="Q732" s="121"/>
      <c r="R732" s="121"/>
      <c r="S732" s="121"/>
      <c r="T732" s="121"/>
      <c r="U732" s="121"/>
    </row>
    <row r="733">
      <c r="A733" s="120"/>
      <c r="B733" s="123"/>
      <c r="C733" s="124"/>
      <c r="D733" s="122"/>
      <c r="E733" s="120"/>
      <c r="F733" s="122"/>
      <c r="G733" s="122"/>
      <c r="H733" s="122"/>
      <c r="I733" s="120"/>
      <c r="J733" s="120"/>
      <c r="K733" s="120"/>
      <c r="L733" s="120"/>
      <c r="M733" s="121"/>
      <c r="N733" s="121"/>
      <c r="O733" s="121"/>
      <c r="P733" s="121"/>
      <c r="Q733" s="121"/>
      <c r="R733" s="121"/>
      <c r="S733" s="121"/>
      <c r="T733" s="121"/>
      <c r="U733" s="121"/>
    </row>
    <row r="734">
      <c r="A734" s="120"/>
      <c r="B734" s="123"/>
      <c r="C734" s="124"/>
      <c r="D734" s="122"/>
      <c r="E734" s="120"/>
      <c r="F734" s="122"/>
      <c r="G734" s="122"/>
      <c r="H734" s="122"/>
      <c r="I734" s="120"/>
      <c r="J734" s="120"/>
      <c r="K734" s="120"/>
      <c r="L734" s="120"/>
      <c r="M734" s="121"/>
      <c r="N734" s="121"/>
      <c r="O734" s="121"/>
      <c r="P734" s="121"/>
      <c r="Q734" s="121"/>
      <c r="R734" s="121"/>
      <c r="S734" s="121"/>
      <c r="T734" s="121"/>
      <c r="U734" s="121"/>
    </row>
    <row r="735">
      <c r="A735" s="120"/>
      <c r="B735" s="123"/>
      <c r="C735" s="124"/>
      <c r="D735" s="122"/>
      <c r="E735" s="120"/>
      <c r="F735" s="122"/>
      <c r="G735" s="122"/>
      <c r="H735" s="122"/>
      <c r="I735" s="120"/>
      <c r="J735" s="120"/>
      <c r="K735" s="120"/>
      <c r="L735" s="120"/>
      <c r="M735" s="121"/>
      <c r="N735" s="121"/>
      <c r="O735" s="121"/>
      <c r="P735" s="121"/>
      <c r="Q735" s="121"/>
      <c r="R735" s="121"/>
      <c r="S735" s="121"/>
      <c r="T735" s="121"/>
      <c r="U735" s="121"/>
    </row>
    <row r="736">
      <c r="A736" s="120"/>
      <c r="B736" s="123"/>
      <c r="C736" s="124"/>
      <c r="D736" s="125"/>
      <c r="E736" s="120"/>
      <c r="F736" s="125"/>
      <c r="G736" s="125"/>
      <c r="H736" s="125"/>
      <c r="I736" s="120"/>
      <c r="J736" s="120"/>
      <c r="K736" s="120"/>
      <c r="L736" s="120"/>
      <c r="M736" s="121"/>
      <c r="N736" s="121"/>
      <c r="O736" s="121"/>
      <c r="P736" s="121"/>
      <c r="Q736" s="121"/>
      <c r="R736" s="121"/>
      <c r="S736" s="121"/>
      <c r="T736" s="121"/>
      <c r="U736" s="121"/>
    </row>
    <row r="737">
      <c r="A737" s="120"/>
      <c r="B737" s="123"/>
      <c r="C737" s="124"/>
      <c r="D737" s="125"/>
      <c r="E737" s="120"/>
      <c r="F737" s="125"/>
      <c r="G737" s="125"/>
      <c r="H737" s="125"/>
      <c r="I737" s="120"/>
      <c r="J737" s="120"/>
      <c r="K737" s="120"/>
      <c r="L737" s="120"/>
      <c r="M737" s="121"/>
      <c r="N737" s="121"/>
      <c r="O737" s="121"/>
      <c r="P737" s="121"/>
      <c r="Q737" s="121"/>
      <c r="R737" s="121"/>
      <c r="S737" s="121"/>
      <c r="T737" s="121"/>
      <c r="U737" s="121"/>
    </row>
    <row r="738">
      <c r="A738" s="120"/>
      <c r="B738" s="123"/>
      <c r="C738" s="124"/>
      <c r="D738" s="125"/>
      <c r="E738" s="120"/>
      <c r="F738" s="125"/>
      <c r="G738" s="125"/>
      <c r="H738" s="125"/>
      <c r="I738" s="120"/>
      <c r="J738" s="120"/>
      <c r="K738" s="120"/>
      <c r="L738" s="120"/>
      <c r="M738" s="121"/>
      <c r="N738" s="121"/>
      <c r="O738" s="121"/>
      <c r="P738" s="121"/>
      <c r="Q738" s="121"/>
      <c r="R738" s="121"/>
      <c r="S738" s="121"/>
      <c r="T738" s="121"/>
      <c r="U738" s="121"/>
    </row>
    <row r="739">
      <c r="A739" s="120"/>
      <c r="B739" s="123"/>
      <c r="C739" s="124"/>
      <c r="D739" s="125"/>
      <c r="E739" s="120"/>
      <c r="F739" s="125"/>
      <c r="G739" s="125"/>
      <c r="H739" s="125"/>
      <c r="I739" s="120"/>
      <c r="J739" s="120"/>
      <c r="K739" s="120"/>
      <c r="L739" s="120"/>
      <c r="M739" s="121"/>
      <c r="N739" s="121"/>
      <c r="O739" s="121"/>
      <c r="P739" s="121"/>
      <c r="Q739" s="121"/>
      <c r="R739" s="121"/>
      <c r="S739" s="121"/>
      <c r="T739" s="121"/>
      <c r="U739" s="121"/>
    </row>
    <row r="740">
      <c r="A740" s="120"/>
      <c r="B740" s="123"/>
      <c r="C740" s="124"/>
      <c r="D740" s="125"/>
      <c r="E740" s="120"/>
      <c r="F740" s="125"/>
      <c r="G740" s="125"/>
      <c r="H740" s="125"/>
      <c r="I740" s="120"/>
      <c r="J740" s="120"/>
      <c r="K740" s="120"/>
      <c r="L740" s="120"/>
      <c r="M740" s="121"/>
      <c r="N740" s="121"/>
      <c r="O740" s="121"/>
      <c r="P740" s="121"/>
      <c r="Q740" s="121"/>
      <c r="R740" s="121"/>
      <c r="S740" s="121"/>
      <c r="T740" s="121"/>
      <c r="U740" s="121"/>
    </row>
    <row r="741">
      <c r="A741" s="120"/>
      <c r="B741" s="123"/>
      <c r="C741" s="124"/>
      <c r="D741" s="125"/>
      <c r="E741" s="120"/>
      <c r="F741" s="125"/>
      <c r="G741" s="125"/>
      <c r="H741" s="125"/>
      <c r="I741" s="120"/>
      <c r="J741" s="120"/>
      <c r="K741" s="120"/>
      <c r="L741" s="120"/>
      <c r="M741" s="121"/>
      <c r="N741" s="121"/>
      <c r="O741" s="121"/>
      <c r="P741" s="121"/>
      <c r="Q741" s="121"/>
      <c r="R741" s="121"/>
      <c r="S741" s="121"/>
      <c r="T741" s="121"/>
      <c r="U741" s="121"/>
    </row>
    <row r="742">
      <c r="A742" s="120"/>
      <c r="B742" s="123"/>
      <c r="C742" s="124"/>
      <c r="D742" s="125"/>
      <c r="E742" s="120"/>
      <c r="F742" s="125"/>
      <c r="G742" s="125"/>
      <c r="H742" s="125"/>
      <c r="I742" s="120"/>
      <c r="J742" s="120"/>
      <c r="K742" s="120"/>
      <c r="L742" s="120"/>
      <c r="M742" s="121"/>
      <c r="N742" s="121"/>
      <c r="O742" s="121"/>
      <c r="P742" s="121"/>
      <c r="Q742" s="121"/>
      <c r="R742" s="121"/>
      <c r="S742" s="121"/>
      <c r="T742" s="121"/>
      <c r="U742" s="121"/>
    </row>
    <row r="743">
      <c r="A743" s="120"/>
      <c r="B743" s="123"/>
      <c r="C743" s="124"/>
      <c r="D743" s="125"/>
      <c r="E743" s="120"/>
      <c r="F743" s="125"/>
      <c r="G743" s="125"/>
      <c r="H743" s="125"/>
      <c r="I743" s="120"/>
      <c r="J743" s="120"/>
      <c r="K743" s="120"/>
      <c r="L743" s="120"/>
      <c r="M743" s="121"/>
      <c r="N743" s="121"/>
      <c r="O743" s="121"/>
      <c r="P743" s="121"/>
      <c r="Q743" s="121"/>
      <c r="R743" s="121"/>
      <c r="S743" s="121"/>
      <c r="T743" s="121"/>
      <c r="U743" s="121"/>
    </row>
    <row r="744">
      <c r="A744" s="120"/>
      <c r="B744" s="123"/>
      <c r="C744" s="124"/>
      <c r="D744" s="125"/>
      <c r="E744" s="120"/>
      <c r="F744" s="125"/>
      <c r="G744" s="125"/>
      <c r="H744" s="125"/>
      <c r="I744" s="120"/>
      <c r="J744" s="120"/>
      <c r="K744" s="120"/>
      <c r="L744" s="120"/>
      <c r="M744" s="121"/>
      <c r="N744" s="121"/>
      <c r="O744" s="121"/>
      <c r="P744" s="121"/>
      <c r="Q744" s="121"/>
      <c r="R744" s="121"/>
      <c r="S744" s="121"/>
      <c r="T744" s="121"/>
      <c r="U744" s="121"/>
    </row>
    <row r="745">
      <c r="A745" s="120"/>
      <c r="B745" s="123"/>
      <c r="C745" s="124"/>
      <c r="D745" s="125"/>
      <c r="E745" s="120"/>
      <c r="F745" s="125"/>
      <c r="G745" s="125"/>
      <c r="H745" s="125"/>
      <c r="I745" s="120"/>
      <c r="J745" s="120"/>
      <c r="K745" s="120"/>
      <c r="L745" s="120"/>
      <c r="M745" s="121"/>
      <c r="N745" s="121"/>
      <c r="O745" s="121"/>
      <c r="P745" s="121"/>
      <c r="Q745" s="121"/>
      <c r="R745" s="121"/>
      <c r="S745" s="121"/>
      <c r="T745" s="121"/>
      <c r="U745" s="121"/>
    </row>
    <row r="746">
      <c r="A746" s="120"/>
      <c r="B746" s="123"/>
      <c r="C746" s="124"/>
      <c r="D746" s="125"/>
      <c r="E746" s="120"/>
      <c r="F746" s="125"/>
      <c r="G746" s="125"/>
      <c r="H746" s="125"/>
      <c r="I746" s="120"/>
      <c r="J746" s="120"/>
      <c r="K746" s="120"/>
      <c r="L746" s="120"/>
      <c r="M746" s="121"/>
      <c r="N746" s="121"/>
      <c r="O746" s="121"/>
      <c r="P746" s="121"/>
      <c r="Q746" s="121"/>
      <c r="R746" s="121"/>
      <c r="S746" s="121"/>
      <c r="T746" s="121"/>
      <c r="U746" s="121"/>
    </row>
    <row r="747">
      <c r="A747" s="120"/>
      <c r="B747" s="123"/>
      <c r="C747" s="124"/>
      <c r="D747" s="125"/>
      <c r="E747" s="120"/>
      <c r="F747" s="125"/>
      <c r="G747" s="125"/>
      <c r="H747" s="125"/>
      <c r="I747" s="120"/>
      <c r="J747" s="120"/>
      <c r="K747" s="120"/>
      <c r="L747" s="120"/>
      <c r="M747" s="121"/>
      <c r="N747" s="121"/>
      <c r="O747" s="121"/>
      <c r="P747" s="121"/>
      <c r="Q747" s="121"/>
      <c r="R747" s="121"/>
      <c r="S747" s="121"/>
      <c r="T747" s="121"/>
      <c r="U747" s="121"/>
    </row>
    <row r="748">
      <c r="A748" s="120"/>
      <c r="B748" s="123"/>
      <c r="C748" s="124"/>
      <c r="D748" s="125"/>
      <c r="E748" s="120"/>
      <c r="F748" s="125"/>
      <c r="G748" s="125"/>
      <c r="H748" s="125"/>
      <c r="I748" s="120"/>
      <c r="J748" s="120"/>
      <c r="K748" s="120"/>
      <c r="L748" s="120"/>
      <c r="M748" s="121"/>
      <c r="N748" s="121"/>
      <c r="O748" s="121"/>
      <c r="P748" s="121"/>
      <c r="Q748" s="121"/>
      <c r="R748" s="121"/>
      <c r="S748" s="121"/>
      <c r="T748" s="121"/>
      <c r="U748" s="121"/>
    </row>
    <row r="749">
      <c r="A749" s="120"/>
      <c r="B749" s="123"/>
      <c r="C749" s="124"/>
      <c r="D749" s="125"/>
      <c r="E749" s="120"/>
      <c r="F749" s="125"/>
      <c r="G749" s="125"/>
      <c r="H749" s="125"/>
      <c r="I749" s="120"/>
      <c r="J749" s="120"/>
      <c r="K749" s="120"/>
      <c r="L749" s="120"/>
      <c r="M749" s="121"/>
      <c r="N749" s="121"/>
      <c r="O749" s="121"/>
      <c r="P749" s="121"/>
      <c r="Q749" s="121"/>
      <c r="R749" s="121"/>
      <c r="S749" s="121"/>
      <c r="T749" s="121"/>
      <c r="U749" s="121"/>
    </row>
    <row r="750">
      <c r="A750" s="120"/>
      <c r="B750" s="123"/>
      <c r="C750" s="124"/>
      <c r="D750" s="125"/>
      <c r="E750" s="120"/>
      <c r="F750" s="125"/>
      <c r="G750" s="125"/>
      <c r="H750" s="125"/>
      <c r="I750" s="120"/>
      <c r="J750" s="120"/>
      <c r="K750" s="120"/>
      <c r="L750" s="120"/>
      <c r="M750" s="121"/>
      <c r="N750" s="121"/>
      <c r="O750" s="121"/>
      <c r="P750" s="121"/>
      <c r="Q750" s="121"/>
      <c r="R750" s="121"/>
      <c r="S750" s="121"/>
      <c r="T750" s="121"/>
      <c r="U750" s="121"/>
    </row>
    <row r="751">
      <c r="A751" s="120"/>
      <c r="B751" s="123"/>
      <c r="C751" s="124"/>
      <c r="D751" s="125"/>
      <c r="E751" s="120"/>
      <c r="F751" s="125"/>
      <c r="G751" s="125"/>
      <c r="H751" s="125"/>
      <c r="I751" s="120"/>
      <c r="J751" s="120"/>
      <c r="K751" s="120"/>
      <c r="L751" s="120"/>
      <c r="M751" s="121"/>
      <c r="N751" s="121"/>
      <c r="O751" s="121"/>
      <c r="P751" s="121"/>
      <c r="Q751" s="121"/>
      <c r="R751" s="121"/>
      <c r="S751" s="121"/>
      <c r="T751" s="121"/>
      <c r="U751" s="121"/>
    </row>
    <row r="752">
      <c r="A752" s="120"/>
      <c r="B752" s="123"/>
      <c r="C752" s="124"/>
      <c r="D752" s="125"/>
      <c r="E752" s="120"/>
      <c r="F752" s="125"/>
      <c r="G752" s="125"/>
      <c r="H752" s="125"/>
      <c r="I752" s="120"/>
      <c r="J752" s="120"/>
      <c r="K752" s="120"/>
      <c r="L752" s="120"/>
      <c r="M752" s="121"/>
      <c r="N752" s="121"/>
      <c r="O752" s="121"/>
      <c r="P752" s="121"/>
      <c r="Q752" s="121"/>
      <c r="R752" s="121"/>
      <c r="S752" s="121"/>
      <c r="T752" s="121"/>
      <c r="U752" s="121"/>
    </row>
    <row r="753">
      <c r="A753" s="120"/>
      <c r="B753" s="123"/>
      <c r="C753" s="124"/>
      <c r="D753" s="125"/>
      <c r="E753" s="120"/>
      <c r="F753" s="125"/>
      <c r="G753" s="125"/>
      <c r="H753" s="125"/>
      <c r="I753" s="120"/>
      <c r="J753" s="120"/>
      <c r="K753" s="120"/>
      <c r="L753" s="120"/>
      <c r="M753" s="121"/>
      <c r="N753" s="121"/>
      <c r="O753" s="121"/>
      <c r="P753" s="121"/>
      <c r="Q753" s="121"/>
      <c r="R753" s="121"/>
      <c r="S753" s="121"/>
      <c r="T753" s="121"/>
      <c r="U753" s="121"/>
    </row>
    <row r="754">
      <c r="A754" s="120"/>
      <c r="B754" s="123"/>
      <c r="C754" s="124"/>
      <c r="D754" s="125"/>
      <c r="E754" s="120"/>
      <c r="F754" s="125"/>
      <c r="G754" s="125"/>
      <c r="H754" s="125"/>
      <c r="I754" s="120"/>
      <c r="J754" s="120"/>
      <c r="K754" s="120"/>
      <c r="L754" s="120"/>
      <c r="M754" s="121"/>
      <c r="N754" s="121"/>
      <c r="O754" s="121"/>
      <c r="P754" s="121"/>
      <c r="Q754" s="121"/>
      <c r="R754" s="121"/>
      <c r="S754" s="121"/>
      <c r="T754" s="121"/>
      <c r="U754" s="121"/>
    </row>
    <row r="755">
      <c r="A755" s="120"/>
      <c r="B755" s="123"/>
      <c r="C755" s="124"/>
      <c r="D755" s="125"/>
      <c r="E755" s="120"/>
      <c r="F755" s="125"/>
      <c r="G755" s="125"/>
      <c r="H755" s="125"/>
      <c r="I755" s="120"/>
      <c r="J755" s="120"/>
      <c r="K755" s="120"/>
      <c r="L755" s="120"/>
      <c r="M755" s="121"/>
      <c r="N755" s="121"/>
      <c r="O755" s="121"/>
      <c r="P755" s="121"/>
      <c r="Q755" s="121"/>
      <c r="R755" s="121"/>
      <c r="S755" s="121"/>
      <c r="T755" s="121"/>
      <c r="U755" s="121"/>
    </row>
    <row r="756">
      <c r="A756" s="120"/>
      <c r="B756" s="123"/>
      <c r="C756" s="124"/>
      <c r="D756" s="125"/>
      <c r="E756" s="120"/>
      <c r="F756" s="125"/>
      <c r="G756" s="125"/>
      <c r="H756" s="125"/>
      <c r="I756" s="120"/>
      <c r="J756" s="120"/>
      <c r="K756" s="120"/>
      <c r="L756" s="120"/>
      <c r="M756" s="121"/>
      <c r="N756" s="121"/>
      <c r="O756" s="121"/>
      <c r="P756" s="121"/>
      <c r="Q756" s="121"/>
      <c r="R756" s="121"/>
      <c r="S756" s="121"/>
      <c r="T756" s="121"/>
      <c r="U756" s="121"/>
    </row>
    <row r="757">
      <c r="A757" s="120"/>
      <c r="B757" s="123"/>
      <c r="C757" s="124"/>
      <c r="D757" s="125"/>
      <c r="E757" s="120"/>
      <c r="F757" s="125"/>
      <c r="G757" s="125"/>
      <c r="H757" s="125"/>
      <c r="I757" s="120"/>
      <c r="J757" s="120"/>
      <c r="K757" s="120"/>
      <c r="L757" s="120"/>
      <c r="M757" s="121"/>
      <c r="N757" s="121"/>
      <c r="O757" s="121"/>
      <c r="P757" s="121"/>
      <c r="Q757" s="121"/>
      <c r="R757" s="121"/>
      <c r="S757" s="121"/>
      <c r="T757" s="121"/>
      <c r="U757" s="121"/>
    </row>
    <row r="758">
      <c r="A758" s="120"/>
      <c r="B758" s="123"/>
      <c r="C758" s="124"/>
      <c r="D758" s="125"/>
      <c r="E758" s="120"/>
      <c r="F758" s="125"/>
      <c r="G758" s="125"/>
      <c r="H758" s="125"/>
      <c r="I758" s="120"/>
      <c r="J758" s="120"/>
      <c r="K758" s="120"/>
      <c r="L758" s="120"/>
      <c r="M758" s="121"/>
      <c r="N758" s="121"/>
      <c r="O758" s="121"/>
      <c r="P758" s="121"/>
      <c r="Q758" s="121"/>
      <c r="R758" s="121"/>
      <c r="S758" s="121"/>
      <c r="T758" s="121"/>
      <c r="U758" s="121"/>
    </row>
    <row r="759">
      <c r="A759" s="120"/>
      <c r="B759" s="123"/>
      <c r="C759" s="124"/>
      <c r="D759" s="125"/>
      <c r="E759" s="120"/>
      <c r="F759" s="125"/>
      <c r="G759" s="125"/>
      <c r="H759" s="125"/>
      <c r="I759" s="120"/>
      <c r="J759" s="120"/>
      <c r="K759" s="120"/>
      <c r="L759" s="120"/>
      <c r="M759" s="121"/>
      <c r="N759" s="121"/>
      <c r="O759" s="121"/>
      <c r="P759" s="121"/>
      <c r="Q759" s="121"/>
      <c r="R759" s="121"/>
      <c r="S759" s="121"/>
      <c r="T759" s="121"/>
      <c r="U759" s="121"/>
    </row>
    <row r="760">
      <c r="A760" s="120"/>
      <c r="B760" s="123"/>
      <c r="C760" s="124"/>
      <c r="D760" s="125"/>
      <c r="E760" s="120"/>
      <c r="F760" s="125"/>
      <c r="G760" s="125"/>
      <c r="H760" s="125"/>
      <c r="I760" s="120"/>
      <c r="J760" s="120"/>
      <c r="K760" s="120"/>
      <c r="L760" s="120"/>
      <c r="M760" s="121"/>
      <c r="N760" s="121"/>
      <c r="O760" s="121"/>
      <c r="P760" s="121"/>
      <c r="Q760" s="121"/>
      <c r="R760" s="121"/>
      <c r="S760" s="121"/>
      <c r="T760" s="121"/>
      <c r="U760" s="121"/>
    </row>
    <row r="761">
      <c r="A761" s="120"/>
      <c r="B761" s="123"/>
      <c r="C761" s="124"/>
      <c r="D761" s="125"/>
      <c r="E761" s="120"/>
      <c r="F761" s="125"/>
      <c r="G761" s="125"/>
      <c r="H761" s="125"/>
      <c r="I761" s="120"/>
      <c r="J761" s="120"/>
      <c r="K761" s="120"/>
      <c r="L761" s="120"/>
      <c r="M761" s="121"/>
      <c r="N761" s="121"/>
      <c r="O761" s="121"/>
      <c r="P761" s="121"/>
      <c r="Q761" s="121"/>
      <c r="R761" s="121"/>
      <c r="S761" s="121"/>
      <c r="T761" s="121"/>
      <c r="U761" s="121"/>
    </row>
    <row r="762">
      <c r="A762" s="120"/>
      <c r="B762" s="123"/>
      <c r="C762" s="124"/>
      <c r="D762" s="125"/>
      <c r="E762" s="120"/>
      <c r="F762" s="125"/>
      <c r="G762" s="125"/>
      <c r="H762" s="125"/>
      <c r="I762" s="120"/>
      <c r="J762" s="120"/>
      <c r="K762" s="120"/>
      <c r="L762" s="120"/>
      <c r="M762" s="121"/>
      <c r="N762" s="121"/>
      <c r="O762" s="121"/>
      <c r="P762" s="121"/>
      <c r="Q762" s="121"/>
      <c r="R762" s="121"/>
      <c r="S762" s="121"/>
      <c r="T762" s="121"/>
      <c r="U762" s="121"/>
    </row>
    <row r="763">
      <c r="A763" s="120"/>
      <c r="B763" s="123"/>
      <c r="C763" s="124"/>
      <c r="D763" s="125"/>
      <c r="E763" s="120"/>
      <c r="F763" s="125"/>
      <c r="G763" s="125"/>
      <c r="H763" s="125"/>
      <c r="I763" s="120"/>
      <c r="J763" s="120"/>
      <c r="K763" s="120"/>
      <c r="L763" s="120"/>
      <c r="M763" s="121"/>
      <c r="N763" s="121"/>
      <c r="O763" s="121"/>
      <c r="P763" s="121"/>
      <c r="Q763" s="121"/>
      <c r="R763" s="121"/>
      <c r="S763" s="121"/>
      <c r="T763" s="121"/>
      <c r="U763" s="121"/>
    </row>
    <row r="764">
      <c r="A764" s="120"/>
      <c r="B764" s="123"/>
      <c r="C764" s="124"/>
      <c r="D764" s="125"/>
      <c r="E764" s="120"/>
      <c r="F764" s="125"/>
      <c r="G764" s="125"/>
      <c r="H764" s="125"/>
      <c r="I764" s="120"/>
      <c r="J764" s="120"/>
      <c r="K764" s="120"/>
      <c r="L764" s="120"/>
      <c r="M764" s="121"/>
      <c r="N764" s="121"/>
      <c r="O764" s="121"/>
      <c r="P764" s="121"/>
      <c r="Q764" s="121"/>
      <c r="R764" s="121"/>
      <c r="S764" s="121"/>
      <c r="T764" s="121"/>
      <c r="U764" s="121"/>
    </row>
    <row r="765">
      <c r="A765" s="120"/>
      <c r="B765" s="123"/>
      <c r="C765" s="124"/>
      <c r="D765" s="125"/>
      <c r="E765" s="120"/>
      <c r="F765" s="125"/>
      <c r="G765" s="125"/>
      <c r="H765" s="125"/>
      <c r="I765" s="120"/>
      <c r="J765" s="120"/>
      <c r="K765" s="120"/>
      <c r="L765" s="120"/>
      <c r="M765" s="121"/>
      <c r="N765" s="121"/>
      <c r="O765" s="121"/>
      <c r="P765" s="121"/>
      <c r="Q765" s="121"/>
      <c r="R765" s="121"/>
      <c r="S765" s="121"/>
      <c r="T765" s="121"/>
      <c r="U765" s="121"/>
    </row>
    <row r="766">
      <c r="A766" s="120"/>
      <c r="B766" s="123"/>
      <c r="C766" s="124"/>
      <c r="D766" s="125"/>
      <c r="E766" s="120"/>
      <c r="F766" s="125"/>
      <c r="G766" s="125"/>
      <c r="H766" s="125"/>
      <c r="I766" s="120"/>
      <c r="J766" s="120"/>
      <c r="K766" s="120"/>
      <c r="L766" s="120"/>
      <c r="M766" s="121"/>
      <c r="N766" s="121"/>
      <c r="O766" s="121"/>
      <c r="P766" s="121"/>
      <c r="Q766" s="121"/>
      <c r="R766" s="121"/>
      <c r="S766" s="121"/>
      <c r="T766" s="121"/>
      <c r="U766" s="121"/>
    </row>
    <row r="767">
      <c r="A767" s="120"/>
      <c r="B767" s="123"/>
      <c r="C767" s="124"/>
      <c r="D767" s="125"/>
      <c r="E767" s="120"/>
      <c r="F767" s="125"/>
      <c r="G767" s="125"/>
      <c r="H767" s="125"/>
      <c r="I767" s="120"/>
      <c r="J767" s="120"/>
      <c r="K767" s="120"/>
      <c r="L767" s="120"/>
      <c r="M767" s="121"/>
      <c r="N767" s="121"/>
      <c r="O767" s="121"/>
      <c r="P767" s="121"/>
      <c r="Q767" s="121"/>
      <c r="R767" s="121"/>
      <c r="S767" s="121"/>
      <c r="T767" s="121"/>
      <c r="U767" s="121"/>
    </row>
    <row r="768">
      <c r="A768" s="120"/>
      <c r="B768" s="123"/>
      <c r="C768" s="124"/>
      <c r="D768" s="125"/>
      <c r="E768" s="120"/>
      <c r="F768" s="125"/>
      <c r="G768" s="125"/>
      <c r="H768" s="125"/>
      <c r="I768" s="120"/>
      <c r="J768" s="120"/>
      <c r="K768" s="120"/>
      <c r="L768" s="120"/>
      <c r="M768" s="121"/>
      <c r="N768" s="121"/>
      <c r="O768" s="121"/>
      <c r="P768" s="121"/>
      <c r="Q768" s="121"/>
      <c r="R768" s="121"/>
      <c r="S768" s="121"/>
      <c r="T768" s="121"/>
      <c r="U768" s="121"/>
    </row>
    <row r="769">
      <c r="A769" s="120"/>
      <c r="B769" s="123"/>
      <c r="C769" s="124"/>
      <c r="D769" s="125"/>
      <c r="E769" s="120"/>
      <c r="F769" s="125"/>
      <c r="G769" s="125"/>
      <c r="H769" s="125"/>
      <c r="I769" s="120"/>
      <c r="J769" s="120"/>
      <c r="K769" s="120"/>
      <c r="L769" s="120"/>
      <c r="M769" s="121"/>
      <c r="N769" s="121"/>
      <c r="O769" s="121"/>
      <c r="P769" s="121"/>
      <c r="Q769" s="121"/>
      <c r="R769" s="121"/>
      <c r="S769" s="121"/>
      <c r="T769" s="121"/>
      <c r="U769" s="121"/>
    </row>
    <row r="770">
      <c r="A770" s="120"/>
      <c r="B770" s="123"/>
      <c r="C770" s="124"/>
      <c r="D770" s="125"/>
      <c r="E770" s="120"/>
      <c r="F770" s="125"/>
      <c r="G770" s="125"/>
      <c r="H770" s="125"/>
      <c r="I770" s="120"/>
      <c r="J770" s="120"/>
      <c r="K770" s="120"/>
      <c r="L770" s="120"/>
      <c r="M770" s="121"/>
      <c r="N770" s="121"/>
      <c r="O770" s="121"/>
      <c r="P770" s="121"/>
      <c r="Q770" s="121"/>
      <c r="R770" s="121"/>
      <c r="S770" s="121"/>
      <c r="T770" s="121"/>
      <c r="U770" s="121"/>
    </row>
    <row r="771">
      <c r="A771" s="120"/>
      <c r="B771" s="123"/>
      <c r="C771" s="124"/>
      <c r="D771" s="125"/>
      <c r="E771" s="120"/>
      <c r="F771" s="125"/>
      <c r="G771" s="125"/>
      <c r="H771" s="125"/>
      <c r="I771" s="120"/>
      <c r="J771" s="120"/>
      <c r="K771" s="120"/>
      <c r="L771" s="120"/>
      <c r="M771" s="121"/>
      <c r="N771" s="121"/>
      <c r="O771" s="121"/>
      <c r="P771" s="121"/>
      <c r="Q771" s="121"/>
      <c r="R771" s="121"/>
      <c r="S771" s="121"/>
      <c r="T771" s="121"/>
      <c r="U771" s="121"/>
    </row>
    <row r="772">
      <c r="A772" s="120"/>
      <c r="B772" s="123"/>
      <c r="C772" s="124"/>
      <c r="D772" s="125"/>
      <c r="E772" s="120"/>
      <c r="F772" s="125"/>
      <c r="G772" s="125"/>
      <c r="H772" s="125"/>
      <c r="I772" s="120"/>
      <c r="J772" s="120"/>
      <c r="K772" s="120"/>
      <c r="L772" s="120"/>
      <c r="M772" s="121"/>
      <c r="N772" s="121"/>
      <c r="O772" s="121"/>
      <c r="P772" s="121"/>
      <c r="Q772" s="121"/>
      <c r="R772" s="121"/>
      <c r="S772" s="121"/>
      <c r="T772" s="121"/>
      <c r="U772" s="121"/>
    </row>
    <row r="773">
      <c r="A773" s="120"/>
      <c r="B773" s="123"/>
      <c r="C773" s="124"/>
      <c r="D773" s="125"/>
      <c r="E773" s="120"/>
      <c r="F773" s="125"/>
      <c r="G773" s="125"/>
      <c r="H773" s="125"/>
      <c r="I773" s="120"/>
      <c r="J773" s="120"/>
      <c r="K773" s="120"/>
      <c r="L773" s="120"/>
      <c r="M773" s="121"/>
      <c r="N773" s="121"/>
      <c r="O773" s="121"/>
      <c r="P773" s="121"/>
      <c r="Q773" s="121"/>
      <c r="R773" s="121"/>
      <c r="S773" s="121"/>
      <c r="T773" s="121"/>
      <c r="U773" s="121"/>
    </row>
    <row r="774">
      <c r="A774" s="120"/>
      <c r="B774" s="123"/>
      <c r="C774" s="124"/>
      <c r="D774" s="125"/>
      <c r="E774" s="120"/>
      <c r="F774" s="125"/>
      <c r="G774" s="125"/>
      <c r="H774" s="125"/>
      <c r="I774" s="120"/>
      <c r="J774" s="120"/>
      <c r="K774" s="120"/>
      <c r="L774" s="120"/>
      <c r="M774" s="121"/>
      <c r="N774" s="121"/>
      <c r="O774" s="121"/>
      <c r="P774" s="121"/>
      <c r="Q774" s="121"/>
      <c r="R774" s="121"/>
      <c r="S774" s="121"/>
      <c r="T774" s="121"/>
      <c r="U774" s="121"/>
    </row>
    <row r="775">
      <c r="A775" s="120"/>
      <c r="B775" s="123"/>
      <c r="C775" s="124"/>
      <c r="D775" s="125"/>
      <c r="E775" s="120"/>
      <c r="F775" s="125"/>
      <c r="G775" s="125"/>
      <c r="H775" s="125"/>
      <c r="I775" s="120"/>
      <c r="J775" s="120"/>
      <c r="K775" s="120"/>
      <c r="L775" s="120"/>
      <c r="M775" s="121"/>
      <c r="N775" s="121"/>
      <c r="O775" s="121"/>
      <c r="P775" s="121"/>
      <c r="Q775" s="121"/>
      <c r="R775" s="121"/>
      <c r="S775" s="121"/>
      <c r="T775" s="121"/>
      <c r="U775" s="121"/>
    </row>
    <row r="776">
      <c r="A776" s="120"/>
      <c r="B776" s="123"/>
      <c r="C776" s="124"/>
      <c r="D776" s="125"/>
      <c r="E776" s="120"/>
      <c r="F776" s="125"/>
      <c r="G776" s="125"/>
      <c r="H776" s="125"/>
      <c r="I776" s="120"/>
      <c r="J776" s="120"/>
      <c r="K776" s="120"/>
      <c r="L776" s="120"/>
      <c r="M776" s="121"/>
      <c r="N776" s="121"/>
      <c r="O776" s="121"/>
      <c r="P776" s="121"/>
      <c r="Q776" s="121"/>
      <c r="R776" s="121"/>
      <c r="S776" s="121"/>
      <c r="T776" s="121"/>
      <c r="U776" s="121"/>
    </row>
    <row r="777">
      <c r="A777" s="120"/>
      <c r="B777" s="123"/>
      <c r="C777" s="124"/>
      <c r="D777" s="125"/>
      <c r="E777" s="120"/>
      <c r="F777" s="125"/>
      <c r="G777" s="125"/>
      <c r="H777" s="125"/>
      <c r="I777" s="120"/>
      <c r="J777" s="120"/>
      <c r="K777" s="120"/>
      <c r="L777" s="120"/>
      <c r="M777" s="121"/>
      <c r="N777" s="121"/>
      <c r="O777" s="121"/>
      <c r="P777" s="121"/>
      <c r="Q777" s="121"/>
      <c r="R777" s="121"/>
      <c r="S777" s="121"/>
      <c r="T777" s="121"/>
      <c r="U777" s="121"/>
    </row>
    <row r="778">
      <c r="A778" s="120"/>
      <c r="B778" s="123"/>
      <c r="C778" s="124"/>
      <c r="D778" s="125"/>
      <c r="E778" s="120"/>
      <c r="F778" s="125"/>
      <c r="G778" s="125"/>
      <c r="H778" s="125"/>
      <c r="I778" s="120"/>
      <c r="J778" s="120"/>
      <c r="K778" s="120"/>
      <c r="L778" s="120"/>
      <c r="M778" s="121"/>
      <c r="N778" s="121"/>
      <c r="O778" s="121"/>
      <c r="P778" s="121"/>
      <c r="Q778" s="121"/>
      <c r="R778" s="121"/>
      <c r="S778" s="121"/>
      <c r="T778" s="121"/>
      <c r="U778" s="121"/>
    </row>
    <row r="779">
      <c r="A779" s="120"/>
      <c r="B779" s="123"/>
      <c r="C779" s="124"/>
      <c r="D779" s="125"/>
      <c r="E779" s="120"/>
      <c r="F779" s="125"/>
      <c r="G779" s="125"/>
      <c r="H779" s="125"/>
      <c r="I779" s="120"/>
      <c r="J779" s="120"/>
      <c r="K779" s="120"/>
      <c r="L779" s="120"/>
      <c r="M779" s="121"/>
      <c r="N779" s="121"/>
      <c r="O779" s="121"/>
      <c r="P779" s="121"/>
      <c r="Q779" s="121"/>
      <c r="R779" s="121"/>
      <c r="S779" s="121"/>
      <c r="T779" s="121"/>
      <c r="U779" s="121"/>
    </row>
    <row r="780">
      <c r="A780" s="120"/>
      <c r="B780" s="123"/>
      <c r="C780" s="124"/>
      <c r="D780" s="125"/>
      <c r="E780" s="120"/>
      <c r="F780" s="125"/>
      <c r="G780" s="125"/>
      <c r="H780" s="125"/>
      <c r="I780" s="120"/>
      <c r="J780" s="120"/>
      <c r="K780" s="120"/>
      <c r="L780" s="120"/>
      <c r="M780" s="121"/>
      <c r="N780" s="121"/>
      <c r="O780" s="121"/>
      <c r="P780" s="121"/>
      <c r="Q780" s="121"/>
      <c r="R780" s="121"/>
      <c r="S780" s="121"/>
      <c r="T780" s="121"/>
      <c r="U780" s="121"/>
    </row>
    <row r="781">
      <c r="A781" s="120"/>
      <c r="B781" s="123"/>
      <c r="C781" s="124"/>
      <c r="D781" s="125"/>
      <c r="E781" s="120"/>
      <c r="F781" s="125"/>
      <c r="G781" s="125"/>
      <c r="H781" s="125"/>
      <c r="I781" s="120"/>
      <c r="J781" s="120"/>
      <c r="K781" s="120"/>
      <c r="L781" s="120"/>
      <c r="M781" s="121"/>
      <c r="N781" s="121"/>
      <c r="O781" s="121"/>
      <c r="P781" s="121"/>
      <c r="Q781" s="121"/>
      <c r="R781" s="121"/>
      <c r="S781" s="121"/>
      <c r="T781" s="121"/>
      <c r="U781" s="121"/>
    </row>
    <row r="782">
      <c r="A782" s="120"/>
      <c r="B782" s="123"/>
      <c r="C782" s="124"/>
      <c r="D782" s="125"/>
      <c r="E782" s="120"/>
      <c r="F782" s="125"/>
      <c r="G782" s="125"/>
      <c r="H782" s="125"/>
      <c r="I782" s="120"/>
      <c r="J782" s="120"/>
      <c r="K782" s="120"/>
      <c r="L782" s="120"/>
      <c r="M782" s="121"/>
      <c r="N782" s="121"/>
      <c r="O782" s="121"/>
      <c r="P782" s="121"/>
      <c r="Q782" s="121"/>
      <c r="R782" s="121"/>
      <c r="S782" s="121"/>
      <c r="T782" s="121"/>
      <c r="U782" s="121"/>
    </row>
    <row r="783">
      <c r="A783" s="120"/>
      <c r="B783" s="123"/>
      <c r="C783" s="124"/>
      <c r="D783" s="122"/>
      <c r="E783" s="120"/>
      <c r="F783" s="122"/>
      <c r="G783" s="122"/>
      <c r="H783" s="122"/>
      <c r="I783" s="120"/>
      <c r="J783" s="120"/>
      <c r="K783" s="120"/>
      <c r="L783" s="120"/>
      <c r="M783" s="121"/>
      <c r="N783" s="121"/>
      <c r="O783" s="121"/>
      <c r="P783" s="121"/>
      <c r="Q783" s="121"/>
      <c r="R783" s="121"/>
      <c r="S783" s="121"/>
      <c r="T783" s="121"/>
      <c r="U783" s="121"/>
    </row>
    <row r="784">
      <c r="A784" s="120"/>
      <c r="B784" s="123"/>
      <c r="C784" s="124"/>
      <c r="D784" s="122"/>
      <c r="E784" s="120"/>
      <c r="F784" s="122"/>
      <c r="G784" s="122"/>
      <c r="H784" s="122"/>
      <c r="I784" s="120"/>
      <c r="J784" s="120"/>
      <c r="K784" s="120"/>
      <c r="L784" s="120"/>
      <c r="M784" s="121"/>
      <c r="N784" s="121"/>
      <c r="O784" s="121"/>
      <c r="P784" s="121"/>
      <c r="Q784" s="121"/>
      <c r="R784" s="121"/>
      <c r="S784" s="121"/>
      <c r="T784" s="121"/>
      <c r="U784" s="121"/>
    </row>
    <row r="785">
      <c r="A785" s="120"/>
      <c r="B785" s="123"/>
      <c r="C785" s="124"/>
      <c r="D785" s="122"/>
      <c r="E785" s="120"/>
      <c r="F785" s="122"/>
      <c r="G785" s="122"/>
      <c r="H785" s="122"/>
      <c r="I785" s="120"/>
      <c r="J785" s="120"/>
      <c r="K785" s="120"/>
      <c r="L785" s="120"/>
      <c r="M785" s="121"/>
      <c r="N785" s="121"/>
      <c r="O785" s="121"/>
      <c r="P785" s="121"/>
      <c r="Q785" s="121"/>
      <c r="R785" s="121"/>
      <c r="S785" s="121"/>
      <c r="T785" s="121"/>
      <c r="U785" s="121"/>
    </row>
    <row r="786">
      <c r="A786" s="120"/>
      <c r="B786" s="123"/>
      <c r="C786" s="124"/>
      <c r="D786" s="122"/>
      <c r="E786" s="120"/>
      <c r="F786" s="122"/>
      <c r="G786" s="122"/>
      <c r="H786" s="122"/>
      <c r="I786" s="120"/>
      <c r="J786" s="120"/>
      <c r="K786" s="120"/>
      <c r="L786" s="120"/>
      <c r="M786" s="121"/>
      <c r="N786" s="121"/>
      <c r="O786" s="121"/>
      <c r="P786" s="121"/>
      <c r="Q786" s="121"/>
      <c r="R786" s="121"/>
      <c r="S786" s="121"/>
      <c r="T786" s="121"/>
      <c r="U786" s="121"/>
    </row>
    <row r="787">
      <c r="A787" s="120"/>
      <c r="B787" s="123"/>
      <c r="C787" s="124"/>
      <c r="D787" s="122"/>
      <c r="E787" s="120"/>
      <c r="F787" s="122"/>
      <c r="G787" s="122"/>
      <c r="H787" s="122"/>
      <c r="I787" s="120"/>
      <c r="J787" s="120"/>
      <c r="K787" s="120"/>
      <c r="L787" s="120"/>
      <c r="M787" s="121"/>
      <c r="N787" s="121"/>
      <c r="O787" s="121"/>
      <c r="P787" s="121"/>
      <c r="Q787" s="121"/>
      <c r="R787" s="121"/>
      <c r="S787" s="121"/>
      <c r="T787" s="121"/>
      <c r="U787" s="121"/>
    </row>
    <row r="788">
      <c r="A788" s="120"/>
      <c r="B788" s="123"/>
      <c r="C788" s="124"/>
      <c r="D788" s="122"/>
      <c r="E788" s="120"/>
      <c r="F788" s="122"/>
      <c r="G788" s="122"/>
      <c r="H788" s="122"/>
      <c r="I788" s="120"/>
      <c r="J788" s="120"/>
      <c r="K788" s="120"/>
      <c r="L788" s="120"/>
      <c r="M788" s="121"/>
      <c r="N788" s="121"/>
      <c r="O788" s="121"/>
      <c r="P788" s="121"/>
      <c r="Q788" s="121"/>
      <c r="R788" s="121"/>
      <c r="S788" s="121"/>
      <c r="T788" s="121"/>
      <c r="U788" s="121"/>
    </row>
    <row r="789">
      <c r="A789" s="120"/>
      <c r="B789" s="123"/>
      <c r="C789" s="124"/>
      <c r="D789" s="122"/>
      <c r="E789" s="120"/>
      <c r="F789" s="122"/>
      <c r="G789" s="122"/>
      <c r="H789" s="122"/>
      <c r="I789" s="120"/>
      <c r="J789" s="120"/>
      <c r="K789" s="120"/>
      <c r="L789" s="120"/>
      <c r="M789" s="121"/>
      <c r="N789" s="121"/>
      <c r="O789" s="121"/>
      <c r="P789" s="121"/>
      <c r="Q789" s="121"/>
      <c r="R789" s="121"/>
      <c r="S789" s="121"/>
      <c r="T789" s="121"/>
      <c r="U789" s="121"/>
    </row>
    <row r="790">
      <c r="A790" s="120"/>
      <c r="B790" s="123"/>
      <c r="C790" s="124"/>
      <c r="D790" s="122"/>
      <c r="E790" s="120"/>
      <c r="F790" s="122"/>
      <c r="G790" s="122"/>
      <c r="H790" s="122"/>
      <c r="I790" s="120"/>
      <c r="J790" s="120"/>
      <c r="K790" s="120"/>
      <c r="L790" s="120"/>
      <c r="M790" s="121"/>
      <c r="N790" s="121"/>
      <c r="O790" s="121"/>
      <c r="P790" s="121"/>
      <c r="Q790" s="121"/>
      <c r="R790" s="121"/>
      <c r="S790" s="121"/>
      <c r="T790" s="121"/>
      <c r="U790" s="121"/>
    </row>
    <row r="791">
      <c r="A791" s="120"/>
      <c r="B791" s="123"/>
      <c r="C791" s="124"/>
      <c r="D791" s="122"/>
      <c r="E791" s="120"/>
      <c r="F791" s="122"/>
      <c r="G791" s="122"/>
      <c r="H791" s="122"/>
      <c r="I791" s="120"/>
      <c r="J791" s="120"/>
      <c r="K791" s="120"/>
      <c r="L791" s="120"/>
      <c r="M791" s="121"/>
      <c r="N791" s="121"/>
      <c r="O791" s="121"/>
      <c r="P791" s="121"/>
      <c r="Q791" s="121"/>
      <c r="R791" s="121"/>
      <c r="S791" s="121"/>
      <c r="T791" s="121"/>
      <c r="U791" s="121"/>
    </row>
    <row r="792">
      <c r="A792" s="120"/>
      <c r="B792" s="123"/>
      <c r="C792" s="124"/>
      <c r="D792" s="122"/>
      <c r="E792" s="120"/>
      <c r="F792" s="122"/>
      <c r="G792" s="122"/>
      <c r="H792" s="122"/>
      <c r="I792" s="120"/>
      <c r="J792" s="120"/>
      <c r="K792" s="120"/>
      <c r="L792" s="120"/>
      <c r="M792" s="121"/>
      <c r="N792" s="121"/>
      <c r="O792" s="121"/>
      <c r="P792" s="121"/>
      <c r="Q792" s="121"/>
      <c r="R792" s="121"/>
      <c r="S792" s="121"/>
      <c r="T792" s="121"/>
      <c r="U792" s="121"/>
    </row>
    <row r="793">
      <c r="A793" s="120"/>
      <c r="B793" s="123"/>
      <c r="C793" s="124"/>
      <c r="D793" s="122"/>
      <c r="E793" s="120"/>
      <c r="F793" s="122"/>
      <c r="G793" s="122"/>
      <c r="H793" s="122"/>
      <c r="I793" s="120"/>
      <c r="J793" s="120"/>
      <c r="K793" s="120"/>
      <c r="L793" s="120"/>
      <c r="M793" s="121"/>
      <c r="N793" s="121"/>
      <c r="O793" s="121"/>
      <c r="P793" s="121"/>
      <c r="Q793" s="121"/>
      <c r="R793" s="121"/>
      <c r="S793" s="121"/>
      <c r="T793" s="121"/>
      <c r="U793" s="121"/>
    </row>
    <row r="794">
      <c r="A794" s="120"/>
      <c r="B794" s="123"/>
      <c r="C794" s="124"/>
      <c r="D794" s="122"/>
      <c r="E794" s="120"/>
      <c r="F794" s="122"/>
      <c r="G794" s="122"/>
      <c r="H794" s="122"/>
      <c r="I794" s="120"/>
      <c r="J794" s="120"/>
      <c r="K794" s="120"/>
      <c r="L794" s="120"/>
      <c r="M794" s="121"/>
      <c r="N794" s="121"/>
      <c r="O794" s="121"/>
      <c r="P794" s="121"/>
      <c r="Q794" s="121"/>
      <c r="R794" s="121"/>
      <c r="S794" s="121"/>
      <c r="T794" s="121"/>
      <c r="U794" s="121"/>
    </row>
    <row r="795">
      <c r="A795" s="120"/>
      <c r="B795" s="123"/>
      <c r="C795" s="124"/>
      <c r="D795" s="122"/>
      <c r="E795" s="120"/>
      <c r="F795" s="122"/>
      <c r="G795" s="122"/>
      <c r="H795" s="122"/>
      <c r="I795" s="120"/>
      <c r="J795" s="120"/>
      <c r="K795" s="120"/>
      <c r="L795" s="120"/>
      <c r="M795" s="121"/>
      <c r="N795" s="121"/>
      <c r="O795" s="121"/>
      <c r="P795" s="121"/>
      <c r="Q795" s="121"/>
      <c r="R795" s="121"/>
      <c r="S795" s="121"/>
      <c r="T795" s="121"/>
      <c r="U795" s="121"/>
    </row>
    <row r="796">
      <c r="A796" s="120"/>
      <c r="B796" s="123"/>
      <c r="C796" s="124"/>
      <c r="D796" s="122"/>
      <c r="E796" s="120"/>
      <c r="F796" s="122"/>
      <c r="G796" s="122"/>
      <c r="H796" s="122"/>
      <c r="I796" s="120"/>
      <c r="J796" s="120"/>
      <c r="K796" s="120"/>
      <c r="L796" s="120"/>
      <c r="M796" s="121"/>
      <c r="N796" s="121"/>
      <c r="O796" s="121"/>
      <c r="P796" s="121"/>
      <c r="Q796" s="121"/>
      <c r="R796" s="121"/>
      <c r="S796" s="121"/>
      <c r="T796" s="121"/>
      <c r="U796" s="121"/>
    </row>
    <row r="797">
      <c r="A797" s="120"/>
      <c r="B797" s="123"/>
      <c r="C797" s="124"/>
      <c r="D797" s="122"/>
      <c r="E797" s="120"/>
      <c r="F797" s="122"/>
      <c r="G797" s="122"/>
      <c r="H797" s="122"/>
      <c r="I797" s="120"/>
      <c r="J797" s="120"/>
      <c r="K797" s="120"/>
      <c r="L797" s="120"/>
      <c r="M797" s="121"/>
      <c r="N797" s="121"/>
      <c r="O797" s="121"/>
      <c r="P797" s="121"/>
      <c r="Q797" s="121"/>
      <c r="R797" s="121"/>
      <c r="S797" s="121"/>
      <c r="T797" s="121"/>
      <c r="U797" s="121"/>
    </row>
    <row r="798">
      <c r="A798" s="120"/>
      <c r="B798" s="123"/>
      <c r="C798" s="124"/>
      <c r="D798" s="122"/>
      <c r="E798" s="120"/>
      <c r="F798" s="122"/>
      <c r="G798" s="122"/>
      <c r="H798" s="122"/>
      <c r="I798" s="120"/>
      <c r="J798" s="120"/>
      <c r="K798" s="120"/>
      <c r="L798" s="120"/>
      <c r="M798" s="121"/>
      <c r="N798" s="121"/>
      <c r="O798" s="121"/>
      <c r="P798" s="121"/>
      <c r="Q798" s="121"/>
      <c r="R798" s="121"/>
      <c r="S798" s="121"/>
      <c r="T798" s="121"/>
      <c r="U798" s="121"/>
    </row>
    <row r="799">
      <c r="A799" s="120"/>
      <c r="B799" s="123"/>
      <c r="C799" s="124"/>
      <c r="D799" s="122"/>
      <c r="E799" s="120"/>
      <c r="F799" s="122"/>
      <c r="G799" s="122"/>
      <c r="H799" s="122"/>
      <c r="I799" s="120"/>
      <c r="J799" s="120"/>
      <c r="K799" s="120"/>
      <c r="L799" s="120"/>
      <c r="M799" s="121"/>
      <c r="N799" s="121"/>
      <c r="O799" s="121"/>
      <c r="P799" s="121"/>
      <c r="Q799" s="121"/>
      <c r="R799" s="121"/>
      <c r="S799" s="121"/>
      <c r="T799" s="121"/>
      <c r="U799" s="121"/>
    </row>
    <row r="800">
      <c r="A800" s="120"/>
      <c r="B800" s="123"/>
      <c r="C800" s="124"/>
      <c r="D800" s="122"/>
      <c r="E800" s="120"/>
      <c r="F800" s="122"/>
      <c r="G800" s="122"/>
      <c r="H800" s="122"/>
      <c r="I800" s="120"/>
      <c r="J800" s="120"/>
      <c r="K800" s="120"/>
      <c r="L800" s="120"/>
      <c r="M800" s="121"/>
      <c r="N800" s="121"/>
      <c r="O800" s="121"/>
      <c r="P800" s="121"/>
      <c r="Q800" s="121"/>
      <c r="R800" s="121"/>
      <c r="S800" s="121"/>
      <c r="T800" s="121"/>
      <c r="U800" s="121"/>
    </row>
    <row r="801">
      <c r="A801" s="120"/>
      <c r="B801" s="123"/>
      <c r="C801" s="124"/>
      <c r="D801" s="125"/>
      <c r="E801" s="120"/>
      <c r="F801" s="125"/>
      <c r="G801" s="125"/>
      <c r="H801" s="125"/>
      <c r="I801" s="120"/>
      <c r="J801" s="120"/>
      <c r="K801" s="120"/>
      <c r="L801" s="120"/>
      <c r="M801" s="121"/>
      <c r="N801" s="121"/>
      <c r="O801" s="121"/>
      <c r="P801" s="121"/>
      <c r="Q801" s="121"/>
      <c r="R801" s="121"/>
      <c r="S801" s="121"/>
      <c r="T801" s="121"/>
      <c r="U801" s="121"/>
    </row>
    <row r="802">
      <c r="A802" s="120"/>
      <c r="B802" s="123"/>
      <c r="C802" s="124"/>
      <c r="D802" s="125"/>
      <c r="E802" s="120"/>
      <c r="F802" s="125"/>
      <c r="G802" s="125"/>
      <c r="H802" s="125"/>
      <c r="I802" s="120"/>
      <c r="J802" s="120"/>
      <c r="K802" s="120"/>
      <c r="L802" s="120"/>
      <c r="M802" s="121"/>
      <c r="N802" s="121"/>
      <c r="O802" s="121"/>
      <c r="P802" s="121"/>
      <c r="Q802" s="121"/>
      <c r="R802" s="121"/>
      <c r="S802" s="121"/>
      <c r="T802" s="121"/>
      <c r="U802" s="121"/>
    </row>
    <row r="803">
      <c r="A803" s="120"/>
      <c r="B803" s="123"/>
      <c r="C803" s="124"/>
      <c r="D803" s="125"/>
      <c r="E803" s="120"/>
      <c r="F803" s="125"/>
      <c r="G803" s="125"/>
      <c r="H803" s="125"/>
      <c r="I803" s="120"/>
      <c r="J803" s="120"/>
      <c r="K803" s="120"/>
      <c r="L803" s="120"/>
      <c r="M803" s="121"/>
      <c r="N803" s="121"/>
      <c r="O803" s="121"/>
      <c r="P803" s="121"/>
      <c r="Q803" s="121"/>
      <c r="R803" s="121"/>
      <c r="S803" s="121"/>
      <c r="T803" s="121"/>
      <c r="U803" s="121"/>
    </row>
    <row r="804">
      <c r="A804" s="120"/>
      <c r="B804" s="123"/>
      <c r="C804" s="124"/>
      <c r="D804" s="125"/>
      <c r="E804" s="120"/>
      <c r="F804" s="125"/>
      <c r="G804" s="125"/>
      <c r="H804" s="125"/>
      <c r="I804" s="120"/>
      <c r="J804" s="120"/>
      <c r="K804" s="120"/>
      <c r="L804" s="120"/>
      <c r="M804" s="121"/>
      <c r="N804" s="121"/>
      <c r="O804" s="121"/>
      <c r="P804" s="121"/>
      <c r="Q804" s="121"/>
      <c r="R804" s="121"/>
      <c r="S804" s="121"/>
      <c r="T804" s="121"/>
      <c r="U804" s="121"/>
    </row>
    <row r="805">
      <c r="A805" s="120"/>
      <c r="B805" s="123"/>
      <c r="C805" s="124"/>
      <c r="D805" s="125"/>
      <c r="E805" s="120"/>
      <c r="F805" s="125"/>
      <c r="G805" s="125"/>
      <c r="H805" s="125"/>
      <c r="I805" s="120"/>
      <c r="J805" s="120"/>
      <c r="K805" s="120"/>
      <c r="L805" s="120"/>
      <c r="M805" s="121"/>
      <c r="N805" s="121"/>
      <c r="O805" s="121"/>
      <c r="P805" s="121"/>
      <c r="Q805" s="121"/>
      <c r="R805" s="121"/>
      <c r="S805" s="121"/>
      <c r="T805" s="121"/>
      <c r="U805" s="121"/>
    </row>
    <row r="806">
      <c r="A806" s="120"/>
      <c r="B806" s="123"/>
      <c r="C806" s="124"/>
      <c r="D806" s="125"/>
      <c r="E806" s="120"/>
      <c r="F806" s="125"/>
      <c r="G806" s="125"/>
      <c r="H806" s="125"/>
      <c r="I806" s="120"/>
      <c r="J806" s="120"/>
      <c r="K806" s="120"/>
      <c r="L806" s="120"/>
      <c r="M806" s="121"/>
      <c r="N806" s="121"/>
      <c r="O806" s="121"/>
      <c r="P806" s="121"/>
      <c r="Q806" s="121"/>
      <c r="R806" s="121"/>
      <c r="S806" s="121"/>
      <c r="T806" s="121"/>
      <c r="U806" s="121"/>
    </row>
    <row r="807">
      <c r="A807" s="120"/>
      <c r="B807" s="123"/>
      <c r="C807" s="124"/>
      <c r="D807" s="125"/>
      <c r="E807" s="120"/>
      <c r="F807" s="125"/>
      <c r="G807" s="125"/>
      <c r="H807" s="125"/>
      <c r="I807" s="120"/>
      <c r="J807" s="120"/>
      <c r="K807" s="120"/>
      <c r="L807" s="120"/>
      <c r="M807" s="121"/>
      <c r="N807" s="121"/>
      <c r="O807" s="121"/>
      <c r="P807" s="121"/>
      <c r="Q807" s="121"/>
      <c r="R807" s="121"/>
      <c r="S807" s="121"/>
      <c r="T807" s="121"/>
      <c r="U807" s="121"/>
    </row>
    <row r="808">
      <c r="A808" s="120"/>
      <c r="B808" s="123"/>
      <c r="C808" s="124"/>
      <c r="D808" s="125"/>
      <c r="E808" s="120"/>
      <c r="F808" s="125"/>
      <c r="G808" s="125"/>
      <c r="H808" s="125"/>
      <c r="I808" s="120"/>
      <c r="J808" s="120"/>
      <c r="K808" s="120"/>
      <c r="L808" s="120"/>
      <c r="M808" s="121"/>
      <c r="N808" s="121"/>
      <c r="O808" s="121"/>
      <c r="P808" s="121"/>
      <c r="Q808" s="121"/>
      <c r="R808" s="121"/>
      <c r="S808" s="121"/>
      <c r="T808" s="121"/>
      <c r="U808" s="121"/>
    </row>
    <row r="809">
      <c r="A809" s="120"/>
      <c r="B809" s="123"/>
      <c r="C809" s="124"/>
      <c r="D809" s="125"/>
      <c r="E809" s="120"/>
      <c r="F809" s="125"/>
      <c r="G809" s="125"/>
      <c r="H809" s="125"/>
      <c r="I809" s="120"/>
      <c r="J809" s="120"/>
      <c r="K809" s="120"/>
      <c r="L809" s="120"/>
      <c r="M809" s="121"/>
      <c r="N809" s="121"/>
      <c r="O809" s="121"/>
      <c r="P809" s="121"/>
      <c r="Q809" s="121"/>
      <c r="R809" s="121"/>
      <c r="S809" s="121"/>
      <c r="T809" s="121"/>
      <c r="U809" s="121"/>
    </row>
    <row r="810">
      <c r="A810" s="120"/>
      <c r="B810" s="123"/>
      <c r="C810" s="124"/>
      <c r="D810" s="125"/>
      <c r="E810" s="120"/>
      <c r="F810" s="125"/>
      <c r="G810" s="125"/>
      <c r="H810" s="125"/>
      <c r="I810" s="120"/>
      <c r="J810" s="120"/>
      <c r="K810" s="120"/>
      <c r="L810" s="120"/>
      <c r="M810" s="121"/>
      <c r="N810" s="121"/>
      <c r="O810" s="121"/>
      <c r="P810" s="121"/>
      <c r="Q810" s="121"/>
      <c r="R810" s="121"/>
      <c r="S810" s="121"/>
      <c r="T810" s="121"/>
      <c r="U810" s="121"/>
    </row>
    <row r="811">
      <c r="A811" s="120"/>
      <c r="B811" s="123"/>
      <c r="C811" s="124"/>
      <c r="D811" s="125"/>
      <c r="E811" s="120"/>
      <c r="F811" s="125"/>
      <c r="G811" s="125"/>
      <c r="H811" s="125"/>
      <c r="I811" s="120"/>
      <c r="J811" s="120"/>
      <c r="K811" s="120"/>
      <c r="L811" s="120"/>
      <c r="M811" s="121"/>
      <c r="N811" s="121"/>
      <c r="O811" s="121"/>
      <c r="P811" s="121"/>
      <c r="Q811" s="121"/>
      <c r="R811" s="121"/>
      <c r="S811" s="121"/>
      <c r="T811" s="121"/>
      <c r="U811" s="121"/>
    </row>
    <row r="812">
      <c r="A812" s="120"/>
      <c r="B812" s="123"/>
      <c r="C812" s="124"/>
      <c r="D812" s="125"/>
      <c r="E812" s="120"/>
      <c r="F812" s="125"/>
      <c r="G812" s="125"/>
      <c r="H812" s="125"/>
      <c r="I812" s="120"/>
      <c r="J812" s="120"/>
      <c r="K812" s="120"/>
      <c r="L812" s="120"/>
      <c r="M812" s="121"/>
      <c r="N812" s="121"/>
      <c r="O812" s="121"/>
      <c r="P812" s="121"/>
      <c r="Q812" s="121"/>
      <c r="R812" s="121"/>
      <c r="S812" s="121"/>
      <c r="T812" s="121"/>
      <c r="U812" s="121"/>
    </row>
    <row r="813">
      <c r="A813" s="120"/>
      <c r="B813" s="123"/>
      <c r="C813" s="124"/>
      <c r="D813" s="125"/>
      <c r="E813" s="120"/>
      <c r="F813" s="125"/>
      <c r="G813" s="125"/>
      <c r="H813" s="125"/>
      <c r="I813" s="120"/>
      <c r="J813" s="120"/>
      <c r="K813" s="120"/>
      <c r="L813" s="120"/>
      <c r="M813" s="121"/>
      <c r="N813" s="121"/>
      <c r="O813" s="121"/>
      <c r="P813" s="121"/>
      <c r="Q813" s="121"/>
      <c r="R813" s="121"/>
      <c r="S813" s="121"/>
      <c r="T813" s="121"/>
      <c r="U813" s="121"/>
    </row>
    <row r="814">
      <c r="A814" s="120"/>
      <c r="B814" s="123"/>
      <c r="C814" s="124"/>
      <c r="D814" s="125"/>
      <c r="E814" s="120"/>
      <c r="F814" s="125"/>
      <c r="G814" s="125"/>
      <c r="H814" s="125"/>
      <c r="I814" s="120"/>
      <c r="J814" s="120"/>
      <c r="K814" s="120"/>
      <c r="L814" s="120"/>
      <c r="M814" s="121"/>
      <c r="N814" s="121"/>
      <c r="O814" s="121"/>
      <c r="P814" s="121"/>
      <c r="Q814" s="121"/>
      <c r="R814" s="121"/>
      <c r="S814" s="121"/>
      <c r="T814" s="121"/>
      <c r="U814" s="121"/>
    </row>
    <row r="815">
      <c r="A815" s="120"/>
      <c r="B815" s="123"/>
      <c r="C815" s="124"/>
      <c r="D815" s="125"/>
      <c r="E815" s="120"/>
      <c r="F815" s="125"/>
      <c r="G815" s="125"/>
      <c r="H815" s="125"/>
      <c r="I815" s="120"/>
      <c r="J815" s="120"/>
      <c r="K815" s="120"/>
      <c r="L815" s="120"/>
      <c r="M815" s="121"/>
      <c r="N815" s="121"/>
      <c r="O815" s="121"/>
      <c r="P815" s="121"/>
      <c r="Q815" s="121"/>
      <c r="R815" s="121"/>
      <c r="S815" s="121"/>
      <c r="T815" s="121"/>
      <c r="U815" s="121"/>
    </row>
    <row r="816">
      <c r="A816" s="120"/>
      <c r="B816" s="123"/>
      <c r="C816" s="124"/>
      <c r="D816" s="125"/>
      <c r="E816" s="120"/>
      <c r="F816" s="125"/>
      <c r="G816" s="125"/>
      <c r="H816" s="125"/>
      <c r="I816" s="120"/>
      <c r="J816" s="120"/>
      <c r="K816" s="120"/>
      <c r="L816" s="120"/>
      <c r="M816" s="121"/>
      <c r="N816" s="121"/>
      <c r="O816" s="121"/>
      <c r="P816" s="121"/>
      <c r="Q816" s="121"/>
      <c r="R816" s="121"/>
      <c r="S816" s="121"/>
      <c r="T816" s="121"/>
      <c r="U816" s="121"/>
    </row>
    <row r="817">
      <c r="A817" s="120"/>
      <c r="B817" s="123"/>
      <c r="C817" s="124"/>
      <c r="D817" s="125"/>
      <c r="E817" s="120"/>
      <c r="F817" s="125"/>
      <c r="G817" s="125"/>
      <c r="H817" s="125"/>
      <c r="I817" s="120"/>
      <c r="J817" s="120"/>
      <c r="K817" s="120"/>
      <c r="L817" s="120"/>
      <c r="M817" s="121"/>
      <c r="N817" s="121"/>
      <c r="O817" s="121"/>
      <c r="P817" s="121"/>
      <c r="Q817" s="121"/>
      <c r="R817" s="121"/>
      <c r="S817" s="121"/>
      <c r="T817" s="121"/>
      <c r="U817" s="121"/>
    </row>
    <row r="818">
      <c r="A818" s="120"/>
      <c r="B818" s="123"/>
      <c r="C818" s="124"/>
      <c r="D818" s="125"/>
      <c r="E818" s="120"/>
      <c r="F818" s="125"/>
      <c r="G818" s="125"/>
      <c r="H818" s="125"/>
      <c r="I818" s="120"/>
      <c r="J818" s="120"/>
      <c r="K818" s="120"/>
      <c r="L818" s="120"/>
      <c r="M818" s="121"/>
      <c r="N818" s="121"/>
      <c r="O818" s="121"/>
      <c r="P818" s="121"/>
      <c r="Q818" s="121"/>
      <c r="R818" s="121"/>
      <c r="S818" s="121"/>
      <c r="T818" s="121"/>
      <c r="U818" s="121"/>
    </row>
    <row r="819">
      <c r="A819" s="120"/>
      <c r="B819" s="123"/>
      <c r="C819" s="124"/>
      <c r="D819" s="125"/>
      <c r="E819" s="120"/>
      <c r="F819" s="125"/>
      <c r="G819" s="125"/>
      <c r="H819" s="125"/>
      <c r="I819" s="120"/>
      <c r="J819" s="120"/>
      <c r="K819" s="120"/>
      <c r="L819" s="120"/>
      <c r="M819" s="121"/>
      <c r="N819" s="121"/>
      <c r="O819" s="121"/>
      <c r="P819" s="121"/>
      <c r="Q819" s="121"/>
      <c r="R819" s="121"/>
      <c r="S819" s="121"/>
      <c r="T819" s="121"/>
      <c r="U819" s="121"/>
    </row>
    <row r="820">
      <c r="A820" s="120"/>
      <c r="B820" s="123"/>
      <c r="C820" s="124"/>
      <c r="D820" s="125"/>
      <c r="E820" s="120"/>
      <c r="F820" s="125"/>
      <c r="G820" s="125"/>
      <c r="H820" s="125"/>
      <c r="I820" s="120"/>
      <c r="J820" s="120"/>
      <c r="K820" s="120"/>
      <c r="L820" s="120"/>
      <c r="M820" s="121"/>
      <c r="N820" s="121"/>
      <c r="O820" s="121"/>
      <c r="P820" s="121"/>
      <c r="Q820" s="121"/>
      <c r="R820" s="121"/>
      <c r="S820" s="121"/>
      <c r="T820" s="121"/>
      <c r="U820" s="121"/>
    </row>
    <row r="821">
      <c r="A821" s="120"/>
      <c r="B821" s="123"/>
      <c r="C821" s="124"/>
      <c r="D821" s="125"/>
      <c r="E821" s="120"/>
      <c r="F821" s="125"/>
      <c r="G821" s="125"/>
      <c r="H821" s="125"/>
      <c r="I821" s="120"/>
      <c r="J821" s="120"/>
      <c r="K821" s="120"/>
      <c r="L821" s="120"/>
      <c r="M821" s="121"/>
      <c r="N821" s="121"/>
      <c r="O821" s="121"/>
      <c r="P821" s="121"/>
      <c r="Q821" s="121"/>
      <c r="R821" s="121"/>
      <c r="S821" s="121"/>
      <c r="T821" s="121"/>
      <c r="U821" s="121"/>
    </row>
    <row r="822">
      <c r="A822" s="120"/>
      <c r="B822" s="123"/>
      <c r="C822" s="124"/>
      <c r="D822" s="125"/>
      <c r="E822" s="120"/>
      <c r="F822" s="125"/>
      <c r="G822" s="125"/>
      <c r="H822" s="125"/>
      <c r="I822" s="120"/>
      <c r="J822" s="120"/>
      <c r="K822" s="120"/>
      <c r="L822" s="120"/>
      <c r="M822" s="121"/>
      <c r="N822" s="121"/>
      <c r="O822" s="121"/>
      <c r="P822" s="121"/>
      <c r="Q822" s="121"/>
      <c r="R822" s="121"/>
      <c r="S822" s="121"/>
      <c r="T822" s="121"/>
      <c r="U822" s="121"/>
    </row>
    <row r="823">
      <c r="A823" s="120"/>
      <c r="B823" s="123"/>
      <c r="C823" s="124"/>
      <c r="D823" s="125"/>
      <c r="E823" s="120"/>
      <c r="F823" s="125"/>
      <c r="G823" s="125"/>
      <c r="H823" s="125"/>
      <c r="I823" s="120"/>
      <c r="J823" s="120"/>
      <c r="K823" s="120"/>
      <c r="L823" s="120"/>
      <c r="M823" s="121"/>
      <c r="N823" s="121"/>
      <c r="O823" s="121"/>
      <c r="P823" s="121"/>
      <c r="Q823" s="121"/>
      <c r="R823" s="121"/>
      <c r="S823" s="121"/>
      <c r="T823" s="121"/>
      <c r="U823" s="121"/>
    </row>
    <row r="824">
      <c r="A824" s="120"/>
      <c r="B824" s="123"/>
      <c r="C824" s="124"/>
      <c r="D824" s="125"/>
      <c r="E824" s="120"/>
      <c r="F824" s="125"/>
      <c r="G824" s="125"/>
      <c r="H824" s="125"/>
      <c r="I824" s="120"/>
      <c r="J824" s="120"/>
      <c r="K824" s="120"/>
      <c r="L824" s="120"/>
      <c r="M824" s="121"/>
      <c r="N824" s="121"/>
      <c r="O824" s="121"/>
      <c r="P824" s="121"/>
      <c r="Q824" s="121"/>
      <c r="R824" s="121"/>
      <c r="S824" s="121"/>
      <c r="T824" s="121"/>
      <c r="U824" s="121"/>
    </row>
    <row r="825">
      <c r="A825" s="120"/>
      <c r="B825" s="123"/>
      <c r="C825" s="124"/>
      <c r="D825" s="125"/>
      <c r="E825" s="120"/>
      <c r="F825" s="125"/>
      <c r="G825" s="125"/>
      <c r="H825" s="125"/>
      <c r="I825" s="120"/>
      <c r="J825" s="120"/>
      <c r="K825" s="120"/>
      <c r="L825" s="120"/>
      <c r="M825" s="121"/>
      <c r="N825" s="121"/>
      <c r="O825" s="121"/>
      <c r="P825" s="121"/>
      <c r="Q825" s="121"/>
      <c r="R825" s="121"/>
      <c r="S825" s="121"/>
      <c r="T825" s="121"/>
      <c r="U825" s="121"/>
    </row>
    <row r="826">
      <c r="A826" s="120"/>
      <c r="B826" s="123"/>
      <c r="C826" s="124"/>
      <c r="D826" s="125"/>
      <c r="E826" s="120"/>
      <c r="F826" s="125"/>
      <c r="G826" s="125"/>
      <c r="H826" s="125"/>
      <c r="I826" s="120"/>
      <c r="J826" s="120"/>
      <c r="K826" s="120"/>
      <c r="L826" s="120"/>
      <c r="M826" s="121"/>
      <c r="N826" s="121"/>
      <c r="O826" s="121"/>
      <c r="P826" s="121"/>
      <c r="Q826" s="121"/>
      <c r="R826" s="121"/>
      <c r="S826" s="121"/>
      <c r="T826" s="121"/>
      <c r="U826" s="121"/>
    </row>
    <row r="827">
      <c r="A827" s="120"/>
      <c r="B827" s="123"/>
      <c r="C827" s="124"/>
      <c r="D827" s="125"/>
      <c r="E827" s="120"/>
      <c r="F827" s="125"/>
      <c r="G827" s="125"/>
      <c r="H827" s="125"/>
      <c r="I827" s="120"/>
      <c r="J827" s="120"/>
      <c r="K827" s="120"/>
      <c r="L827" s="120"/>
      <c r="M827" s="121"/>
      <c r="N827" s="121"/>
      <c r="O827" s="121"/>
      <c r="P827" s="121"/>
      <c r="Q827" s="121"/>
      <c r="R827" s="121"/>
      <c r="S827" s="121"/>
      <c r="T827" s="121"/>
      <c r="U827" s="121"/>
    </row>
    <row r="828">
      <c r="A828" s="120"/>
      <c r="B828" s="123"/>
      <c r="C828" s="124"/>
      <c r="D828" s="125"/>
      <c r="E828" s="120"/>
      <c r="F828" s="125"/>
      <c r="G828" s="125"/>
      <c r="H828" s="125"/>
      <c r="I828" s="120"/>
      <c r="J828" s="120"/>
      <c r="K828" s="120"/>
      <c r="L828" s="120"/>
      <c r="M828" s="121"/>
      <c r="N828" s="121"/>
      <c r="O828" s="121"/>
      <c r="P828" s="121"/>
      <c r="Q828" s="121"/>
      <c r="R828" s="121"/>
      <c r="S828" s="121"/>
      <c r="T828" s="121"/>
      <c r="U828" s="121"/>
    </row>
    <row r="829">
      <c r="A829" s="120"/>
      <c r="B829" s="123"/>
      <c r="C829" s="124"/>
      <c r="D829" s="125"/>
      <c r="E829" s="120"/>
      <c r="F829" s="125"/>
      <c r="G829" s="125"/>
      <c r="H829" s="125"/>
      <c r="I829" s="120"/>
      <c r="J829" s="120"/>
      <c r="K829" s="120"/>
      <c r="L829" s="120"/>
      <c r="M829" s="121"/>
      <c r="N829" s="121"/>
      <c r="O829" s="121"/>
      <c r="P829" s="121"/>
      <c r="Q829" s="121"/>
      <c r="R829" s="121"/>
      <c r="S829" s="121"/>
      <c r="T829" s="121"/>
      <c r="U829" s="121"/>
    </row>
    <row r="830">
      <c r="A830" s="120"/>
      <c r="B830" s="123"/>
      <c r="C830" s="124"/>
      <c r="D830" s="125"/>
      <c r="E830" s="120"/>
      <c r="F830" s="125"/>
      <c r="G830" s="125"/>
      <c r="H830" s="125"/>
      <c r="I830" s="120"/>
      <c r="J830" s="120"/>
      <c r="K830" s="120"/>
      <c r="L830" s="120"/>
      <c r="M830" s="121"/>
      <c r="N830" s="121"/>
      <c r="O830" s="121"/>
      <c r="P830" s="121"/>
      <c r="Q830" s="121"/>
      <c r="R830" s="121"/>
      <c r="S830" s="121"/>
      <c r="T830" s="121"/>
      <c r="U830" s="121"/>
    </row>
    <row r="831">
      <c r="A831" s="120"/>
      <c r="B831" s="123"/>
      <c r="C831" s="124"/>
      <c r="D831" s="125"/>
      <c r="E831" s="120"/>
      <c r="F831" s="125"/>
      <c r="G831" s="125"/>
      <c r="H831" s="125"/>
      <c r="I831" s="120"/>
      <c r="J831" s="120"/>
      <c r="K831" s="120"/>
      <c r="L831" s="120"/>
      <c r="M831" s="121"/>
      <c r="N831" s="121"/>
      <c r="O831" s="121"/>
      <c r="P831" s="121"/>
      <c r="Q831" s="121"/>
      <c r="R831" s="121"/>
      <c r="S831" s="121"/>
      <c r="T831" s="121"/>
      <c r="U831" s="121"/>
    </row>
    <row r="832">
      <c r="A832" s="120"/>
      <c r="B832" s="123"/>
      <c r="C832" s="124"/>
      <c r="D832" s="125"/>
      <c r="E832" s="120"/>
      <c r="F832" s="125"/>
      <c r="G832" s="125"/>
      <c r="H832" s="125"/>
      <c r="I832" s="120"/>
      <c r="J832" s="120"/>
      <c r="K832" s="120"/>
      <c r="L832" s="120"/>
      <c r="M832" s="121"/>
      <c r="N832" s="121"/>
      <c r="O832" s="121"/>
      <c r="P832" s="121"/>
      <c r="Q832" s="121"/>
      <c r="R832" s="121"/>
      <c r="S832" s="121"/>
      <c r="T832" s="121"/>
      <c r="U832" s="121"/>
    </row>
    <row r="833">
      <c r="A833" s="120"/>
      <c r="B833" s="123"/>
      <c r="C833" s="124"/>
      <c r="D833" s="125"/>
      <c r="E833" s="120"/>
      <c r="F833" s="125"/>
      <c r="G833" s="125"/>
      <c r="H833" s="125"/>
      <c r="I833" s="120"/>
      <c r="J833" s="120"/>
      <c r="K833" s="120"/>
      <c r="L833" s="120"/>
      <c r="M833" s="121"/>
      <c r="N833" s="121"/>
      <c r="O833" s="121"/>
      <c r="P833" s="121"/>
      <c r="Q833" s="121"/>
      <c r="R833" s="121"/>
      <c r="S833" s="121"/>
      <c r="T833" s="121"/>
      <c r="U833" s="121"/>
    </row>
    <row r="834">
      <c r="A834" s="120"/>
      <c r="B834" s="123"/>
      <c r="C834" s="124"/>
      <c r="D834" s="125"/>
      <c r="E834" s="120"/>
      <c r="F834" s="125"/>
      <c r="G834" s="125"/>
      <c r="H834" s="125"/>
      <c r="I834" s="120"/>
      <c r="J834" s="120"/>
      <c r="K834" s="120"/>
      <c r="L834" s="120"/>
      <c r="M834" s="121"/>
      <c r="N834" s="121"/>
      <c r="O834" s="121"/>
      <c r="P834" s="121"/>
      <c r="Q834" s="121"/>
      <c r="R834" s="121"/>
      <c r="S834" s="121"/>
      <c r="T834" s="121"/>
      <c r="U834" s="121"/>
    </row>
    <row r="835">
      <c r="A835" s="120"/>
      <c r="B835" s="123"/>
      <c r="C835" s="124"/>
      <c r="D835" s="125"/>
      <c r="E835" s="120"/>
      <c r="F835" s="125"/>
      <c r="G835" s="125"/>
      <c r="H835" s="125"/>
      <c r="I835" s="120"/>
      <c r="J835" s="120"/>
      <c r="K835" s="120"/>
      <c r="L835" s="120"/>
      <c r="M835" s="121"/>
      <c r="N835" s="121"/>
      <c r="O835" s="121"/>
      <c r="P835" s="121"/>
      <c r="Q835" s="121"/>
      <c r="R835" s="121"/>
      <c r="S835" s="121"/>
      <c r="T835" s="121"/>
      <c r="U835" s="121"/>
    </row>
    <row r="836">
      <c r="A836" s="120"/>
      <c r="B836" s="123"/>
      <c r="C836" s="124"/>
      <c r="D836" s="125"/>
      <c r="E836" s="120"/>
      <c r="F836" s="125"/>
      <c r="G836" s="125"/>
      <c r="H836" s="125"/>
      <c r="I836" s="120"/>
      <c r="J836" s="120"/>
      <c r="K836" s="120"/>
      <c r="L836" s="120"/>
      <c r="M836" s="121"/>
      <c r="N836" s="121"/>
      <c r="O836" s="121"/>
      <c r="P836" s="121"/>
      <c r="Q836" s="121"/>
      <c r="R836" s="121"/>
      <c r="S836" s="121"/>
      <c r="T836" s="121"/>
      <c r="U836" s="121"/>
    </row>
    <row r="837">
      <c r="A837" s="120"/>
      <c r="B837" s="123"/>
      <c r="C837" s="124"/>
      <c r="D837" s="125"/>
      <c r="E837" s="120"/>
      <c r="F837" s="125"/>
      <c r="G837" s="125"/>
      <c r="H837" s="125"/>
      <c r="I837" s="120"/>
      <c r="J837" s="120"/>
      <c r="K837" s="120"/>
      <c r="L837" s="120"/>
      <c r="M837" s="121"/>
      <c r="N837" s="121"/>
      <c r="O837" s="121"/>
      <c r="P837" s="121"/>
      <c r="Q837" s="121"/>
      <c r="R837" s="121"/>
      <c r="S837" s="121"/>
      <c r="T837" s="121"/>
      <c r="U837" s="121"/>
    </row>
    <row r="838">
      <c r="A838" s="120"/>
      <c r="B838" s="123"/>
      <c r="C838" s="124"/>
      <c r="D838" s="125"/>
      <c r="E838" s="120"/>
      <c r="F838" s="125"/>
      <c r="G838" s="125"/>
      <c r="H838" s="125"/>
      <c r="I838" s="120"/>
      <c r="J838" s="120"/>
      <c r="K838" s="120"/>
      <c r="L838" s="120"/>
      <c r="M838" s="121"/>
      <c r="N838" s="121"/>
      <c r="O838" s="121"/>
      <c r="P838" s="121"/>
      <c r="Q838" s="121"/>
      <c r="R838" s="121"/>
      <c r="S838" s="121"/>
      <c r="T838" s="121"/>
      <c r="U838" s="121"/>
    </row>
    <row r="839">
      <c r="A839" s="120"/>
      <c r="B839" s="123"/>
      <c r="C839" s="124"/>
      <c r="D839" s="125"/>
      <c r="E839" s="120"/>
      <c r="F839" s="125"/>
      <c r="G839" s="125"/>
      <c r="H839" s="125"/>
      <c r="I839" s="120"/>
      <c r="J839" s="120"/>
      <c r="K839" s="120"/>
      <c r="L839" s="120"/>
      <c r="M839" s="121"/>
      <c r="N839" s="121"/>
      <c r="O839" s="121"/>
      <c r="P839" s="121"/>
      <c r="Q839" s="121"/>
      <c r="R839" s="121"/>
      <c r="S839" s="121"/>
      <c r="T839" s="121"/>
      <c r="U839" s="121"/>
    </row>
    <row r="840">
      <c r="A840" s="120"/>
      <c r="B840" s="123"/>
      <c r="C840" s="124"/>
      <c r="D840" s="125"/>
      <c r="E840" s="120"/>
      <c r="F840" s="125"/>
      <c r="G840" s="125"/>
      <c r="H840" s="125"/>
      <c r="I840" s="120"/>
      <c r="J840" s="120"/>
      <c r="K840" s="120"/>
      <c r="L840" s="120"/>
      <c r="M840" s="121"/>
      <c r="N840" s="121"/>
      <c r="O840" s="121"/>
      <c r="P840" s="121"/>
      <c r="Q840" s="121"/>
      <c r="R840" s="121"/>
      <c r="S840" s="121"/>
      <c r="T840" s="121"/>
      <c r="U840" s="121"/>
    </row>
    <row r="841">
      <c r="A841" s="120"/>
      <c r="B841" s="123"/>
      <c r="C841" s="124"/>
      <c r="D841" s="125"/>
      <c r="E841" s="120"/>
      <c r="F841" s="125"/>
      <c r="G841" s="125"/>
      <c r="H841" s="125"/>
      <c r="I841" s="120"/>
      <c r="J841" s="120"/>
      <c r="K841" s="120"/>
      <c r="L841" s="120"/>
      <c r="M841" s="121"/>
      <c r="N841" s="121"/>
      <c r="O841" s="121"/>
      <c r="P841" s="121"/>
      <c r="Q841" s="121"/>
      <c r="R841" s="121"/>
      <c r="S841" s="121"/>
      <c r="T841" s="121"/>
      <c r="U841" s="121"/>
    </row>
    <row r="842">
      <c r="A842" s="120"/>
      <c r="B842" s="123"/>
      <c r="C842" s="124"/>
      <c r="D842" s="125"/>
      <c r="E842" s="120"/>
      <c r="F842" s="125"/>
      <c r="G842" s="125"/>
      <c r="H842" s="125"/>
      <c r="I842" s="120"/>
      <c r="J842" s="120"/>
      <c r="K842" s="120"/>
      <c r="L842" s="120"/>
      <c r="M842" s="121"/>
      <c r="N842" s="121"/>
      <c r="O842" s="121"/>
      <c r="P842" s="121"/>
      <c r="Q842" s="121"/>
      <c r="R842" s="121"/>
      <c r="S842" s="121"/>
      <c r="T842" s="121"/>
      <c r="U842" s="121"/>
    </row>
    <row r="843">
      <c r="A843" s="120"/>
      <c r="B843" s="123"/>
      <c r="C843" s="124"/>
      <c r="D843" s="122"/>
      <c r="E843" s="120"/>
      <c r="F843" s="122"/>
      <c r="G843" s="122"/>
      <c r="H843" s="122"/>
      <c r="I843" s="120"/>
      <c r="J843" s="120"/>
      <c r="K843" s="120"/>
      <c r="L843" s="120"/>
      <c r="M843" s="121"/>
      <c r="N843" s="121"/>
      <c r="O843" s="121"/>
      <c r="P843" s="121"/>
      <c r="Q843" s="121"/>
      <c r="R843" s="121"/>
      <c r="S843" s="121"/>
      <c r="T843" s="121"/>
      <c r="U843" s="121"/>
    </row>
    <row r="844">
      <c r="A844" s="120"/>
      <c r="B844" s="123"/>
      <c r="C844" s="124"/>
      <c r="D844" s="122"/>
      <c r="E844" s="120"/>
      <c r="F844" s="122"/>
      <c r="G844" s="122"/>
      <c r="H844" s="122"/>
      <c r="I844" s="120"/>
      <c r="J844" s="120"/>
      <c r="K844" s="120"/>
      <c r="L844" s="120"/>
      <c r="M844" s="121"/>
      <c r="N844" s="121"/>
      <c r="O844" s="121"/>
      <c r="P844" s="121"/>
      <c r="Q844" s="121"/>
      <c r="R844" s="121"/>
      <c r="S844" s="121"/>
      <c r="T844" s="121"/>
      <c r="U844" s="121"/>
    </row>
    <row r="845">
      <c r="A845" s="120"/>
      <c r="B845" s="123"/>
      <c r="C845" s="124"/>
      <c r="D845" s="122"/>
      <c r="E845" s="120"/>
      <c r="F845" s="122"/>
      <c r="G845" s="122"/>
      <c r="H845" s="122"/>
      <c r="I845" s="120"/>
      <c r="J845" s="120"/>
      <c r="K845" s="120"/>
      <c r="L845" s="120"/>
      <c r="M845" s="121"/>
      <c r="N845" s="121"/>
      <c r="O845" s="121"/>
      <c r="P845" s="121"/>
      <c r="Q845" s="121"/>
      <c r="R845" s="121"/>
      <c r="S845" s="121"/>
      <c r="T845" s="121"/>
      <c r="U845" s="121"/>
    </row>
    <row r="846">
      <c r="A846" s="120"/>
      <c r="B846" s="123"/>
      <c r="C846" s="124"/>
      <c r="D846" s="122"/>
      <c r="E846" s="120"/>
      <c r="F846" s="122"/>
      <c r="G846" s="122"/>
      <c r="H846" s="122"/>
      <c r="I846" s="120"/>
      <c r="J846" s="120"/>
      <c r="K846" s="120"/>
      <c r="L846" s="120"/>
      <c r="M846" s="121"/>
      <c r="N846" s="121"/>
      <c r="O846" s="121"/>
      <c r="P846" s="121"/>
      <c r="Q846" s="121"/>
      <c r="R846" s="121"/>
      <c r="S846" s="121"/>
      <c r="T846" s="121"/>
      <c r="U846" s="121"/>
    </row>
    <row r="847">
      <c r="A847" s="120"/>
      <c r="B847" s="123"/>
      <c r="C847" s="124"/>
      <c r="D847" s="122"/>
      <c r="E847" s="120"/>
      <c r="F847" s="122"/>
      <c r="G847" s="122"/>
      <c r="H847" s="122"/>
      <c r="I847" s="120"/>
      <c r="J847" s="120"/>
      <c r="K847" s="120"/>
      <c r="L847" s="120"/>
      <c r="M847" s="121"/>
      <c r="N847" s="121"/>
      <c r="O847" s="121"/>
      <c r="P847" s="121"/>
      <c r="Q847" s="121"/>
      <c r="R847" s="121"/>
      <c r="S847" s="121"/>
      <c r="T847" s="121"/>
      <c r="U847" s="121"/>
    </row>
    <row r="848">
      <c r="A848" s="120"/>
      <c r="B848" s="123"/>
      <c r="C848" s="124"/>
      <c r="D848" s="122"/>
      <c r="E848" s="120"/>
      <c r="F848" s="122"/>
      <c r="G848" s="122"/>
      <c r="H848" s="122"/>
      <c r="I848" s="120"/>
      <c r="J848" s="120"/>
      <c r="K848" s="120"/>
      <c r="L848" s="120"/>
      <c r="M848" s="121"/>
      <c r="N848" s="121"/>
      <c r="O848" s="121"/>
      <c r="P848" s="121"/>
      <c r="Q848" s="121"/>
      <c r="R848" s="121"/>
      <c r="S848" s="121"/>
      <c r="T848" s="121"/>
      <c r="U848" s="121"/>
    </row>
    <row r="849">
      <c r="A849" s="120"/>
      <c r="B849" s="123"/>
      <c r="C849" s="124"/>
      <c r="D849" s="122"/>
      <c r="E849" s="120"/>
      <c r="F849" s="122"/>
      <c r="G849" s="122"/>
      <c r="H849" s="122"/>
      <c r="I849" s="120"/>
      <c r="J849" s="120"/>
      <c r="K849" s="120"/>
      <c r="L849" s="120"/>
      <c r="M849" s="121"/>
      <c r="N849" s="121"/>
      <c r="O849" s="121"/>
      <c r="P849" s="121"/>
      <c r="Q849" s="121"/>
      <c r="R849" s="121"/>
      <c r="S849" s="121"/>
      <c r="T849" s="121"/>
      <c r="U849" s="121"/>
    </row>
    <row r="850">
      <c r="A850" s="120"/>
      <c r="B850" s="123"/>
      <c r="C850" s="124"/>
      <c r="D850" s="122"/>
      <c r="E850" s="120"/>
      <c r="F850" s="122"/>
      <c r="G850" s="122"/>
      <c r="H850" s="122"/>
      <c r="I850" s="120"/>
      <c r="J850" s="120"/>
      <c r="K850" s="120"/>
      <c r="L850" s="120"/>
      <c r="M850" s="121"/>
      <c r="N850" s="121"/>
      <c r="O850" s="121"/>
      <c r="P850" s="121"/>
      <c r="Q850" s="121"/>
      <c r="R850" s="121"/>
      <c r="S850" s="121"/>
      <c r="T850" s="121"/>
      <c r="U850" s="121"/>
    </row>
    <row r="851">
      <c r="A851" s="120"/>
      <c r="B851" s="123"/>
      <c r="C851" s="124"/>
      <c r="D851" s="122"/>
      <c r="E851" s="120"/>
      <c r="F851" s="122"/>
      <c r="G851" s="122"/>
      <c r="H851" s="122"/>
      <c r="I851" s="120"/>
      <c r="J851" s="120"/>
      <c r="K851" s="120"/>
      <c r="L851" s="120"/>
      <c r="M851" s="121"/>
      <c r="N851" s="121"/>
      <c r="O851" s="121"/>
      <c r="P851" s="121"/>
      <c r="Q851" s="121"/>
      <c r="R851" s="121"/>
      <c r="S851" s="121"/>
      <c r="T851" s="121"/>
      <c r="U851" s="121"/>
    </row>
    <row r="852">
      <c r="A852" s="120"/>
      <c r="B852" s="123"/>
      <c r="C852" s="124"/>
      <c r="D852" s="122"/>
      <c r="E852" s="120"/>
      <c r="F852" s="122"/>
      <c r="G852" s="122"/>
      <c r="H852" s="122"/>
      <c r="I852" s="120"/>
      <c r="J852" s="120"/>
      <c r="K852" s="120"/>
      <c r="L852" s="120"/>
      <c r="M852" s="121"/>
      <c r="N852" s="121"/>
      <c r="O852" s="121"/>
      <c r="P852" s="121"/>
      <c r="Q852" s="121"/>
      <c r="R852" s="121"/>
      <c r="S852" s="121"/>
      <c r="T852" s="121"/>
      <c r="U852" s="121"/>
    </row>
    <row r="853">
      <c r="A853" s="120"/>
      <c r="B853" s="123"/>
      <c r="C853" s="124"/>
      <c r="D853" s="122"/>
      <c r="E853" s="120"/>
      <c r="F853" s="122"/>
      <c r="G853" s="122"/>
      <c r="H853" s="122"/>
      <c r="I853" s="120"/>
      <c r="J853" s="120"/>
      <c r="K853" s="120"/>
      <c r="L853" s="120"/>
      <c r="M853" s="121"/>
      <c r="N853" s="121"/>
      <c r="O853" s="121"/>
      <c r="P853" s="121"/>
      <c r="Q853" s="121"/>
      <c r="R853" s="121"/>
      <c r="S853" s="121"/>
      <c r="T853" s="121"/>
      <c r="U853" s="121"/>
    </row>
    <row r="854">
      <c r="A854" s="120"/>
      <c r="B854" s="123"/>
      <c r="C854" s="124"/>
      <c r="D854" s="122"/>
      <c r="E854" s="120"/>
      <c r="F854" s="122"/>
      <c r="G854" s="122"/>
      <c r="H854" s="122"/>
      <c r="I854" s="120"/>
      <c r="J854" s="120"/>
      <c r="K854" s="120"/>
      <c r="L854" s="120"/>
      <c r="M854" s="121"/>
      <c r="N854" s="121"/>
      <c r="O854" s="121"/>
      <c r="P854" s="121"/>
      <c r="Q854" s="121"/>
      <c r="R854" s="121"/>
      <c r="S854" s="121"/>
      <c r="T854" s="121"/>
      <c r="U854" s="121"/>
    </row>
    <row r="855">
      <c r="A855" s="120"/>
      <c r="B855" s="123"/>
      <c r="C855" s="124"/>
      <c r="D855" s="122"/>
      <c r="E855" s="120"/>
      <c r="F855" s="122"/>
      <c r="G855" s="122"/>
      <c r="H855" s="122"/>
      <c r="I855" s="120"/>
      <c r="J855" s="120"/>
      <c r="K855" s="120"/>
      <c r="L855" s="120"/>
      <c r="M855" s="121"/>
      <c r="N855" s="121"/>
      <c r="O855" s="121"/>
      <c r="P855" s="121"/>
      <c r="Q855" s="121"/>
      <c r="R855" s="121"/>
      <c r="S855" s="121"/>
      <c r="T855" s="121"/>
      <c r="U855" s="121"/>
    </row>
    <row r="856">
      <c r="A856" s="120"/>
      <c r="B856" s="123"/>
      <c r="C856" s="124"/>
      <c r="D856" s="122"/>
      <c r="E856" s="120"/>
      <c r="F856" s="122"/>
      <c r="G856" s="122"/>
      <c r="H856" s="122"/>
      <c r="I856" s="120"/>
      <c r="J856" s="120"/>
      <c r="K856" s="120"/>
      <c r="L856" s="120"/>
      <c r="M856" s="121"/>
      <c r="N856" s="121"/>
      <c r="O856" s="121"/>
      <c r="P856" s="121"/>
      <c r="Q856" s="121"/>
      <c r="R856" s="121"/>
      <c r="S856" s="121"/>
      <c r="T856" s="121"/>
      <c r="U856" s="121"/>
    </row>
    <row r="857">
      <c r="A857" s="120"/>
      <c r="B857" s="123"/>
      <c r="C857" s="124"/>
      <c r="D857" s="122"/>
      <c r="E857" s="120"/>
      <c r="F857" s="122"/>
      <c r="G857" s="122"/>
      <c r="H857" s="122"/>
      <c r="I857" s="120"/>
      <c r="J857" s="120"/>
      <c r="K857" s="120"/>
      <c r="L857" s="120"/>
      <c r="M857" s="121"/>
      <c r="N857" s="121"/>
      <c r="O857" s="121"/>
      <c r="P857" s="121"/>
      <c r="Q857" s="121"/>
      <c r="R857" s="121"/>
      <c r="S857" s="121"/>
      <c r="T857" s="121"/>
      <c r="U857" s="121"/>
    </row>
    <row r="858">
      <c r="A858" s="120"/>
      <c r="B858" s="123"/>
      <c r="C858" s="124"/>
      <c r="D858" s="122"/>
      <c r="E858" s="120"/>
      <c r="F858" s="122"/>
      <c r="G858" s="122"/>
      <c r="H858" s="122"/>
      <c r="I858" s="120"/>
      <c r="J858" s="120"/>
      <c r="K858" s="120"/>
      <c r="L858" s="120"/>
      <c r="M858" s="121"/>
      <c r="N858" s="121"/>
      <c r="O858" s="121"/>
      <c r="P858" s="121"/>
      <c r="Q858" s="121"/>
      <c r="R858" s="121"/>
      <c r="S858" s="121"/>
      <c r="T858" s="121"/>
      <c r="U858" s="121"/>
    </row>
    <row r="859">
      <c r="A859" s="120"/>
      <c r="B859" s="123"/>
      <c r="C859" s="124"/>
      <c r="D859" s="122"/>
      <c r="E859" s="120"/>
      <c r="F859" s="122"/>
      <c r="G859" s="122"/>
      <c r="H859" s="122"/>
      <c r="I859" s="120"/>
      <c r="J859" s="120"/>
      <c r="K859" s="120"/>
      <c r="L859" s="120"/>
      <c r="M859" s="121"/>
      <c r="N859" s="121"/>
      <c r="O859" s="121"/>
      <c r="P859" s="121"/>
      <c r="Q859" s="121"/>
      <c r="R859" s="121"/>
      <c r="S859" s="121"/>
      <c r="T859" s="121"/>
      <c r="U859" s="121"/>
    </row>
    <row r="860">
      <c r="A860" s="120"/>
      <c r="B860" s="123"/>
      <c r="C860" s="124"/>
      <c r="D860" s="122"/>
      <c r="E860" s="120"/>
      <c r="F860" s="122"/>
      <c r="G860" s="122"/>
      <c r="H860" s="122"/>
      <c r="I860" s="120"/>
      <c r="J860" s="120"/>
      <c r="K860" s="120"/>
      <c r="L860" s="120"/>
      <c r="M860" s="121"/>
      <c r="N860" s="121"/>
      <c r="O860" s="121"/>
      <c r="P860" s="121"/>
      <c r="Q860" s="121"/>
      <c r="R860" s="121"/>
      <c r="S860" s="121"/>
      <c r="T860" s="121"/>
      <c r="U860" s="121"/>
    </row>
    <row r="861">
      <c r="A861" s="120"/>
      <c r="B861" s="123"/>
      <c r="C861" s="124"/>
      <c r="D861" s="125"/>
      <c r="E861" s="120"/>
      <c r="F861" s="125"/>
      <c r="G861" s="125"/>
      <c r="H861" s="125"/>
      <c r="I861" s="120"/>
      <c r="J861" s="120"/>
      <c r="K861" s="120"/>
      <c r="L861" s="120"/>
      <c r="M861" s="121"/>
      <c r="N861" s="121"/>
      <c r="O861" s="121"/>
      <c r="P861" s="121"/>
      <c r="Q861" s="121"/>
      <c r="R861" s="121"/>
      <c r="S861" s="121"/>
      <c r="T861" s="121"/>
      <c r="U861" s="121"/>
    </row>
    <row r="862">
      <c r="A862" s="120"/>
      <c r="B862" s="123"/>
      <c r="C862" s="124"/>
      <c r="D862" s="125"/>
      <c r="E862" s="120"/>
      <c r="F862" s="125"/>
      <c r="G862" s="125"/>
      <c r="H862" s="125"/>
      <c r="I862" s="120"/>
      <c r="J862" s="120"/>
      <c r="K862" s="120"/>
      <c r="L862" s="120"/>
      <c r="M862" s="121"/>
      <c r="N862" s="121"/>
      <c r="O862" s="121"/>
      <c r="P862" s="121"/>
      <c r="Q862" s="121"/>
      <c r="R862" s="121"/>
      <c r="S862" s="121"/>
      <c r="T862" s="121"/>
      <c r="U862" s="121"/>
    </row>
    <row r="863">
      <c r="A863" s="120"/>
      <c r="B863" s="123"/>
      <c r="C863" s="124"/>
      <c r="D863" s="125"/>
      <c r="E863" s="120"/>
      <c r="F863" s="125"/>
      <c r="G863" s="125"/>
      <c r="H863" s="125"/>
      <c r="I863" s="120"/>
      <c r="J863" s="120"/>
      <c r="K863" s="120"/>
      <c r="L863" s="120"/>
      <c r="M863" s="121"/>
      <c r="N863" s="121"/>
      <c r="O863" s="121"/>
      <c r="P863" s="121"/>
      <c r="Q863" s="121"/>
      <c r="R863" s="121"/>
      <c r="S863" s="121"/>
      <c r="T863" s="121"/>
      <c r="U863" s="121"/>
    </row>
    <row r="864">
      <c r="A864" s="120"/>
      <c r="B864" s="123"/>
      <c r="C864" s="124"/>
      <c r="D864" s="125"/>
      <c r="E864" s="120"/>
      <c r="F864" s="125"/>
      <c r="G864" s="125"/>
      <c r="H864" s="125"/>
      <c r="I864" s="120"/>
      <c r="J864" s="120"/>
      <c r="K864" s="120"/>
      <c r="L864" s="120"/>
      <c r="M864" s="121"/>
      <c r="N864" s="121"/>
      <c r="O864" s="121"/>
      <c r="P864" s="121"/>
      <c r="Q864" s="121"/>
      <c r="R864" s="121"/>
      <c r="S864" s="121"/>
      <c r="T864" s="121"/>
      <c r="U864" s="121"/>
    </row>
    <row r="865">
      <c r="A865" s="120"/>
      <c r="B865" s="123"/>
      <c r="C865" s="124"/>
      <c r="D865" s="125"/>
      <c r="E865" s="120"/>
      <c r="F865" s="125"/>
      <c r="G865" s="125"/>
      <c r="H865" s="125"/>
      <c r="I865" s="120"/>
      <c r="J865" s="120"/>
      <c r="K865" s="120"/>
      <c r="L865" s="120"/>
      <c r="M865" s="121"/>
      <c r="N865" s="121"/>
      <c r="O865" s="121"/>
      <c r="P865" s="121"/>
      <c r="Q865" s="121"/>
      <c r="R865" s="121"/>
      <c r="S865" s="121"/>
      <c r="T865" s="121"/>
      <c r="U865" s="121"/>
    </row>
    <row r="866">
      <c r="A866" s="120"/>
      <c r="B866" s="123"/>
      <c r="C866" s="124"/>
      <c r="D866" s="125"/>
      <c r="E866" s="120"/>
      <c r="F866" s="125"/>
      <c r="G866" s="125"/>
      <c r="H866" s="125"/>
      <c r="I866" s="120"/>
      <c r="J866" s="120"/>
      <c r="K866" s="120"/>
      <c r="L866" s="120"/>
      <c r="M866" s="121"/>
      <c r="N866" s="121"/>
      <c r="O866" s="121"/>
      <c r="P866" s="121"/>
      <c r="Q866" s="121"/>
      <c r="R866" s="121"/>
      <c r="S866" s="121"/>
      <c r="T866" s="121"/>
      <c r="U866" s="121"/>
    </row>
    <row r="867">
      <c r="A867" s="120"/>
      <c r="B867" s="123"/>
      <c r="C867" s="124"/>
      <c r="D867" s="125"/>
      <c r="E867" s="120"/>
      <c r="F867" s="125"/>
      <c r="G867" s="125"/>
      <c r="H867" s="125"/>
      <c r="I867" s="120"/>
      <c r="J867" s="120"/>
      <c r="K867" s="120"/>
      <c r="L867" s="120"/>
      <c r="M867" s="121"/>
      <c r="N867" s="121"/>
      <c r="O867" s="121"/>
      <c r="P867" s="121"/>
      <c r="Q867" s="121"/>
      <c r="R867" s="121"/>
      <c r="S867" s="121"/>
      <c r="T867" s="121"/>
      <c r="U867" s="121"/>
    </row>
    <row r="868">
      <c r="A868" s="120"/>
      <c r="B868" s="123"/>
      <c r="C868" s="124"/>
      <c r="D868" s="125"/>
      <c r="E868" s="120"/>
      <c r="F868" s="125"/>
      <c r="G868" s="125"/>
      <c r="H868" s="125"/>
      <c r="I868" s="120"/>
      <c r="J868" s="120"/>
      <c r="K868" s="120"/>
      <c r="L868" s="120"/>
      <c r="M868" s="121"/>
      <c r="N868" s="121"/>
      <c r="O868" s="121"/>
      <c r="P868" s="121"/>
      <c r="Q868" s="121"/>
      <c r="R868" s="121"/>
      <c r="S868" s="121"/>
      <c r="T868" s="121"/>
      <c r="U868" s="121"/>
    </row>
    <row r="869">
      <c r="A869" s="120"/>
      <c r="B869" s="123"/>
      <c r="C869" s="124"/>
      <c r="D869" s="125"/>
      <c r="E869" s="120"/>
      <c r="F869" s="125"/>
      <c r="G869" s="125"/>
      <c r="H869" s="125"/>
      <c r="I869" s="120"/>
      <c r="J869" s="120"/>
      <c r="K869" s="120"/>
      <c r="L869" s="120"/>
      <c r="M869" s="121"/>
      <c r="N869" s="121"/>
      <c r="O869" s="121"/>
      <c r="P869" s="121"/>
      <c r="Q869" s="121"/>
      <c r="R869" s="121"/>
      <c r="S869" s="121"/>
      <c r="T869" s="121"/>
      <c r="U869" s="121"/>
    </row>
    <row r="870">
      <c r="A870" s="120"/>
      <c r="B870" s="123"/>
      <c r="C870" s="124"/>
      <c r="D870" s="125"/>
      <c r="E870" s="120"/>
      <c r="F870" s="125"/>
      <c r="G870" s="125"/>
      <c r="H870" s="125"/>
      <c r="I870" s="120"/>
      <c r="J870" s="120"/>
      <c r="K870" s="120"/>
      <c r="L870" s="120"/>
      <c r="M870" s="121"/>
      <c r="N870" s="121"/>
      <c r="O870" s="121"/>
      <c r="P870" s="121"/>
      <c r="Q870" s="121"/>
      <c r="R870" s="121"/>
      <c r="S870" s="121"/>
      <c r="T870" s="121"/>
      <c r="U870" s="121"/>
    </row>
    <row r="871">
      <c r="A871" s="120"/>
      <c r="B871" s="123"/>
      <c r="C871" s="124"/>
      <c r="D871" s="125"/>
      <c r="E871" s="120"/>
      <c r="F871" s="125"/>
      <c r="G871" s="125"/>
      <c r="H871" s="125"/>
      <c r="I871" s="120"/>
      <c r="J871" s="120"/>
      <c r="K871" s="120"/>
      <c r="L871" s="120"/>
      <c r="M871" s="121"/>
      <c r="N871" s="121"/>
      <c r="O871" s="121"/>
      <c r="P871" s="121"/>
      <c r="Q871" s="121"/>
      <c r="R871" s="121"/>
      <c r="S871" s="121"/>
      <c r="T871" s="121"/>
      <c r="U871" s="121"/>
    </row>
    <row r="872">
      <c r="A872" s="120"/>
      <c r="B872" s="123"/>
      <c r="C872" s="124"/>
      <c r="D872" s="125"/>
      <c r="E872" s="120"/>
      <c r="F872" s="125"/>
      <c r="G872" s="125"/>
      <c r="H872" s="125"/>
      <c r="I872" s="120"/>
      <c r="J872" s="120"/>
      <c r="K872" s="120"/>
      <c r="L872" s="120"/>
      <c r="M872" s="121"/>
      <c r="N872" s="121"/>
      <c r="O872" s="121"/>
      <c r="P872" s="121"/>
      <c r="Q872" s="121"/>
      <c r="R872" s="121"/>
      <c r="S872" s="121"/>
      <c r="T872" s="121"/>
      <c r="U872" s="121"/>
    </row>
    <row r="873">
      <c r="A873" s="120"/>
      <c r="B873" s="123"/>
      <c r="C873" s="124"/>
      <c r="D873" s="125"/>
      <c r="E873" s="120"/>
      <c r="F873" s="125"/>
      <c r="G873" s="125"/>
      <c r="H873" s="125"/>
      <c r="I873" s="120"/>
      <c r="J873" s="120"/>
      <c r="K873" s="120"/>
      <c r="L873" s="120"/>
      <c r="M873" s="121"/>
      <c r="N873" s="121"/>
      <c r="O873" s="121"/>
      <c r="P873" s="121"/>
      <c r="Q873" s="121"/>
      <c r="R873" s="121"/>
      <c r="S873" s="121"/>
      <c r="T873" s="121"/>
      <c r="U873" s="121"/>
    </row>
    <row r="874">
      <c r="A874" s="120"/>
      <c r="B874" s="123"/>
      <c r="C874" s="124"/>
      <c r="D874" s="125"/>
      <c r="E874" s="120"/>
      <c r="F874" s="125"/>
      <c r="G874" s="125"/>
      <c r="H874" s="125"/>
      <c r="I874" s="120"/>
      <c r="J874" s="120"/>
      <c r="K874" s="120"/>
      <c r="L874" s="120"/>
      <c r="M874" s="121"/>
      <c r="N874" s="121"/>
      <c r="O874" s="121"/>
      <c r="P874" s="121"/>
      <c r="Q874" s="121"/>
      <c r="R874" s="121"/>
      <c r="S874" s="121"/>
      <c r="T874" s="121"/>
      <c r="U874" s="121"/>
    </row>
    <row r="875">
      <c r="A875" s="120"/>
      <c r="B875" s="123"/>
      <c r="C875" s="124"/>
      <c r="D875" s="125"/>
      <c r="E875" s="120"/>
      <c r="F875" s="125"/>
      <c r="G875" s="125"/>
      <c r="H875" s="125"/>
      <c r="I875" s="120"/>
      <c r="J875" s="120"/>
      <c r="K875" s="120"/>
      <c r="L875" s="120"/>
      <c r="M875" s="121"/>
      <c r="N875" s="121"/>
      <c r="O875" s="121"/>
      <c r="P875" s="121"/>
      <c r="Q875" s="121"/>
      <c r="R875" s="121"/>
      <c r="S875" s="121"/>
      <c r="T875" s="121"/>
      <c r="U875" s="121"/>
    </row>
    <row r="876">
      <c r="A876" s="120"/>
      <c r="B876" s="123"/>
      <c r="C876" s="124"/>
      <c r="D876" s="125"/>
      <c r="E876" s="120"/>
      <c r="F876" s="125"/>
      <c r="G876" s="125"/>
      <c r="H876" s="125"/>
      <c r="I876" s="120"/>
      <c r="J876" s="120"/>
      <c r="K876" s="120"/>
      <c r="L876" s="120"/>
      <c r="M876" s="121"/>
      <c r="N876" s="121"/>
      <c r="O876" s="121"/>
      <c r="P876" s="121"/>
      <c r="Q876" s="121"/>
      <c r="R876" s="121"/>
      <c r="S876" s="121"/>
      <c r="T876" s="121"/>
      <c r="U876" s="121"/>
    </row>
    <row r="877">
      <c r="A877" s="120"/>
      <c r="B877" s="123"/>
      <c r="C877" s="124"/>
      <c r="D877" s="125"/>
      <c r="E877" s="120"/>
      <c r="F877" s="125"/>
      <c r="G877" s="125"/>
      <c r="H877" s="125"/>
      <c r="I877" s="120"/>
      <c r="J877" s="120"/>
      <c r="K877" s="120"/>
      <c r="L877" s="120"/>
      <c r="M877" s="121"/>
      <c r="N877" s="121"/>
      <c r="O877" s="121"/>
      <c r="P877" s="121"/>
      <c r="Q877" s="121"/>
      <c r="R877" s="121"/>
      <c r="S877" s="121"/>
      <c r="T877" s="121"/>
      <c r="U877" s="121"/>
    </row>
    <row r="878">
      <c r="A878" s="120"/>
      <c r="B878" s="123"/>
      <c r="C878" s="124"/>
      <c r="D878" s="125"/>
      <c r="E878" s="120"/>
      <c r="F878" s="125"/>
      <c r="G878" s="125"/>
      <c r="H878" s="125"/>
      <c r="I878" s="120"/>
      <c r="J878" s="120"/>
      <c r="K878" s="120"/>
      <c r="L878" s="120"/>
      <c r="M878" s="121"/>
      <c r="N878" s="121"/>
      <c r="O878" s="121"/>
      <c r="P878" s="121"/>
      <c r="Q878" s="121"/>
      <c r="R878" s="121"/>
      <c r="S878" s="121"/>
      <c r="T878" s="121"/>
      <c r="U878" s="121"/>
    </row>
    <row r="879">
      <c r="A879" s="120"/>
      <c r="B879" s="123"/>
      <c r="C879" s="124"/>
      <c r="D879" s="125"/>
      <c r="E879" s="120"/>
      <c r="F879" s="125"/>
      <c r="G879" s="125"/>
      <c r="H879" s="125"/>
      <c r="I879" s="120"/>
      <c r="J879" s="120"/>
      <c r="K879" s="120"/>
      <c r="L879" s="120"/>
      <c r="M879" s="121"/>
      <c r="N879" s="121"/>
      <c r="O879" s="121"/>
      <c r="P879" s="121"/>
      <c r="Q879" s="121"/>
      <c r="R879" s="121"/>
      <c r="S879" s="121"/>
      <c r="T879" s="121"/>
      <c r="U879" s="121"/>
    </row>
    <row r="880">
      <c r="A880" s="120"/>
      <c r="B880" s="123"/>
      <c r="C880" s="124"/>
      <c r="D880" s="125"/>
      <c r="E880" s="120"/>
      <c r="F880" s="125"/>
      <c r="G880" s="125"/>
      <c r="H880" s="125"/>
      <c r="I880" s="120"/>
      <c r="J880" s="120"/>
      <c r="K880" s="120"/>
      <c r="L880" s="120"/>
      <c r="M880" s="121"/>
      <c r="N880" s="121"/>
      <c r="O880" s="121"/>
      <c r="P880" s="121"/>
      <c r="Q880" s="121"/>
      <c r="R880" s="121"/>
      <c r="S880" s="121"/>
      <c r="T880" s="121"/>
      <c r="U880" s="121"/>
    </row>
    <row r="881">
      <c r="A881" s="120"/>
      <c r="B881" s="123"/>
      <c r="C881" s="124"/>
      <c r="D881" s="125"/>
      <c r="E881" s="120"/>
      <c r="F881" s="125"/>
      <c r="G881" s="125"/>
      <c r="H881" s="125"/>
      <c r="I881" s="120"/>
      <c r="J881" s="120"/>
      <c r="K881" s="120"/>
      <c r="L881" s="120"/>
      <c r="M881" s="121"/>
      <c r="N881" s="121"/>
      <c r="O881" s="121"/>
      <c r="P881" s="121"/>
      <c r="Q881" s="121"/>
      <c r="R881" s="121"/>
      <c r="S881" s="121"/>
      <c r="T881" s="121"/>
      <c r="U881" s="121"/>
    </row>
    <row r="882">
      <c r="A882" s="120"/>
      <c r="B882" s="123"/>
      <c r="C882" s="124"/>
      <c r="D882" s="125"/>
      <c r="E882" s="120"/>
      <c r="F882" s="125"/>
      <c r="G882" s="125"/>
      <c r="H882" s="125"/>
      <c r="I882" s="120"/>
      <c r="J882" s="120"/>
      <c r="K882" s="120"/>
      <c r="L882" s="120"/>
      <c r="M882" s="121"/>
      <c r="N882" s="121"/>
      <c r="O882" s="121"/>
      <c r="P882" s="121"/>
      <c r="Q882" s="121"/>
      <c r="R882" s="121"/>
      <c r="S882" s="121"/>
      <c r="T882" s="121"/>
      <c r="U882" s="121"/>
    </row>
    <row r="883">
      <c r="A883" s="120"/>
      <c r="B883" s="123"/>
      <c r="C883" s="124"/>
      <c r="D883" s="125"/>
      <c r="E883" s="120"/>
      <c r="F883" s="125"/>
      <c r="G883" s="125"/>
      <c r="H883" s="125"/>
      <c r="I883" s="120"/>
      <c r="J883" s="120"/>
      <c r="K883" s="120"/>
      <c r="L883" s="120"/>
      <c r="M883" s="121"/>
      <c r="N883" s="121"/>
      <c r="O883" s="121"/>
      <c r="P883" s="121"/>
      <c r="Q883" s="121"/>
      <c r="R883" s="121"/>
      <c r="S883" s="121"/>
      <c r="T883" s="121"/>
      <c r="U883" s="121"/>
    </row>
    <row r="884">
      <c r="A884" s="120"/>
      <c r="B884" s="123"/>
      <c r="C884" s="124"/>
      <c r="D884" s="125"/>
      <c r="E884" s="120"/>
      <c r="F884" s="125"/>
      <c r="G884" s="125"/>
      <c r="H884" s="125"/>
      <c r="I884" s="120"/>
      <c r="J884" s="120"/>
      <c r="K884" s="120"/>
      <c r="L884" s="120"/>
      <c r="M884" s="121"/>
      <c r="N884" s="121"/>
      <c r="O884" s="121"/>
      <c r="P884" s="121"/>
      <c r="Q884" s="121"/>
      <c r="R884" s="121"/>
      <c r="S884" s="121"/>
      <c r="T884" s="121"/>
      <c r="U884" s="121"/>
    </row>
    <row r="885">
      <c r="A885" s="120"/>
      <c r="B885" s="123"/>
      <c r="C885" s="124"/>
      <c r="D885" s="125"/>
      <c r="E885" s="120"/>
      <c r="F885" s="125"/>
      <c r="G885" s="125"/>
      <c r="H885" s="125"/>
      <c r="I885" s="120"/>
      <c r="J885" s="120"/>
      <c r="K885" s="120"/>
      <c r="L885" s="120"/>
      <c r="M885" s="121"/>
      <c r="N885" s="121"/>
      <c r="O885" s="121"/>
      <c r="P885" s="121"/>
      <c r="Q885" s="121"/>
      <c r="R885" s="121"/>
      <c r="S885" s="121"/>
      <c r="T885" s="121"/>
      <c r="U885" s="121"/>
    </row>
    <row r="886">
      <c r="A886" s="120"/>
      <c r="B886" s="123"/>
      <c r="C886" s="124"/>
      <c r="D886" s="125"/>
      <c r="E886" s="120"/>
      <c r="F886" s="125"/>
      <c r="G886" s="125"/>
      <c r="H886" s="125"/>
      <c r="I886" s="120"/>
      <c r="J886" s="120"/>
      <c r="K886" s="120"/>
      <c r="L886" s="120"/>
      <c r="M886" s="121"/>
      <c r="N886" s="121"/>
      <c r="O886" s="121"/>
      <c r="P886" s="121"/>
      <c r="Q886" s="121"/>
      <c r="R886" s="121"/>
      <c r="S886" s="121"/>
      <c r="T886" s="121"/>
      <c r="U886" s="121"/>
    </row>
    <row r="887">
      <c r="A887" s="120"/>
      <c r="B887" s="123"/>
      <c r="C887" s="124"/>
      <c r="D887" s="125"/>
      <c r="E887" s="120"/>
      <c r="F887" s="125"/>
      <c r="G887" s="125"/>
      <c r="H887" s="125"/>
      <c r="I887" s="120"/>
      <c r="J887" s="120"/>
      <c r="K887" s="120"/>
      <c r="L887" s="120"/>
      <c r="M887" s="121"/>
      <c r="N887" s="121"/>
      <c r="O887" s="121"/>
      <c r="P887" s="121"/>
      <c r="Q887" s="121"/>
      <c r="R887" s="121"/>
      <c r="S887" s="121"/>
      <c r="T887" s="121"/>
      <c r="U887" s="121"/>
    </row>
    <row r="888">
      <c r="A888" s="120"/>
      <c r="B888" s="123"/>
      <c r="C888" s="124"/>
      <c r="D888" s="125"/>
      <c r="E888" s="120"/>
      <c r="F888" s="125"/>
      <c r="G888" s="125"/>
      <c r="H888" s="125"/>
      <c r="I888" s="120"/>
      <c r="J888" s="120"/>
      <c r="K888" s="120"/>
      <c r="L888" s="120"/>
      <c r="M888" s="121"/>
      <c r="N888" s="121"/>
      <c r="O888" s="121"/>
      <c r="P888" s="121"/>
      <c r="Q888" s="121"/>
      <c r="R888" s="121"/>
      <c r="S888" s="121"/>
      <c r="T888" s="121"/>
      <c r="U888" s="121"/>
    </row>
    <row r="889">
      <c r="A889" s="120"/>
      <c r="B889" s="123"/>
      <c r="C889" s="124"/>
      <c r="D889" s="125"/>
      <c r="E889" s="120"/>
      <c r="F889" s="125"/>
      <c r="G889" s="125"/>
      <c r="H889" s="125"/>
      <c r="I889" s="120"/>
      <c r="J889" s="120"/>
      <c r="K889" s="120"/>
      <c r="L889" s="120"/>
      <c r="M889" s="121"/>
      <c r="N889" s="121"/>
      <c r="O889" s="121"/>
      <c r="P889" s="121"/>
      <c r="Q889" s="121"/>
      <c r="R889" s="121"/>
      <c r="S889" s="121"/>
      <c r="T889" s="121"/>
      <c r="U889" s="121"/>
    </row>
    <row r="890">
      <c r="A890" s="120"/>
      <c r="B890" s="123"/>
      <c r="C890" s="124"/>
      <c r="D890" s="125"/>
      <c r="E890" s="120"/>
      <c r="F890" s="125"/>
      <c r="G890" s="125"/>
      <c r="H890" s="125"/>
      <c r="I890" s="120"/>
      <c r="J890" s="120"/>
      <c r="K890" s="120"/>
      <c r="L890" s="120"/>
      <c r="M890" s="121"/>
      <c r="N890" s="121"/>
      <c r="O890" s="121"/>
      <c r="P890" s="121"/>
      <c r="Q890" s="121"/>
      <c r="R890" s="121"/>
      <c r="S890" s="121"/>
      <c r="T890" s="121"/>
      <c r="U890" s="121"/>
    </row>
    <row r="891">
      <c r="A891" s="120"/>
      <c r="B891" s="123"/>
      <c r="C891" s="124"/>
      <c r="D891" s="125"/>
      <c r="E891" s="120"/>
      <c r="F891" s="125"/>
      <c r="G891" s="125"/>
      <c r="H891" s="125"/>
      <c r="I891" s="120"/>
      <c r="J891" s="120"/>
      <c r="K891" s="120"/>
      <c r="L891" s="120"/>
      <c r="M891" s="121"/>
      <c r="N891" s="121"/>
      <c r="O891" s="121"/>
      <c r="P891" s="121"/>
      <c r="Q891" s="121"/>
      <c r="R891" s="121"/>
      <c r="S891" s="121"/>
      <c r="T891" s="121"/>
      <c r="U891" s="121"/>
    </row>
    <row r="892">
      <c r="A892" s="120"/>
      <c r="B892" s="123"/>
      <c r="C892" s="124"/>
      <c r="D892" s="125"/>
      <c r="E892" s="120"/>
      <c r="F892" s="125"/>
      <c r="G892" s="125"/>
      <c r="H892" s="125"/>
      <c r="I892" s="120"/>
      <c r="J892" s="120"/>
      <c r="K892" s="120"/>
      <c r="L892" s="120"/>
      <c r="M892" s="121"/>
      <c r="N892" s="121"/>
      <c r="O892" s="121"/>
      <c r="P892" s="121"/>
      <c r="Q892" s="121"/>
      <c r="R892" s="121"/>
      <c r="S892" s="121"/>
      <c r="T892" s="121"/>
      <c r="U892" s="121"/>
    </row>
    <row r="893">
      <c r="A893" s="120"/>
      <c r="B893" s="123"/>
      <c r="C893" s="124"/>
      <c r="D893" s="125"/>
      <c r="E893" s="120"/>
      <c r="F893" s="125"/>
      <c r="G893" s="125"/>
      <c r="H893" s="125"/>
      <c r="I893" s="120"/>
      <c r="J893" s="120"/>
      <c r="K893" s="120"/>
      <c r="L893" s="120"/>
      <c r="M893" s="121"/>
      <c r="N893" s="121"/>
      <c r="O893" s="121"/>
      <c r="P893" s="121"/>
      <c r="Q893" s="121"/>
      <c r="R893" s="121"/>
      <c r="S893" s="121"/>
      <c r="T893" s="121"/>
      <c r="U893" s="121"/>
    </row>
    <row r="894">
      <c r="A894" s="120"/>
      <c r="B894" s="123"/>
      <c r="C894" s="124"/>
      <c r="D894" s="125"/>
      <c r="E894" s="120"/>
      <c r="F894" s="125"/>
      <c r="G894" s="125"/>
      <c r="H894" s="125"/>
      <c r="I894" s="120"/>
      <c r="J894" s="120"/>
      <c r="K894" s="120"/>
      <c r="L894" s="120"/>
      <c r="M894" s="121"/>
      <c r="N894" s="121"/>
      <c r="O894" s="121"/>
      <c r="P894" s="121"/>
      <c r="Q894" s="121"/>
      <c r="R894" s="121"/>
      <c r="S894" s="121"/>
      <c r="T894" s="121"/>
      <c r="U894" s="121"/>
    </row>
    <row r="895">
      <c r="A895" s="120"/>
      <c r="B895" s="123"/>
      <c r="C895" s="124"/>
      <c r="D895" s="125"/>
      <c r="E895" s="120"/>
      <c r="F895" s="125"/>
      <c r="G895" s="125"/>
      <c r="H895" s="125"/>
      <c r="I895" s="120"/>
      <c r="J895" s="120"/>
      <c r="K895" s="120"/>
      <c r="L895" s="120"/>
      <c r="M895" s="121"/>
      <c r="N895" s="121"/>
      <c r="O895" s="121"/>
      <c r="P895" s="121"/>
      <c r="Q895" s="121"/>
      <c r="R895" s="121"/>
      <c r="S895" s="121"/>
      <c r="T895" s="121"/>
      <c r="U895" s="121"/>
    </row>
    <row r="896">
      <c r="A896" s="120"/>
      <c r="B896" s="123"/>
      <c r="C896" s="124"/>
      <c r="D896" s="125"/>
      <c r="E896" s="120"/>
      <c r="F896" s="125"/>
      <c r="G896" s="125"/>
      <c r="H896" s="125"/>
      <c r="I896" s="120"/>
      <c r="J896" s="120"/>
      <c r="K896" s="120"/>
      <c r="L896" s="120"/>
      <c r="M896" s="121"/>
      <c r="N896" s="121"/>
      <c r="O896" s="121"/>
      <c r="P896" s="121"/>
      <c r="Q896" s="121"/>
      <c r="R896" s="121"/>
      <c r="S896" s="121"/>
      <c r="T896" s="121"/>
      <c r="U896" s="121"/>
    </row>
    <row r="897">
      <c r="A897" s="120"/>
      <c r="B897" s="123"/>
      <c r="C897" s="124"/>
      <c r="D897" s="125"/>
      <c r="E897" s="120"/>
      <c r="F897" s="125"/>
      <c r="G897" s="125"/>
      <c r="H897" s="125"/>
      <c r="I897" s="120"/>
      <c r="J897" s="120"/>
      <c r="K897" s="120"/>
      <c r="L897" s="120"/>
      <c r="M897" s="121"/>
      <c r="N897" s="121"/>
      <c r="O897" s="121"/>
      <c r="P897" s="121"/>
      <c r="Q897" s="121"/>
      <c r="R897" s="121"/>
      <c r="S897" s="121"/>
      <c r="T897" s="121"/>
      <c r="U897" s="121"/>
    </row>
    <row r="898">
      <c r="A898" s="120"/>
      <c r="B898" s="123"/>
      <c r="C898" s="124"/>
      <c r="D898" s="125"/>
      <c r="E898" s="120"/>
      <c r="F898" s="125"/>
      <c r="G898" s="125"/>
      <c r="H898" s="125"/>
      <c r="I898" s="120"/>
      <c r="J898" s="120"/>
      <c r="K898" s="120"/>
      <c r="L898" s="120"/>
      <c r="M898" s="121"/>
      <c r="N898" s="121"/>
      <c r="O898" s="121"/>
      <c r="P898" s="121"/>
      <c r="Q898" s="121"/>
      <c r="R898" s="121"/>
      <c r="S898" s="121"/>
      <c r="T898" s="121"/>
      <c r="U898" s="121"/>
    </row>
    <row r="899">
      <c r="A899" s="120"/>
      <c r="B899" s="123"/>
      <c r="C899" s="124"/>
      <c r="D899" s="125"/>
      <c r="E899" s="120"/>
      <c r="F899" s="125"/>
      <c r="G899" s="125"/>
      <c r="H899" s="125"/>
      <c r="I899" s="120"/>
      <c r="J899" s="120"/>
      <c r="K899" s="120"/>
      <c r="L899" s="120"/>
      <c r="M899" s="121"/>
      <c r="N899" s="121"/>
      <c r="O899" s="121"/>
      <c r="P899" s="121"/>
      <c r="Q899" s="121"/>
      <c r="R899" s="121"/>
      <c r="S899" s="121"/>
      <c r="T899" s="121"/>
      <c r="U899" s="121"/>
    </row>
    <row r="900">
      <c r="A900" s="120"/>
      <c r="B900" s="123"/>
      <c r="C900" s="124"/>
      <c r="D900" s="125"/>
      <c r="E900" s="120"/>
      <c r="F900" s="125"/>
      <c r="G900" s="125"/>
      <c r="H900" s="125"/>
      <c r="I900" s="120"/>
      <c r="J900" s="120"/>
      <c r="K900" s="120"/>
      <c r="L900" s="120"/>
      <c r="M900" s="121"/>
      <c r="N900" s="121"/>
      <c r="O900" s="121"/>
      <c r="P900" s="121"/>
      <c r="Q900" s="121"/>
      <c r="R900" s="121"/>
      <c r="S900" s="121"/>
      <c r="T900" s="121"/>
      <c r="U900" s="121"/>
    </row>
    <row r="901">
      <c r="A901" s="120"/>
      <c r="B901" s="123"/>
      <c r="C901" s="124"/>
      <c r="D901" s="125"/>
      <c r="E901" s="120"/>
      <c r="F901" s="125"/>
      <c r="G901" s="125"/>
      <c r="H901" s="125"/>
      <c r="I901" s="120"/>
      <c r="J901" s="120"/>
      <c r="K901" s="120"/>
      <c r="L901" s="120"/>
      <c r="M901" s="121"/>
      <c r="N901" s="121"/>
      <c r="O901" s="121"/>
      <c r="P901" s="121"/>
      <c r="Q901" s="121"/>
      <c r="R901" s="121"/>
      <c r="S901" s="121"/>
      <c r="T901" s="121"/>
      <c r="U901" s="121"/>
    </row>
    <row r="902">
      <c r="A902" s="120"/>
      <c r="B902" s="123"/>
      <c r="C902" s="124"/>
      <c r="D902" s="125"/>
      <c r="E902" s="120"/>
      <c r="F902" s="125"/>
      <c r="G902" s="125"/>
      <c r="H902" s="125"/>
      <c r="I902" s="120"/>
      <c r="J902" s="120"/>
      <c r="K902" s="120"/>
      <c r="L902" s="120"/>
      <c r="M902" s="121"/>
      <c r="N902" s="121"/>
      <c r="O902" s="121"/>
      <c r="P902" s="121"/>
      <c r="Q902" s="121"/>
      <c r="R902" s="121"/>
      <c r="S902" s="121"/>
      <c r="T902" s="121"/>
      <c r="U902" s="121"/>
    </row>
    <row r="903">
      <c r="A903" s="120"/>
      <c r="B903" s="123"/>
      <c r="C903" s="124"/>
      <c r="D903" s="125"/>
      <c r="E903" s="120"/>
      <c r="F903" s="125"/>
      <c r="G903" s="125"/>
      <c r="H903" s="125"/>
      <c r="I903" s="120"/>
      <c r="J903" s="120"/>
      <c r="K903" s="120"/>
      <c r="L903" s="120"/>
      <c r="M903" s="121"/>
      <c r="N903" s="121"/>
      <c r="O903" s="121"/>
      <c r="P903" s="121"/>
      <c r="Q903" s="121"/>
      <c r="R903" s="121"/>
      <c r="S903" s="121"/>
      <c r="T903" s="121"/>
      <c r="U903" s="121"/>
    </row>
    <row r="904">
      <c r="A904" s="120"/>
      <c r="B904" s="123"/>
      <c r="C904" s="124"/>
      <c r="D904" s="125"/>
      <c r="E904" s="120"/>
      <c r="F904" s="125"/>
      <c r="G904" s="125"/>
      <c r="H904" s="125"/>
      <c r="I904" s="120"/>
      <c r="J904" s="120"/>
      <c r="K904" s="120"/>
      <c r="L904" s="120"/>
      <c r="M904" s="121"/>
      <c r="N904" s="121"/>
      <c r="O904" s="121"/>
      <c r="P904" s="121"/>
      <c r="Q904" s="121"/>
      <c r="R904" s="121"/>
      <c r="S904" s="121"/>
      <c r="T904" s="121"/>
      <c r="U904" s="121"/>
    </row>
    <row r="905">
      <c r="A905" s="120"/>
      <c r="B905" s="123"/>
      <c r="C905" s="124"/>
      <c r="D905" s="122"/>
      <c r="E905" s="120"/>
      <c r="F905" s="122"/>
      <c r="G905" s="122"/>
      <c r="H905" s="122"/>
      <c r="I905" s="120"/>
      <c r="J905" s="120"/>
      <c r="K905" s="120"/>
      <c r="L905" s="120"/>
      <c r="M905" s="121"/>
      <c r="N905" s="121"/>
      <c r="O905" s="121"/>
      <c r="P905" s="121"/>
      <c r="Q905" s="121"/>
      <c r="R905" s="121"/>
      <c r="S905" s="121"/>
      <c r="T905" s="121"/>
      <c r="U905" s="121"/>
    </row>
    <row r="906">
      <c r="A906" s="120"/>
      <c r="B906" s="123"/>
      <c r="C906" s="124"/>
      <c r="D906" s="122"/>
      <c r="E906" s="120"/>
      <c r="F906" s="122"/>
      <c r="G906" s="122"/>
      <c r="H906" s="122"/>
      <c r="I906" s="120"/>
      <c r="J906" s="120"/>
      <c r="K906" s="120"/>
      <c r="L906" s="120"/>
      <c r="M906" s="121"/>
      <c r="N906" s="121"/>
      <c r="O906" s="121"/>
      <c r="P906" s="121"/>
      <c r="Q906" s="121"/>
      <c r="R906" s="121"/>
      <c r="S906" s="121"/>
      <c r="T906" s="121"/>
      <c r="U906" s="121"/>
    </row>
    <row r="907">
      <c r="A907" s="120"/>
      <c r="B907" s="123"/>
      <c r="C907" s="124"/>
      <c r="D907" s="122"/>
      <c r="E907" s="120"/>
      <c r="F907" s="122"/>
      <c r="G907" s="122"/>
      <c r="H907" s="122"/>
      <c r="I907" s="120"/>
      <c r="J907" s="120"/>
      <c r="K907" s="120"/>
      <c r="L907" s="120"/>
      <c r="M907" s="121"/>
      <c r="N907" s="121"/>
      <c r="O907" s="121"/>
      <c r="P907" s="121"/>
      <c r="Q907" s="121"/>
      <c r="R907" s="121"/>
      <c r="S907" s="121"/>
      <c r="T907" s="121"/>
      <c r="U907" s="121"/>
    </row>
    <row r="908">
      <c r="A908" s="120"/>
      <c r="B908" s="123"/>
      <c r="C908" s="124"/>
      <c r="D908" s="122"/>
      <c r="E908" s="120"/>
      <c r="F908" s="122"/>
      <c r="G908" s="122"/>
      <c r="H908" s="122"/>
      <c r="I908" s="120"/>
      <c r="J908" s="120"/>
      <c r="K908" s="120"/>
      <c r="L908" s="120"/>
      <c r="M908" s="121"/>
      <c r="N908" s="121"/>
      <c r="O908" s="121"/>
      <c r="P908" s="121"/>
      <c r="Q908" s="121"/>
      <c r="R908" s="121"/>
      <c r="S908" s="121"/>
      <c r="T908" s="121"/>
      <c r="U908" s="121"/>
    </row>
    <row r="909">
      <c r="A909" s="120"/>
      <c r="B909" s="123"/>
      <c r="C909" s="124"/>
      <c r="D909" s="122"/>
      <c r="E909" s="120"/>
      <c r="F909" s="122"/>
      <c r="G909" s="122"/>
      <c r="H909" s="122"/>
      <c r="I909" s="120"/>
      <c r="J909" s="120"/>
      <c r="K909" s="120"/>
      <c r="L909" s="120"/>
      <c r="M909" s="121"/>
      <c r="N909" s="121"/>
      <c r="O909" s="121"/>
      <c r="P909" s="121"/>
      <c r="Q909" s="121"/>
      <c r="R909" s="121"/>
      <c r="S909" s="121"/>
      <c r="T909" s="121"/>
      <c r="U909" s="121"/>
    </row>
    <row r="910">
      <c r="A910" s="120"/>
      <c r="B910" s="123"/>
      <c r="C910" s="124"/>
      <c r="D910" s="122"/>
      <c r="E910" s="120"/>
      <c r="F910" s="122"/>
      <c r="G910" s="122"/>
      <c r="H910" s="122"/>
      <c r="I910" s="120"/>
      <c r="J910" s="120"/>
      <c r="K910" s="120"/>
      <c r="L910" s="120"/>
      <c r="M910" s="121"/>
      <c r="N910" s="121"/>
      <c r="O910" s="121"/>
      <c r="P910" s="121"/>
      <c r="Q910" s="121"/>
      <c r="R910" s="121"/>
      <c r="S910" s="121"/>
      <c r="T910" s="121"/>
      <c r="U910" s="121"/>
    </row>
    <row r="911">
      <c r="A911" s="120"/>
      <c r="B911" s="123"/>
      <c r="C911" s="124"/>
      <c r="D911" s="122"/>
      <c r="E911" s="120"/>
      <c r="F911" s="122"/>
      <c r="G911" s="122"/>
      <c r="H911" s="122"/>
      <c r="I911" s="120"/>
      <c r="J911" s="120"/>
      <c r="K911" s="120"/>
      <c r="L911" s="120"/>
      <c r="M911" s="121"/>
      <c r="N911" s="121"/>
      <c r="O911" s="121"/>
      <c r="P911" s="121"/>
      <c r="Q911" s="121"/>
      <c r="R911" s="121"/>
      <c r="S911" s="121"/>
      <c r="T911" s="121"/>
      <c r="U911" s="121"/>
    </row>
    <row r="912">
      <c r="A912" s="120"/>
      <c r="B912" s="123"/>
      <c r="C912" s="124"/>
      <c r="D912" s="122"/>
      <c r="E912" s="120"/>
      <c r="F912" s="122"/>
      <c r="G912" s="122"/>
      <c r="H912" s="122"/>
      <c r="I912" s="120"/>
      <c r="J912" s="120"/>
      <c r="K912" s="120"/>
      <c r="L912" s="120"/>
      <c r="M912" s="121"/>
      <c r="N912" s="121"/>
      <c r="O912" s="121"/>
      <c r="P912" s="121"/>
      <c r="Q912" s="121"/>
      <c r="R912" s="121"/>
      <c r="S912" s="121"/>
      <c r="T912" s="121"/>
      <c r="U912" s="121"/>
    </row>
    <row r="913">
      <c r="A913" s="120"/>
      <c r="B913" s="123"/>
      <c r="C913" s="124"/>
      <c r="D913" s="122"/>
      <c r="E913" s="120"/>
      <c r="F913" s="122"/>
      <c r="G913" s="122"/>
      <c r="H913" s="122"/>
      <c r="I913" s="120"/>
      <c r="J913" s="120"/>
      <c r="K913" s="120"/>
      <c r="L913" s="120"/>
      <c r="M913" s="121"/>
      <c r="N913" s="121"/>
      <c r="O913" s="121"/>
      <c r="P913" s="121"/>
      <c r="Q913" s="121"/>
      <c r="R913" s="121"/>
      <c r="S913" s="121"/>
      <c r="T913" s="121"/>
      <c r="U913" s="121"/>
    </row>
    <row r="914">
      <c r="A914" s="120"/>
      <c r="B914" s="123"/>
      <c r="C914" s="124"/>
      <c r="D914" s="122"/>
      <c r="E914" s="120"/>
      <c r="F914" s="122"/>
      <c r="G914" s="122"/>
      <c r="H914" s="122"/>
      <c r="I914" s="120"/>
      <c r="J914" s="120"/>
      <c r="K914" s="120"/>
      <c r="L914" s="120"/>
      <c r="M914" s="121"/>
      <c r="N914" s="121"/>
      <c r="O914" s="121"/>
      <c r="P914" s="121"/>
      <c r="Q914" s="121"/>
      <c r="R914" s="121"/>
      <c r="S914" s="121"/>
      <c r="T914" s="121"/>
      <c r="U914" s="121"/>
    </row>
    <row r="915">
      <c r="A915" s="120"/>
      <c r="B915" s="123"/>
      <c r="C915" s="124"/>
      <c r="D915" s="122"/>
      <c r="E915" s="120"/>
      <c r="F915" s="122"/>
      <c r="G915" s="122"/>
      <c r="H915" s="122"/>
      <c r="I915" s="120"/>
      <c r="J915" s="120"/>
      <c r="K915" s="120"/>
      <c r="L915" s="120"/>
      <c r="M915" s="121"/>
      <c r="N915" s="121"/>
      <c r="O915" s="121"/>
      <c r="P915" s="121"/>
      <c r="Q915" s="121"/>
      <c r="R915" s="121"/>
      <c r="S915" s="121"/>
      <c r="T915" s="121"/>
      <c r="U915" s="121"/>
    </row>
    <row r="916">
      <c r="A916" s="120"/>
      <c r="B916" s="123"/>
      <c r="C916" s="124"/>
      <c r="D916" s="122"/>
      <c r="E916" s="120"/>
      <c r="F916" s="122"/>
      <c r="G916" s="122"/>
      <c r="H916" s="122"/>
      <c r="I916" s="120"/>
      <c r="J916" s="120"/>
      <c r="K916" s="120"/>
      <c r="L916" s="120"/>
      <c r="M916" s="121"/>
      <c r="N916" s="121"/>
      <c r="O916" s="121"/>
      <c r="P916" s="121"/>
      <c r="Q916" s="121"/>
      <c r="R916" s="121"/>
      <c r="S916" s="121"/>
      <c r="T916" s="121"/>
      <c r="U916" s="121"/>
    </row>
    <row r="917">
      <c r="A917" s="120"/>
      <c r="B917" s="123"/>
      <c r="C917" s="124"/>
      <c r="D917" s="122"/>
      <c r="E917" s="120"/>
      <c r="F917" s="122"/>
      <c r="G917" s="122"/>
      <c r="H917" s="122"/>
      <c r="I917" s="120"/>
      <c r="J917" s="120"/>
      <c r="K917" s="120"/>
      <c r="L917" s="120"/>
      <c r="M917" s="121"/>
      <c r="N917" s="121"/>
      <c r="O917" s="121"/>
      <c r="P917" s="121"/>
      <c r="Q917" s="121"/>
      <c r="R917" s="121"/>
      <c r="S917" s="121"/>
      <c r="T917" s="121"/>
      <c r="U917" s="121"/>
    </row>
    <row r="918">
      <c r="A918" s="120"/>
      <c r="B918" s="123"/>
      <c r="C918" s="124"/>
      <c r="D918" s="122"/>
      <c r="E918" s="120"/>
      <c r="F918" s="122"/>
      <c r="G918" s="122"/>
      <c r="H918" s="122"/>
      <c r="I918" s="120"/>
      <c r="J918" s="120"/>
      <c r="K918" s="120"/>
      <c r="L918" s="120"/>
      <c r="M918" s="121"/>
      <c r="N918" s="121"/>
      <c r="O918" s="121"/>
      <c r="P918" s="121"/>
      <c r="Q918" s="121"/>
      <c r="R918" s="121"/>
      <c r="S918" s="121"/>
      <c r="T918" s="121"/>
      <c r="U918" s="121"/>
    </row>
    <row r="919">
      <c r="A919" s="120"/>
      <c r="B919" s="123"/>
      <c r="C919" s="124"/>
      <c r="D919" s="122"/>
      <c r="E919" s="120"/>
      <c r="F919" s="122"/>
      <c r="G919" s="122"/>
      <c r="H919" s="122"/>
      <c r="I919" s="120"/>
      <c r="J919" s="120"/>
      <c r="K919" s="120"/>
      <c r="L919" s="120"/>
      <c r="M919" s="121"/>
      <c r="N919" s="121"/>
      <c r="O919" s="121"/>
      <c r="P919" s="121"/>
      <c r="Q919" s="121"/>
      <c r="R919" s="121"/>
      <c r="S919" s="121"/>
      <c r="T919" s="121"/>
      <c r="U919" s="121"/>
    </row>
    <row r="920">
      <c r="A920" s="120"/>
      <c r="B920" s="123"/>
      <c r="C920" s="124"/>
      <c r="D920" s="122"/>
      <c r="E920" s="120"/>
      <c r="F920" s="122"/>
      <c r="G920" s="122"/>
      <c r="H920" s="122"/>
      <c r="I920" s="120"/>
      <c r="J920" s="120"/>
      <c r="K920" s="120"/>
      <c r="L920" s="120"/>
      <c r="M920" s="121"/>
      <c r="N920" s="121"/>
      <c r="O920" s="121"/>
      <c r="P920" s="121"/>
      <c r="Q920" s="121"/>
      <c r="R920" s="121"/>
      <c r="S920" s="121"/>
      <c r="T920" s="121"/>
      <c r="U920" s="121"/>
    </row>
    <row r="921">
      <c r="A921" s="120"/>
      <c r="B921" s="123"/>
      <c r="C921" s="124"/>
      <c r="D921" s="122"/>
      <c r="E921" s="120"/>
      <c r="F921" s="122"/>
      <c r="G921" s="122"/>
      <c r="H921" s="122"/>
      <c r="I921" s="120"/>
      <c r="J921" s="120"/>
      <c r="K921" s="120"/>
      <c r="L921" s="120"/>
      <c r="M921" s="121"/>
      <c r="N921" s="121"/>
      <c r="O921" s="121"/>
      <c r="P921" s="121"/>
      <c r="Q921" s="121"/>
      <c r="R921" s="121"/>
      <c r="S921" s="121"/>
      <c r="T921" s="121"/>
      <c r="U921" s="121"/>
    </row>
    <row r="922">
      <c r="A922" s="120"/>
      <c r="B922" s="123"/>
      <c r="C922" s="124"/>
      <c r="D922" s="122"/>
      <c r="E922" s="120"/>
      <c r="F922" s="122"/>
      <c r="G922" s="122"/>
      <c r="H922" s="122"/>
      <c r="I922" s="120"/>
      <c r="J922" s="120"/>
      <c r="K922" s="120"/>
      <c r="L922" s="120"/>
      <c r="M922" s="121"/>
      <c r="N922" s="121"/>
      <c r="O922" s="121"/>
      <c r="P922" s="121"/>
      <c r="Q922" s="121"/>
      <c r="R922" s="121"/>
      <c r="S922" s="121"/>
      <c r="T922" s="121"/>
      <c r="U922" s="121"/>
    </row>
    <row r="923">
      <c r="A923" s="120"/>
      <c r="B923" s="123"/>
      <c r="C923" s="124"/>
      <c r="D923" s="125"/>
      <c r="E923" s="120"/>
      <c r="F923" s="125"/>
      <c r="G923" s="125"/>
      <c r="H923" s="125"/>
      <c r="I923" s="120"/>
      <c r="J923" s="120"/>
      <c r="K923" s="120"/>
      <c r="L923" s="120"/>
      <c r="M923" s="121"/>
      <c r="N923" s="121"/>
      <c r="O923" s="121"/>
      <c r="P923" s="121"/>
      <c r="Q923" s="121"/>
      <c r="R923" s="121"/>
      <c r="S923" s="121"/>
      <c r="T923" s="121"/>
      <c r="U923" s="121"/>
    </row>
    <row r="924">
      <c r="A924" s="120"/>
      <c r="B924" s="123"/>
      <c r="C924" s="124"/>
      <c r="D924" s="125"/>
      <c r="E924" s="120"/>
      <c r="F924" s="125"/>
      <c r="G924" s="125"/>
      <c r="H924" s="125"/>
      <c r="I924" s="120"/>
      <c r="J924" s="120"/>
      <c r="K924" s="120"/>
      <c r="L924" s="120"/>
      <c r="M924" s="121"/>
      <c r="N924" s="121"/>
      <c r="O924" s="121"/>
      <c r="P924" s="121"/>
      <c r="Q924" s="121"/>
      <c r="R924" s="121"/>
      <c r="S924" s="121"/>
      <c r="T924" s="121"/>
      <c r="U924" s="121"/>
    </row>
    <row r="925">
      <c r="A925" s="120"/>
      <c r="B925" s="123"/>
      <c r="C925" s="124"/>
      <c r="D925" s="125"/>
      <c r="E925" s="120"/>
      <c r="F925" s="125"/>
      <c r="G925" s="125"/>
      <c r="H925" s="125"/>
      <c r="I925" s="120"/>
      <c r="J925" s="120"/>
      <c r="K925" s="120"/>
      <c r="L925" s="120"/>
      <c r="M925" s="121"/>
      <c r="N925" s="121"/>
      <c r="O925" s="121"/>
      <c r="P925" s="121"/>
      <c r="Q925" s="121"/>
      <c r="R925" s="121"/>
      <c r="S925" s="121"/>
      <c r="T925" s="121"/>
      <c r="U925" s="121"/>
    </row>
    <row r="926">
      <c r="A926" s="120"/>
      <c r="B926" s="123"/>
      <c r="C926" s="124"/>
      <c r="D926" s="125"/>
      <c r="E926" s="120"/>
      <c r="F926" s="125"/>
      <c r="G926" s="125"/>
      <c r="H926" s="125"/>
      <c r="I926" s="120"/>
      <c r="J926" s="120"/>
      <c r="K926" s="120"/>
      <c r="L926" s="120"/>
      <c r="M926" s="121"/>
      <c r="N926" s="121"/>
      <c r="O926" s="121"/>
      <c r="P926" s="121"/>
      <c r="Q926" s="121"/>
      <c r="R926" s="121"/>
      <c r="S926" s="121"/>
      <c r="T926" s="121"/>
      <c r="U926" s="121"/>
    </row>
    <row r="927">
      <c r="A927" s="120"/>
      <c r="B927" s="123"/>
      <c r="C927" s="124"/>
      <c r="D927" s="125"/>
      <c r="E927" s="120"/>
      <c r="F927" s="125"/>
      <c r="G927" s="125"/>
      <c r="H927" s="125"/>
      <c r="I927" s="120"/>
      <c r="J927" s="120"/>
      <c r="K927" s="120"/>
      <c r="L927" s="120"/>
      <c r="M927" s="121"/>
      <c r="N927" s="121"/>
      <c r="O927" s="121"/>
      <c r="P927" s="121"/>
      <c r="Q927" s="121"/>
      <c r="R927" s="121"/>
      <c r="S927" s="121"/>
      <c r="T927" s="121"/>
      <c r="U927" s="121"/>
    </row>
    <row r="928">
      <c r="A928" s="120"/>
      <c r="B928" s="123"/>
      <c r="C928" s="124"/>
      <c r="D928" s="125"/>
      <c r="E928" s="120"/>
      <c r="F928" s="125"/>
      <c r="G928" s="125"/>
      <c r="H928" s="125"/>
      <c r="I928" s="120"/>
      <c r="J928" s="120"/>
      <c r="K928" s="120"/>
      <c r="L928" s="120"/>
      <c r="M928" s="121"/>
      <c r="N928" s="121"/>
      <c r="O928" s="121"/>
      <c r="P928" s="121"/>
      <c r="Q928" s="121"/>
      <c r="R928" s="121"/>
      <c r="S928" s="121"/>
      <c r="T928" s="121"/>
      <c r="U928" s="121"/>
    </row>
    <row r="929">
      <c r="A929" s="120"/>
      <c r="B929" s="123"/>
      <c r="C929" s="124"/>
      <c r="D929" s="125"/>
      <c r="E929" s="120"/>
      <c r="F929" s="125"/>
      <c r="G929" s="125"/>
      <c r="H929" s="125"/>
      <c r="I929" s="120"/>
      <c r="J929" s="120"/>
      <c r="K929" s="120"/>
      <c r="L929" s="120"/>
      <c r="M929" s="121"/>
      <c r="N929" s="121"/>
      <c r="O929" s="121"/>
      <c r="P929" s="121"/>
      <c r="Q929" s="121"/>
      <c r="R929" s="121"/>
      <c r="S929" s="121"/>
      <c r="T929" s="121"/>
      <c r="U929" s="121"/>
    </row>
    <row r="930">
      <c r="A930" s="120"/>
      <c r="B930" s="123"/>
      <c r="C930" s="124"/>
      <c r="D930" s="125"/>
      <c r="E930" s="120"/>
      <c r="F930" s="125"/>
      <c r="G930" s="125"/>
      <c r="H930" s="125"/>
      <c r="I930" s="120"/>
      <c r="J930" s="120"/>
      <c r="K930" s="120"/>
      <c r="L930" s="120"/>
      <c r="M930" s="121"/>
      <c r="N930" s="121"/>
      <c r="O930" s="121"/>
      <c r="P930" s="121"/>
      <c r="Q930" s="121"/>
      <c r="R930" s="121"/>
      <c r="S930" s="121"/>
      <c r="T930" s="121"/>
      <c r="U930" s="121"/>
    </row>
    <row r="931">
      <c r="A931" s="120"/>
      <c r="B931" s="123"/>
      <c r="C931" s="124"/>
      <c r="D931" s="125"/>
      <c r="E931" s="120"/>
      <c r="F931" s="125"/>
      <c r="G931" s="125"/>
      <c r="H931" s="125"/>
      <c r="I931" s="120"/>
      <c r="J931" s="120"/>
      <c r="K931" s="120"/>
      <c r="L931" s="120"/>
      <c r="M931" s="121"/>
      <c r="N931" s="121"/>
      <c r="O931" s="121"/>
      <c r="P931" s="121"/>
      <c r="Q931" s="121"/>
      <c r="R931" s="121"/>
      <c r="S931" s="121"/>
      <c r="T931" s="121"/>
      <c r="U931" s="121"/>
    </row>
    <row r="932">
      <c r="A932" s="120"/>
      <c r="B932" s="123"/>
      <c r="C932" s="124"/>
      <c r="D932" s="125"/>
      <c r="E932" s="120"/>
      <c r="F932" s="125"/>
      <c r="G932" s="125"/>
      <c r="H932" s="125"/>
      <c r="I932" s="120"/>
      <c r="J932" s="120"/>
      <c r="K932" s="120"/>
      <c r="L932" s="120"/>
      <c r="M932" s="121"/>
      <c r="N932" s="121"/>
      <c r="O932" s="121"/>
      <c r="P932" s="121"/>
      <c r="Q932" s="121"/>
      <c r="R932" s="121"/>
      <c r="S932" s="121"/>
      <c r="T932" s="121"/>
      <c r="U932" s="121"/>
    </row>
    <row r="933">
      <c r="A933" s="120"/>
      <c r="B933" s="123"/>
      <c r="C933" s="124"/>
      <c r="D933" s="125"/>
      <c r="E933" s="120"/>
      <c r="F933" s="125"/>
      <c r="G933" s="125"/>
      <c r="H933" s="125"/>
      <c r="I933" s="120"/>
      <c r="J933" s="120"/>
      <c r="K933" s="120"/>
      <c r="L933" s="120"/>
      <c r="M933" s="121"/>
      <c r="N933" s="121"/>
      <c r="O933" s="121"/>
      <c r="P933" s="121"/>
      <c r="Q933" s="121"/>
      <c r="R933" s="121"/>
      <c r="S933" s="121"/>
      <c r="T933" s="121"/>
      <c r="U933" s="121"/>
    </row>
    <row r="934">
      <c r="A934" s="120"/>
      <c r="B934" s="123"/>
      <c r="C934" s="124"/>
      <c r="D934" s="125"/>
      <c r="E934" s="120"/>
      <c r="F934" s="125"/>
      <c r="G934" s="125"/>
      <c r="H934" s="125"/>
      <c r="I934" s="120"/>
      <c r="J934" s="120"/>
      <c r="K934" s="120"/>
      <c r="L934" s="120"/>
      <c r="M934" s="121"/>
      <c r="N934" s="121"/>
      <c r="O934" s="121"/>
      <c r="P934" s="121"/>
      <c r="Q934" s="121"/>
      <c r="R934" s="121"/>
      <c r="S934" s="121"/>
      <c r="T934" s="121"/>
      <c r="U934" s="121"/>
    </row>
    <row r="935">
      <c r="A935" s="120"/>
      <c r="B935" s="123"/>
      <c r="C935" s="124"/>
      <c r="D935" s="125"/>
      <c r="E935" s="120"/>
      <c r="F935" s="125"/>
      <c r="G935" s="125"/>
      <c r="H935" s="125"/>
      <c r="I935" s="120"/>
      <c r="J935" s="120"/>
      <c r="K935" s="120"/>
      <c r="L935" s="120"/>
      <c r="M935" s="121"/>
      <c r="N935" s="121"/>
      <c r="O935" s="121"/>
      <c r="P935" s="121"/>
      <c r="Q935" s="121"/>
      <c r="R935" s="121"/>
      <c r="S935" s="121"/>
      <c r="T935" s="121"/>
      <c r="U935" s="121"/>
    </row>
    <row r="936">
      <c r="A936" s="120"/>
      <c r="B936" s="123"/>
      <c r="C936" s="124"/>
      <c r="D936" s="125"/>
      <c r="E936" s="120"/>
      <c r="F936" s="125"/>
      <c r="G936" s="125"/>
      <c r="H936" s="125"/>
      <c r="I936" s="120"/>
      <c r="J936" s="120"/>
      <c r="K936" s="120"/>
      <c r="L936" s="120"/>
      <c r="M936" s="121"/>
      <c r="N936" s="121"/>
      <c r="O936" s="121"/>
      <c r="P936" s="121"/>
      <c r="Q936" s="121"/>
      <c r="R936" s="121"/>
      <c r="S936" s="121"/>
      <c r="T936" s="121"/>
      <c r="U936" s="121"/>
    </row>
    <row r="937">
      <c r="A937" s="120"/>
      <c r="B937" s="123"/>
      <c r="C937" s="124"/>
      <c r="D937" s="125"/>
      <c r="E937" s="120"/>
      <c r="F937" s="125"/>
      <c r="G937" s="125"/>
      <c r="H937" s="125"/>
      <c r="I937" s="120"/>
      <c r="J937" s="120"/>
      <c r="K937" s="120"/>
      <c r="L937" s="120"/>
      <c r="M937" s="121"/>
      <c r="N937" s="121"/>
      <c r="O937" s="121"/>
      <c r="P937" s="121"/>
      <c r="Q937" s="121"/>
      <c r="R937" s="121"/>
      <c r="S937" s="121"/>
      <c r="T937" s="121"/>
      <c r="U937" s="121"/>
    </row>
    <row r="938">
      <c r="A938" s="120"/>
      <c r="B938" s="123"/>
      <c r="C938" s="124"/>
      <c r="D938" s="125"/>
      <c r="E938" s="120"/>
      <c r="F938" s="125"/>
      <c r="G938" s="125"/>
      <c r="H938" s="125"/>
      <c r="I938" s="120"/>
      <c r="J938" s="120"/>
      <c r="K938" s="120"/>
      <c r="L938" s="120"/>
      <c r="M938" s="121"/>
      <c r="N938" s="121"/>
      <c r="O938" s="121"/>
      <c r="P938" s="121"/>
      <c r="Q938" s="121"/>
      <c r="R938" s="121"/>
      <c r="S938" s="121"/>
      <c r="T938" s="121"/>
      <c r="U938" s="121"/>
    </row>
    <row r="939">
      <c r="A939" s="120"/>
      <c r="B939" s="123"/>
      <c r="C939" s="124"/>
      <c r="D939" s="125"/>
      <c r="E939" s="120"/>
      <c r="F939" s="125"/>
      <c r="G939" s="125"/>
      <c r="H939" s="125"/>
      <c r="I939" s="120"/>
      <c r="J939" s="120"/>
      <c r="K939" s="120"/>
      <c r="L939" s="120"/>
      <c r="M939" s="121"/>
      <c r="N939" s="121"/>
      <c r="O939" s="121"/>
      <c r="P939" s="121"/>
      <c r="Q939" s="121"/>
      <c r="R939" s="121"/>
      <c r="S939" s="121"/>
      <c r="T939" s="121"/>
      <c r="U939" s="121"/>
    </row>
    <row r="940">
      <c r="A940" s="120"/>
      <c r="B940" s="123"/>
      <c r="C940" s="124"/>
      <c r="D940" s="125"/>
      <c r="E940" s="120"/>
      <c r="F940" s="125"/>
      <c r="G940" s="125"/>
      <c r="H940" s="125"/>
      <c r="I940" s="120"/>
      <c r="J940" s="120"/>
      <c r="K940" s="120"/>
      <c r="L940" s="120"/>
      <c r="M940" s="121"/>
      <c r="N940" s="121"/>
      <c r="O940" s="121"/>
      <c r="P940" s="121"/>
      <c r="Q940" s="121"/>
      <c r="R940" s="121"/>
      <c r="S940" s="121"/>
      <c r="T940" s="121"/>
      <c r="U940" s="121"/>
    </row>
    <row r="941">
      <c r="A941" s="120"/>
      <c r="B941" s="123"/>
      <c r="C941" s="124"/>
      <c r="D941" s="125"/>
      <c r="E941" s="120"/>
      <c r="F941" s="125"/>
      <c r="G941" s="125"/>
      <c r="H941" s="125"/>
      <c r="I941" s="120"/>
      <c r="J941" s="120"/>
      <c r="K941" s="120"/>
      <c r="L941" s="120"/>
      <c r="M941" s="121"/>
      <c r="N941" s="121"/>
      <c r="O941" s="121"/>
      <c r="P941" s="121"/>
      <c r="Q941" s="121"/>
      <c r="R941" s="121"/>
      <c r="S941" s="121"/>
      <c r="T941" s="121"/>
      <c r="U941" s="121"/>
    </row>
    <row r="942">
      <c r="A942" s="120"/>
      <c r="B942" s="123"/>
      <c r="C942" s="124"/>
      <c r="D942" s="125"/>
      <c r="E942" s="120"/>
      <c r="F942" s="125"/>
      <c r="G942" s="125"/>
      <c r="H942" s="125"/>
      <c r="I942" s="120"/>
      <c r="J942" s="120"/>
      <c r="K942" s="120"/>
      <c r="L942" s="120"/>
      <c r="M942" s="121"/>
      <c r="N942" s="121"/>
      <c r="O942" s="121"/>
      <c r="P942" s="121"/>
      <c r="Q942" s="121"/>
      <c r="R942" s="121"/>
      <c r="S942" s="121"/>
      <c r="T942" s="121"/>
      <c r="U942" s="121"/>
    </row>
    <row r="943">
      <c r="A943" s="120"/>
      <c r="B943" s="123"/>
      <c r="C943" s="124"/>
      <c r="D943" s="125"/>
      <c r="E943" s="120"/>
      <c r="F943" s="125"/>
      <c r="G943" s="125"/>
      <c r="H943" s="125"/>
      <c r="I943" s="120"/>
      <c r="J943" s="120"/>
      <c r="K943" s="120"/>
      <c r="L943" s="120"/>
      <c r="M943" s="121"/>
      <c r="N943" s="121"/>
      <c r="O943" s="121"/>
      <c r="P943" s="121"/>
      <c r="Q943" s="121"/>
      <c r="R943" s="121"/>
      <c r="S943" s="121"/>
      <c r="T943" s="121"/>
      <c r="U943" s="121"/>
    </row>
    <row r="944">
      <c r="A944" s="120"/>
      <c r="B944" s="123"/>
      <c r="C944" s="124"/>
      <c r="D944" s="125"/>
      <c r="E944" s="120"/>
      <c r="F944" s="125"/>
      <c r="G944" s="125"/>
      <c r="H944" s="125"/>
      <c r="I944" s="120"/>
      <c r="J944" s="120"/>
      <c r="K944" s="120"/>
      <c r="L944" s="120"/>
      <c r="M944" s="121"/>
      <c r="N944" s="121"/>
      <c r="O944" s="121"/>
      <c r="P944" s="121"/>
      <c r="Q944" s="121"/>
      <c r="R944" s="121"/>
      <c r="S944" s="121"/>
      <c r="T944" s="121"/>
      <c r="U944" s="121"/>
    </row>
    <row r="945">
      <c r="A945" s="120"/>
      <c r="B945" s="123"/>
      <c r="C945" s="124"/>
      <c r="D945" s="125"/>
      <c r="E945" s="120"/>
      <c r="F945" s="125"/>
      <c r="G945" s="125"/>
      <c r="H945" s="125"/>
      <c r="I945" s="120"/>
      <c r="J945" s="120"/>
      <c r="K945" s="120"/>
      <c r="L945" s="120"/>
      <c r="M945" s="121"/>
      <c r="N945" s="121"/>
      <c r="O945" s="121"/>
      <c r="P945" s="121"/>
      <c r="Q945" s="121"/>
      <c r="R945" s="121"/>
      <c r="S945" s="121"/>
      <c r="T945" s="121"/>
      <c r="U945" s="121"/>
    </row>
    <row r="946">
      <c r="A946" s="120"/>
      <c r="B946" s="123"/>
      <c r="C946" s="124"/>
      <c r="D946" s="125"/>
      <c r="E946" s="120"/>
      <c r="F946" s="125"/>
      <c r="G946" s="125"/>
      <c r="H946" s="125"/>
      <c r="I946" s="120"/>
      <c r="J946" s="120"/>
      <c r="K946" s="120"/>
      <c r="L946" s="120"/>
      <c r="M946" s="121"/>
      <c r="N946" s="121"/>
      <c r="O946" s="121"/>
      <c r="P946" s="121"/>
      <c r="Q946" s="121"/>
      <c r="R946" s="121"/>
      <c r="S946" s="121"/>
      <c r="T946" s="121"/>
      <c r="U946" s="121"/>
    </row>
    <row r="947">
      <c r="A947" s="120"/>
      <c r="B947" s="123"/>
      <c r="C947" s="124"/>
      <c r="D947" s="125"/>
      <c r="E947" s="120"/>
      <c r="F947" s="125"/>
      <c r="G947" s="125"/>
      <c r="H947" s="125"/>
      <c r="I947" s="120"/>
      <c r="J947" s="120"/>
      <c r="K947" s="120"/>
      <c r="L947" s="120"/>
      <c r="M947" s="121"/>
      <c r="N947" s="121"/>
      <c r="O947" s="121"/>
      <c r="P947" s="121"/>
      <c r="Q947" s="121"/>
      <c r="R947" s="121"/>
      <c r="S947" s="121"/>
      <c r="T947" s="121"/>
      <c r="U947" s="121"/>
    </row>
    <row r="948">
      <c r="A948" s="120"/>
      <c r="B948" s="123"/>
      <c r="C948" s="124"/>
      <c r="D948" s="125"/>
      <c r="E948" s="120"/>
      <c r="F948" s="125"/>
      <c r="G948" s="125"/>
      <c r="H948" s="125"/>
      <c r="I948" s="120"/>
      <c r="J948" s="120"/>
      <c r="K948" s="120"/>
      <c r="L948" s="120"/>
      <c r="M948" s="121"/>
      <c r="N948" s="121"/>
      <c r="O948" s="121"/>
      <c r="P948" s="121"/>
      <c r="Q948" s="121"/>
      <c r="R948" s="121"/>
      <c r="S948" s="121"/>
      <c r="T948" s="121"/>
      <c r="U948" s="121"/>
    </row>
    <row r="949">
      <c r="A949" s="120"/>
      <c r="B949" s="123"/>
      <c r="C949" s="124"/>
      <c r="D949" s="125"/>
      <c r="E949" s="120"/>
      <c r="F949" s="125"/>
      <c r="G949" s="125"/>
      <c r="H949" s="125"/>
      <c r="I949" s="120"/>
      <c r="J949" s="120"/>
      <c r="K949" s="120"/>
      <c r="L949" s="120"/>
      <c r="M949" s="121"/>
      <c r="N949" s="121"/>
      <c r="O949" s="121"/>
      <c r="P949" s="121"/>
      <c r="Q949" s="121"/>
      <c r="R949" s="121"/>
      <c r="S949" s="121"/>
      <c r="T949" s="121"/>
      <c r="U949" s="121"/>
    </row>
    <row r="950">
      <c r="A950" s="120"/>
      <c r="B950" s="123"/>
      <c r="C950" s="124"/>
      <c r="D950" s="125"/>
      <c r="E950" s="120"/>
      <c r="F950" s="125"/>
      <c r="G950" s="125"/>
      <c r="H950" s="125"/>
      <c r="I950" s="120"/>
      <c r="J950" s="120"/>
      <c r="K950" s="120"/>
      <c r="L950" s="120"/>
      <c r="M950" s="121"/>
      <c r="N950" s="121"/>
      <c r="O950" s="121"/>
      <c r="P950" s="121"/>
      <c r="Q950" s="121"/>
      <c r="R950" s="121"/>
      <c r="S950" s="121"/>
      <c r="T950" s="121"/>
      <c r="U950" s="121"/>
    </row>
    <row r="951">
      <c r="A951" s="120"/>
      <c r="B951" s="123"/>
      <c r="C951" s="124"/>
      <c r="D951" s="125"/>
      <c r="E951" s="120"/>
      <c r="F951" s="125"/>
      <c r="G951" s="125"/>
      <c r="H951" s="125"/>
      <c r="I951" s="120"/>
      <c r="J951" s="120"/>
      <c r="K951" s="120"/>
      <c r="L951" s="120"/>
      <c r="M951" s="121"/>
      <c r="N951" s="121"/>
      <c r="O951" s="121"/>
      <c r="P951" s="121"/>
      <c r="Q951" s="121"/>
      <c r="R951" s="121"/>
      <c r="S951" s="121"/>
      <c r="T951" s="121"/>
      <c r="U951" s="121"/>
    </row>
    <row r="952">
      <c r="A952" s="120"/>
      <c r="B952" s="123"/>
      <c r="C952" s="124"/>
      <c r="D952" s="125"/>
      <c r="E952" s="120"/>
      <c r="F952" s="125"/>
      <c r="G952" s="125"/>
      <c r="H952" s="125"/>
      <c r="I952" s="120"/>
      <c r="J952" s="120"/>
      <c r="K952" s="120"/>
      <c r="L952" s="120"/>
      <c r="M952" s="121"/>
      <c r="N952" s="121"/>
      <c r="O952" s="121"/>
      <c r="P952" s="121"/>
      <c r="Q952" s="121"/>
      <c r="R952" s="121"/>
      <c r="S952" s="121"/>
      <c r="T952" s="121"/>
      <c r="U952" s="121"/>
    </row>
    <row r="953">
      <c r="A953" s="120"/>
      <c r="B953" s="123"/>
      <c r="C953" s="124"/>
      <c r="D953" s="125"/>
      <c r="E953" s="120"/>
      <c r="F953" s="125"/>
      <c r="G953" s="125"/>
      <c r="H953" s="125"/>
      <c r="I953" s="120"/>
      <c r="J953" s="120"/>
      <c r="K953" s="120"/>
      <c r="L953" s="120"/>
      <c r="M953" s="121"/>
      <c r="N953" s="121"/>
      <c r="O953" s="121"/>
      <c r="P953" s="121"/>
      <c r="Q953" s="121"/>
      <c r="R953" s="121"/>
      <c r="S953" s="121"/>
      <c r="T953" s="121"/>
      <c r="U953" s="121"/>
    </row>
    <row r="954">
      <c r="A954" s="120"/>
      <c r="B954" s="123"/>
      <c r="C954" s="124"/>
      <c r="D954" s="125"/>
      <c r="E954" s="120"/>
      <c r="F954" s="125"/>
      <c r="G954" s="125"/>
      <c r="H954" s="125"/>
      <c r="I954" s="120"/>
      <c r="J954" s="120"/>
      <c r="K954" s="120"/>
      <c r="L954" s="120"/>
      <c r="M954" s="121"/>
      <c r="N954" s="121"/>
      <c r="O954" s="121"/>
      <c r="P954" s="121"/>
      <c r="Q954" s="121"/>
      <c r="R954" s="121"/>
      <c r="S954" s="121"/>
      <c r="T954" s="121"/>
      <c r="U954" s="121"/>
    </row>
    <row r="955">
      <c r="A955" s="120"/>
      <c r="B955" s="123"/>
      <c r="C955" s="124"/>
      <c r="D955" s="125"/>
      <c r="E955" s="120"/>
      <c r="F955" s="125"/>
      <c r="G955" s="125"/>
      <c r="H955" s="125"/>
      <c r="I955" s="120"/>
      <c r="J955" s="120"/>
      <c r="K955" s="120"/>
      <c r="L955" s="120"/>
      <c r="M955" s="121"/>
      <c r="N955" s="121"/>
      <c r="O955" s="121"/>
      <c r="P955" s="121"/>
      <c r="Q955" s="121"/>
      <c r="R955" s="121"/>
      <c r="S955" s="121"/>
      <c r="T955" s="121"/>
      <c r="U955" s="121"/>
    </row>
    <row r="956">
      <c r="A956" s="120"/>
      <c r="B956" s="123"/>
      <c r="C956" s="124"/>
      <c r="D956" s="125"/>
      <c r="E956" s="120"/>
      <c r="F956" s="125"/>
      <c r="G956" s="125"/>
      <c r="H956" s="125"/>
      <c r="I956" s="120"/>
      <c r="J956" s="120"/>
      <c r="K956" s="120"/>
      <c r="L956" s="120"/>
      <c r="M956" s="121"/>
      <c r="N956" s="121"/>
      <c r="O956" s="121"/>
      <c r="P956" s="121"/>
      <c r="Q956" s="121"/>
      <c r="R956" s="121"/>
      <c r="S956" s="121"/>
      <c r="T956" s="121"/>
      <c r="U956" s="121"/>
    </row>
    <row r="957">
      <c r="A957" s="120"/>
      <c r="B957" s="123"/>
      <c r="C957" s="124"/>
      <c r="D957" s="125"/>
      <c r="E957" s="120"/>
      <c r="F957" s="125"/>
      <c r="G957" s="125"/>
      <c r="H957" s="125"/>
      <c r="I957" s="120"/>
      <c r="J957" s="120"/>
      <c r="K957" s="120"/>
      <c r="L957" s="120"/>
      <c r="M957" s="121"/>
      <c r="N957" s="121"/>
      <c r="O957" s="121"/>
      <c r="P957" s="121"/>
      <c r="Q957" s="121"/>
      <c r="R957" s="121"/>
      <c r="S957" s="121"/>
      <c r="T957" s="121"/>
      <c r="U957" s="121"/>
    </row>
    <row r="958">
      <c r="A958" s="120"/>
      <c r="B958" s="123"/>
      <c r="C958" s="124"/>
      <c r="D958" s="125"/>
      <c r="E958" s="120"/>
      <c r="F958" s="125"/>
      <c r="G958" s="125"/>
      <c r="H958" s="125"/>
      <c r="I958" s="120"/>
      <c r="J958" s="120"/>
      <c r="K958" s="120"/>
      <c r="L958" s="120"/>
      <c r="M958" s="121"/>
      <c r="N958" s="121"/>
      <c r="O958" s="121"/>
      <c r="P958" s="121"/>
      <c r="Q958" s="121"/>
      <c r="R958" s="121"/>
      <c r="S958" s="121"/>
      <c r="T958" s="121"/>
      <c r="U958" s="121"/>
    </row>
    <row r="959">
      <c r="A959" s="120"/>
      <c r="B959" s="123"/>
      <c r="C959" s="124"/>
      <c r="D959" s="125"/>
      <c r="E959" s="120"/>
      <c r="F959" s="125"/>
      <c r="G959" s="125"/>
      <c r="H959" s="125"/>
      <c r="I959" s="120"/>
      <c r="J959" s="120"/>
      <c r="K959" s="120"/>
      <c r="L959" s="120"/>
      <c r="M959" s="121"/>
      <c r="N959" s="121"/>
      <c r="O959" s="121"/>
      <c r="P959" s="121"/>
      <c r="Q959" s="121"/>
      <c r="R959" s="121"/>
      <c r="S959" s="121"/>
      <c r="T959" s="121"/>
      <c r="U959" s="121"/>
    </row>
    <row r="960">
      <c r="A960" s="120"/>
      <c r="B960" s="123"/>
      <c r="C960" s="124"/>
      <c r="D960" s="125"/>
      <c r="E960" s="120"/>
      <c r="F960" s="125"/>
      <c r="G960" s="125"/>
      <c r="H960" s="125"/>
      <c r="I960" s="120"/>
      <c r="J960" s="120"/>
      <c r="K960" s="120"/>
      <c r="L960" s="120"/>
      <c r="M960" s="121"/>
      <c r="N960" s="121"/>
      <c r="O960" s="121"/>
      <c r="P960" s="121"/>
      <c r="Q960" s="121"/>
      <c r="R960" s="121"/>
      <c r="S960" s="121"/>
      <c r="T960" s="121"/>
      <c r="U960" s="121"/>
    </row>
    <row r="961">
      <c r="A961" s="120"/>
      <c r="B961" s="123"/>
      <c r="C961" s="124"/>
      <c r="D961" s="125"/>
      <c r="E961" s="120"/>
      <c r="F961" s="125"/>
      <c r="G961" s="125"/>
      <c r="H961" s="125"/>
      <c r="I961" s="120"/>
      <c r="J961" s="120"/>
      <c r="K961" s="120"/>
      <c r="L961" s="120"/>
      <c r="M961" s="121"/>
      <c r="N961" s="121"/>
      <c r="O961" s="121"/>
      <c r="P961" s="121"/>
      <c r="Q961" s="121"/>
      <c r="R961" s="121"/>
      <c r="S961" s="121"/>
      <c r="T961" s="121"/>
      <c r="U961" s="121"/>
    </row>
    <row r="962">
      <c r="A962" s="120"/>
      <c r="B962" s="123"/>
      <c r="C962" s="124"/>
      <c r="D962" s="125"/>
      <c r="E962" s="120"/>
      <c r="F962" s="125"/>
      <c r="G962" s="125"/>
      <c r="H962" s="125"/>
      <c r="I962" s="120"/>
      <c r="J962" s="120"/>
      <c r="K962" s="120"/>
      <c r="L962" s="120"/>
      <c r="M962" s="121"/>
      <c r="N962" s="121"/>
      <c r="O962" s="121"/>
      <c r="P962" s="121"/>
      <c r="Q962" s="121"/>
      <c r="R962" s="121"/>
      <c r="S962" s="121"/>
      <c r="T962" s="121"/>
      <c r="U962" s="121"/>
    </row>
    <row r="963">
      <c r="A963" s="120"/>
      <c r="B963" s="123"/>
      <c r="C963" s="124"/>
      <c r="D963" s="125"/>
      <c r="E963" s="120"/>
      <c r="F963" s="125"/>
      <c r="G963" s="125"/>
      <c r="H963" s="125"/>
      <c r="I963" s="120"/>
      <c r="J963" s="120"/>
      <c r="K963" s="120"/>
      <c r="L963" s="120"/>
      <c r="M963" s="121"/>
      <c r="N963" s="121"/>
      <c r="O963" s="121"/>
      <c r="P963" s="121"/>
      <c r="Q963" s="121"/>
      <c r="R963" s="121"/>
      <c r="S963" s="121"/>
      <c r="T963" s="121"/>
      <c r="U963" s="121"/>
    </row>
    <row r="964">
      <c r="A964" s="120"/>
      <c r="B964" s="123"/>
      <c r="C964" s="124"/>
      <c r="D964" s="125"/>
      <c r="E964" s="120"/>
      <c r="F964" s="125"/>
      <c r="G964" s="125"/>
      <c r="H964" s="125"/>
      <c r="I964" s="120"/>
      <c r="J964" s="120"/>
      <c r="K964" s="120"/>
      <c r="L964" s="120"/>
      <c r="M964" s="121"/>
      <c r="N964" s="121"/>
      <c r="O964" s="121"/>
      <c r="P964" s="121"/>
      <c r="Q964" s="121"/>
      <c r="R964" s="121"/>
      <c r="S964" s="121"/>
      <c r="T964" s="121"/>
      <c r="U964" s="121"/>
    </row>
    <row r="965">
      <c r="A965" s="120"/>
      <c r="B965" s="123"/>
      <c r="C965" s="124"/>
      <c r="D965" s="122"/>
      <c r="E965" s="120"/>
      <c r="F965" s="122"/>
      <c r="G965" s="122"/>
      <c r="H965" s="122"/>
      <c r="I965" s="120"/>
      <c r="J965" s="120"/>
      <c r="K965" s="120"/>
      <c r="L965" s="120"/>
      <c r="M965" s="121"/>
      <c r="N965" s="121"/>
      <c r="O965" s="121"/>
      <c r="P965" s="121"/>
      <c r="Q965" s="121"/>
      <c r="R965" s="121"/>
      <c r="S965" s="121"/>
      <c r="T965" s="121"/>
      <c r="U965" s="121"/>
    </row>
    <row r="966">
      <c r="A966" s="120"/>
      <c r="B966" s="123"/>
      <c r="C966" s="124"/>
      <c r="D966" s="122"/>
      <c r="E966" s="120"/>
      <c r="F966" s="122"/>
      <c r="G966" s="122"/>
      <c r="H966" s="122"/>
      <c r="I966" s="120"/>
      <c r="J966" s="120"/>
      <c r="K966" s="120"/>
      <c r="L966" s="120"/>
      <c r="M966" s="121"/>
      <c r="N966" s="121"/>
      <c r="O966" s="121"/>
      <c r="P966" s="121"/>
      <c r="Q966" s="121"/>
      <c r="R966" s="121"/>
      <c r="S966" s="121"/>
      <c r="T966" s="121"/>
      <c r="U966" s="121"/>
    </row>
    <row r="967">
      <c r="A967" s="120"/>
      <c r="B967" s="123"/>
      <c r="C967" s="124"/>
      <c r="D967" s="122"/>
      <c r="E967" s="120"/>
      <c r="F967" s="122"/>
      <c r="G967" s="122"/>
      <c r="H967" s="122"/>
      <c r="I967" s="120"/>
      <c r="J967" s="120"/>
      <c r="K967" s="120"/>
      <c r="L967" s="120"/>
      <c r="M967" s="121"/>
      <c r="N967" s="121"/>
      <c r="O967" s="121"/>
      <c r="P967" s="121"/>
      <c r="Q967" s="121"/>
      <c r="R967" s="121"/>
      <c r="S967" s="121"/>
      <c r="T967" s="121"/>
      <c r="U967" s="121"/>
    </row>
    <row r="968">
      <c r="A968" s="120"/>
      <c r="B968" s="123"/>
      <c r="C968" s="124"/>
      <c r="D968" s="122"/>
      <c r="E968" s="120"/>
      <c r="F968" s="122"/>
      <c r="G968" s="122"/>
      <c r="H968" s="122"/>
      <c r="I968" s="120"/>
      <c r="J968" s="120"/>
      <c r="K968" s="120"/>
      <c r="L968" s="120"/>
      <c r="M968" s="121"/>
      <c r="N968" s="121"/>
      <c r="O968" s="121"/>
      <c r="P968" s="121"/>
      <c r="Q968" s="121"/>
      <c r="R968" s="121"/>
      <c r="S968" s="121"/>
      <c r="T968" s="121"/>
      <c r="U968" s="121"/>
    </row>
    <row r="969">
      <c r="A969" s="120"/>
      <c r="B969" s="123"/>
      <c r="C969" s="124"/>
      <c r="D969" s="122"/>
      <c r="E969" s="120"/>
      <c r="F969" s="122"/>
      <c r="G969" s="122"/>
      <c r="H969" s="122"/>
      <c r="I969" s="120"/>
      <c r="J969" s="120"/>
      <c r="K969" s="120"/>
      <c r="L969" s="120"/>
      <c r="M969" s="121"/>
      <c r="N969" s="121"/>
      <c r="O969" s="121"/>
      <c r="P969" s="121"/>
      <c r="Q969" s="121"/>
      <c r="R969" s="121"/>
      <c r="S969" s="121"/>
      <c r="T969" s="121"/>
      <c r="U969" s="121"/>
    </row>
    <row r="970">
      <c r="A970" s="120"/>
      <c r="B970" s="123"/>
      <c r="C970" s="124"/>
      <c r="D970" s="122"/>
      <c r="E970" s="120"/>
      <c r="F970" s="122"/>
      <c r="G970" s="122"/>
      <c r="H970" s="122"/>
      <c r="I970" s="120"/>
      <c r="J970" s="120"/>
      <c r="K970" s="120"/>
      <c r="L970" s="120"/>
      <c r="M970" s="121"/>
      <c r="N970" s="121"/>
      <c r="O970" s="121"/>
      <c r="P970" s="121"/>
      <c r="Q970" s="121"/>
      <c r="R970" s="121"/>
      <c r="S970" s="121"/>
      <c r="T970" s="121"/>
      <c r="U970" s="121"/>
    </row>
    <row r="971">
      <c r="A971" s="120"/>
      <c r="B971" s="123"/>
      <c r="C971" s="124"/>
      <c r="D971" s="122"/>
      <c r="E971" s="120"/>
      <c r="F971" s="122"/>
      <c r="G971" s="122"/>
      <c r="H971" s="122"/>
      <c r="I971" s="120"/>
      <c r="J971" s="120"/>
      <c r="K971" s="120"/>
      <c r="L971" s="120"/>
      <c r="M971" s="121"/>
      <c r="N971" s="121"/>
      <c r="O971" s="121"/>
      <c r="P971" s="121"/>
      <c r="Q971" s="121"/>
      <c r="R971" s="121"/>
      <c r="S971" s="121"/>
      <c r="T971" s="121"/>
      <c r="U971" s="121"/>
    </row>
    <row r="972">
      <c r="A972" s="120"/>
      <c r="B972" s="123"/>
      <c r="C972" s="124"/>
      <c r="D972" s="122"/>
      <c r="E972" s="120"/>
      <c r="F972" s="122"/>
      <c r="G972" s="122"/>
      <c r="H972" s="122"/>
      <c r="I972" s="120"/>
      <c r="J972" s="120"/>
      <c r="K972" s="120"/>
      <c r="L972" s="120"/>
      <c r="M972" s="121"/>
      <c r="N972" s="121"/>
      <c r="O972" s="121"/>
      <c r="P972" s="121"/>
      <c r="Q972" s="121"/>
      <c r="R972" s="121"/>
      <c r="S972" s="121"/>
      <c r="T972" s="121"/>
      <c r="U972" s="121"/>
    </row>
    <row r="973">
      <c r="A973" s="120"/>
      <c r="B973" s="123"/>
      <c r="C973" s="124"/>
      <c r="D973" s="122"/>
      <c r="E973" s="120"/>
      <c r="F973" s="122"/>
      <c r="G973" s="122"/>
      <c r="H973" s="122"/>
      <c r="I973" s="120"/>
      <c r="J973" s="120"/>
      <c r="K973" s="120"/>
      <c r="L973" s="120"/>
      <c r="M973" s="121"/>
      <c r="N973" s="121"/>
      <c r="O973" s="121"/>
      <c r="P973" s="121"/>
      <c r="Q973" s="121"/>
      <c r="R973" s="121"/>
      <c r="S973" s="121"/>
      <c r="T973" s="121"/>
      <c r="U973" s="121"/>
    </row>
    <row r="974">
      <c r="A974" s="120"/>
      <c r="B974" s="123"/>
      <c r="C974" s="124"/>
      <c r="D974" s="122"/>
      <c r="E974" s="120"/>
      <c r="F974" s="122"/>
      <c r="G974" s="122"/>
      <c r="H974" s="122"/>
      <c r="I974" s="120"/>
      <c r="J974" s="120"/>
      <c r="K974" s="120"/>
      <c r="L974" s="120"/>
      <c r="M974" s="121"/>
      <c r="N974" s="121"/>
      <c r="O974" s="121"/>
      <c r="P974" s="121"/>
      <c r="Q974" s="121"/>
      <c r="R974" s="121"/>
      <c r="S974" s="121"/>
      <c r="T974" s="121"/>
      <c r="U974" s="121"/>
    </row>
    <row r="975">
      <c r="A975" s="120"/>
      <c r="B975" s="123"/>
      <c r="C975" s="124"/>
      <c r="D975" s="122"/>
      <c r="E975" s="120"/>
      <c r="F975" s="122"/>
      <c r="G975" s="122"/>
      <c r="H975" s="122"/>
      <c r="I975" s="120"/>
      <c r="J975" s="120"/>
      <c r="K975" s="120"/>
      <c r="L975" s="120"/>
      <c r="M975" s="121"/>
      <c r="N975" s="121"/>
      <c r="O975" s="121"/>
      <c r="P975" s="121"/>
      <c r="Q975" s="121"/>
      <c r="R975" s="121"/>
      <c r="S975" s="121"/>
      <c r="T975" s="121"/>
      <c r="U975" s="121"/>
    </row>
    <row r="976">
      <c r="A976" s="120"/>
      <c r="B976" s="123"/>
      <c r="C976" s="124"/>
      <c r="D976" s="122"/>
      <c r="E976" s="120"/>
      <c r="F976" s="122"/>
      <c r="G976" s="122"/>
      <c r="H976" s="122"/>
      <c r="I976" s="120"/>
      <c r="J976" s="120"/>
      <c r="K976" s="120"/>
      <c r="L976" s="120"/>
      <c r="M976" s="121"/>
      <c r="N976" s="121"/>
      <c r="O976" s="121"/>
      <c r="P976" s="121"/>
      <c r="Q976" s="121"/>
      <c r="R976" s="121"/>
      <c r="S976" s="121"/>
      <c r="T976" s="121"/>
      <c r="U976" s="121"/>
    </row>
    <row r="977">
      <c r="A977" s="120"/>
      <c r="B977" s="123"/>
      <c r="C977" s="124"/>
      <c r="D977" s="125"/>
      <c r="E977" s="120"/>
      <c r="F977" s="125"/>
      <c r="G977" s="125"/>
      <c r="H977" s="125"/>
      <c r="I977" s="120"/>
      <c r="J977" s="120"/>
      <c r="K977" s="120"/>
      <c r="L977" s="120"/>
      <c r="M977" s="121"/>
      <c r="N977" s="121"/>
      <c r="O977" s="121"/>
      <c r="P977" s="121"/>
      <c r="Q977" s="121"/>
      <c r="R977" s="121"/>
      <c r="S977" s="121"/>
      <c r="T977" s="121"/>
      <c r="U977" s="121"/>
    </row>
    <row r="978">
      <c r="A978" s="120"/>
      <c r="B978" s="123"/>
      <c r="C978" s="124"/>
      <c r="D978" s="125"/>
      <c r="E978" s="120"/>
      <c r="F978" s="125"/>
      <c r="G978" s="125"/>
      <c r="H978" s="125"/>
      <c r="I978" s="120"/>
      <c r="J978" s="120"/>
      <c r="K978" s="120"/>
      <c r="L978" s="120"/>
      <c r="M978" s="121"/>
      <c r="N978" s="121"/>
      <c r="O978" s="121"/>
      <c r="P978" s="121"/>
      <c r="Q978" s="121"/>
      <c r="R978" s="121"/>
      <c r="S978" s="121"/>
      <c r="T978" s="121"/>
      <c r="U978" s="121"/>
    </row>
    <row r="979">
      <c r="A979" s="121"/>
      <c r="B979" s="121"/>
      <c r="C979" s="134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</row>
    <row r="980">
      <c r="A980" s="121"/>
      <c r="B980" s="121"/>
      <c r="C980" s="134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</row>
  </sheetData>
  <autoFilter ref="$A$1:$C$71">
    <sortState ref="A1:C71">
      <sortCondition ref="A1:A71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14"/>
    <col customWidth="1" min="2" max="2" width="11.0"/>
    <col customWidth="1" min="3" max="3" width="7.71"/>
    <col customWidth="1" min="4" max="4" width="11.29"/>
    <col customWidth="1" min="5" max="5" width="9.57"/>
    <col customWidth="1" min="8" max="8" width="15.57"/>
    <col customWidth="1" min="9" max="9" width="14.43"/>
    <col customWidth="1" min="10" max="10" width="16.57"/>
    <col customWidth="1" min="11" max="12" width="8.86"/>
    <col customWidth="1" min="13" max="13" width="74.29"/>
    <col customWidth="1" min="14" max="14" width="39.0"/>
  </cols>
  <sheetData>
    <row r="1">
      <c r="A1" s="33" t="s">
        <v>79</v>
      </c>
      <c r="B1" s="34" t="s">
        <v>80</v>
      </c>
      <c r="C1" s="34" t="s">
        <v>81</v>
      </c>
      <c r="D1" s="34" t="s">
        <v>82</v>
      </c>
      <c r="E1" s="69" t="s">
        <v>83</v>
      </c>
      <c r="F1" s="35" t="s">
        <v>84</v>
      </c>
      <c r="G1" s="36" t="s">
        <v>85</v>
      </c>
      <c r="H1" s="36" t="s">
        <v>86</v>
      </c>
      <c r="I1" s="37" t="s">
        <v>87</v>
      </c>
      <c r="J1" s="38" t="s">
        <v>88</v>
      </c>
      <c r="K1" s="39" t="s">
        <v>89</v>
      </c>
      <c r="L1" s="39" t="s">
        <v>90</v>
      </c>
      <c r="M1" s="38" t="s">
        <v>91</v>
      </c>
      <c r="N1" s="39" t="s">
        <v>54</v>
      </c>
    </row>
    <row r="2">
      <c r="A2" s="118">
        <v>43346.0</v>
      </c>
      <c r="B2" s="70" t="s">
        <v>92</v>
      </c>
      <c r="C2" s="43" t="str">
        <f>VLOOKUP(A2,Table!A:B,2,false)</f>
        <v>P1 W1</v>
      </c>
      <c r="D2" s="43" t="str">
        <f>VLOOKUP(A2,Table!A:D,4,false)</f>
        <v>Period 1</v>
      </c>
      <c r="E2" s="70" t="s">
        <v>93</v>
      </c>
      <c r="F2" s="43">
        <v>0.9166666666666666</v>
      </c>
      <c r="G2" s="91">
        <v>0.1388888888888889</v>
      </c>
      <c r="H2" s="91">
        <v>0.1625</v>
      </c>
      <c r="I2" s="43">
        <v>0.2569444444444444</v>
      </c>
      <c r="J2" s="45">
        <f t="shared" ref="J2:J101" si="1">IF(I2 &gt; 0,(I2-F2+(I2&lt;F2))*24*60)</f>
        <v>490</v>
      </c>
      <c r="K2" s="46"/>
      <c r="L2" s="46" t="s">
        <v>152</v>
      </c>
    </row>
    <row r="3">
      <c r="A3" s="135">
        <v>43347.0</v>
      </c>
      <c r="B3" s="136" t="s">
        <v>94</v>
      </c>
      <c r="C3" s="137" t="str">
        <f>VLOOKUP(A3,Table!A:B,2,false)</f>
        <v>P1 W1</v>
      </c>
      <c r="D3" s="137" t="str">
        <f>VLOOKUP(A3,Table!A:D,4,false)</f>
        <v>Period 1</v>
      </c>
      <c r="E3" s="70" t="s">
        <v>93</v>
      </c>
      <c r="F3" s="43">
        <v>0.9166666666666666</v>
      </c>
      <c r="G3" s="43">
        <v>0.19930555555555557</v>
      </c>
      <c r="H3" s="43">
        <v>0.23055555555555557</v>
      </c>
      <c r="I3" s="138">
        <v>0.32708333333333334</v>
      </c>
      <c r="J3" s="45">
        <f t="shared" si="1"/>
        <v>591</v>
      </c>
      <c r="K3" s="46"/>
      <c r="L3" s="46" t="s">
        <v>154</v>
      </c>
      <c r="M3" s="46" t="s">
        <v>216</v>
      </c>
      <c r="N3" s="139" t="s">
        <v>146</v>
      </c>
    </row>
    <row r="4">
      <c r="A4" s="118">
        <v>43348.0</v>
      </c>
      <c r="B4" s="70" t="s">
        <v>96</v>
      </c>
      <c r="C4" s="43" t="str">
        <f>VLOOKUP(A4,Table!A:B,2,false)</f>
        <v>P1 W1</v>
      </c>
      <c r="D4" s="43" t="str">
        <f>VLOOKUP(A4,Table!A:D,4,false)</f>
        <v>Period 1</v>
      </c>
      <c r="E4" s="70" t="s">
        <v>93</v>
      </c>
      <c r="F4" s="43">
        <v>0.9166666666666666</v>
      </c>
      <c r="G4" s="43">
        <v>0.10902777777777778</v>
      </c>
      <c r="H4" s="43">
        <v>0.12986111111111112</v>
      </c>
      <c r="I4" s="43">
        <v>0.2625</v>
      </c>
      <c r="J4" s="45">
        <f t="shared" si="1"/>
        <v>498</v>
      </c>
      <c r="K4" s="46"/>
      <c r="L4" s="46" t="s">
        <v>156</v>
      </c>
    </row>
    <row r="5">
      <c r="A5" s="118">
        <v>43349.0</v>
      </c>
      <c r="B5" s="70" t="s">
        <v>97</v>
      </c>
      <c r="C5" s="43" t="str">
        <f>VLOOKUP(A5,Table!A:B,2,false)</f>
        <v>P1 W1</v>
      </c>
      <c r="D5" s="43" t="str">
        <f>VLOOKUP(A5,Table!A:D,4,false)</f>
        <v>Period 1</v>
      </c>
      <c r="E5" s="70" t="s">
        <v>93</v>
      </c>
      <c r="F5" s="43">
        <v>0.9166666666666666</v>
      </c>
      <c r="G5" s="43">
        <v>0.11108796296296296</v>
      </c>
      <c r="H5" s="43">
        <v>0.12584490740740742</v>
      </c>
      <c r="I5" s="43">
        <v>0.24163194444444444</v>
      </c>
      <c r="J5" s="45">
        <f t="shared" si="1"/>
        <v>467.95</v>
      </c>
      <c r="K5" s="46"/>
      <c r="L5" s="46" t="s">
        <v>157</v>
      </c>
    </row>
    <row r="6">
      <c r="A6" s="135">
        <v>43350.0</v>
      </c>
      <c r="B6" s="136" t="s">
        <v>98</v>
      </c>
      <c r="C6" s="137" t="str">
        <f>VLOOKUP(A6,Table!A:B,2,false)</f>
        <v>P1 W1</v>
      </c>
      <c r="D6" s="137" t="str">
        <f>VLOOKUP(A6,Table!A:D,4,false)</f>
        <v>Period 1</v>
      </c>
      <c r="E6" s="70" t="s">
        <v>93</v>
      </c>
      <c r="F6" s="43">
        <v>0.9166666666666666</v>
      </c>
      <c r="G6" s="43">
        <v>0.1111111111111111</v>
      </c>
      <c r="H6" s="43">
        <v>0.12777777777777777</v>
      </c>
      <c r="I6" s="138">
        <v>0.3958333333333333</v>
      </c>
      <c r="J6" s="45">
        <f t="shared" si="1"/>
        <v>690</v>
      </c>
      <c r="K6" s="46"/>
      <c r="L6" s="46" t="s">
        <v>158</v>
      </c>
      <c r="M6" s="46" t="s">
        <v>217</v>
      </c>
      <c r="N6" s="46" t="s">
        <v>26</v>
      </c>
    </row>
    <row r="7">
      <c r="A7" s="118">
        <v>43351.0</v>
      </c>
      <c r="B7" s="70" t="s">
        <v>99</v>
      </c>
      <c r="C7" s="43" t="str">
        <f>VLOOKUP(A7,Table!A:B,2,false)</f>
        <v>P1 W1</v>
      </c>
      <c r="D7" s="43" t="str">
        <f>VLOOKUP(A7,Table!A:D,4,false)</f>
        <v>Period 1</v>
      </c>
      <c r="E7" s="70" t="s">
        <v>93</v>
      </c>
      <c r="F7" s="43">
        <v>0.9166666666666666</v>
      </c>
      <c r="G7" s="43">
        <v>0.125</v>
      </c>
      <c r="H7" s="43">
        <v>0.14027777777777778</v>
      </c>
      <c r="I7" s="43">
        <v>0.2604166666666667</v>
      </c>
      <c r="J7" s="45">
        <f t="shared" si="1"/>
        <v>495</v>
      </c>
      <c r="K7" s="46"/>
      <c r="L7" s="46" t="s">
        <v>159</v>
      </c>
    </row>
    <row r="8">
      <c r="A8" s="118">
        <v>43352.0</v>
      </c>
      <c r="B8" s="70" t="s">
        <v>100</v>
      </c>
      <c r="C8" s="43" t="str">
        <f>VLOOKUP(A8,Table!A:B,2,false)</f>
        <v>P1 W1</v>
      </c>
      <c r="D8" s="43" t="str">
        <f>VLOOKUP(A8,Table!A:D,4,false)</f>
        <v>Period 1</v>
      </c>
      <c r="E8" s="70" t="s">
        <v>93</v>
      </c>
      <c r="F8" s="43">
        <v>0.9166666666666666</v>
      </c>
      <c r="G8" s="43">
        <v>0.12777777777777777</v>
      </c>
      <c r="H8" s="43">
        <v>0.14027777777777778</v>
      </c>
      <c r="I8" s="43">
        <v>0.25972222222222224</v>
      </c>
      <c r="J8" s="45">
        <f t="shared" si="1"/>
        <v>494</v>
      </c>
      <c r="K8" s="46"/>
      <c r="L8" s="46" t="s">
        <v>160</v>
      </c>
    </row>
    <row r="9">
      <c r="A9" s="118">
        <v>43353.0</v>
      </c>
      <c r="B9" s="70" t="s">
        <v>92</v>
      </c>
      <c r="C9" s="43" t="str">
        <f>VLOOKUP(A9,Table!A:B,2,false)</f>
        <v>P1 W2</v>
      </c>
      <c r="D9" s="43" t="str">
        <f>VLOOKUP(A9,Table!A:D,4,false)</f>
        <v>Period 1</v>
      </c>
      <c r="E9" s="70" t="s">
        <v>101</v>
      </c>
      <c r="F9" s="43">
        <v>0.9166666666666666</v>
      </c>
      <c r="G9" s="43">
        <v>0.12291666666666666</v>
      </c>
      <c r="H9" s="43">
        <v>0.1361111111111111</v>
      </c>
      <c r="I9" s="43">
        <v>0.2423611111111111</v>
      </c>
      <c r="J9" s="45">
        <f t="shared" si="1"/>
        <v>469</v>
      </c>
      <c r="K9" s="46"/>
      <c r="L9" s="46" t="s">
        <v>152</v>
      </c>
    </row>
    <row r="10">
      <c r="A10" s="135">
        <v>43354.0</v>
      </c>
      <c r="B10" s="136" t="s">
        <v>94</v>
      </c>
      <c r="C10" s="137" t="str">
        <f>VLOOKUP(A10,Table!A:B,2,false)</f>
        <v>P1 W2</v>
      </c>
      <c r="D10" s="137" t="str">
        <f>VLOOKUP(A10,Table!A:D,4,false)</f>
        <v>Period 1</v>
      </c>
      <c r="E10" s="70" t="s">
        <v>101</v>
      </c>
      <c r="F10" s="43">
        <v>0.9166666666666666</v>
      </c>
      <c r="G10" s="43">
        <v>0.11319444444444444</v>
      </c>
      <c r="H10" s="43">
        <v>0.14444444444444443</v>
      </c>
      <c r="I10" s="138">
        <v>0.2986111111111111</v>
      </c>
      <c r="J10" s="45">
        <f t="shared" si="1"/>
        <v>550</v>
      </c>
      <c r="K10" s="46"/>
      <c r="L10" s="46" t="s">
        <v>154</v>
      </c>
      <c r="M10" s="46" t="s">
        <v>218</v>
      </c>
      <c r="N10" s="46" t="s">
        <v>196</v>
      </c>
    </row>
    <row r="11">
      <c r="A11" s="135">
        <v>43355.0</v>
      </c>
      <c r="B11" s="136" t="s">
        <v>96</v>
      </c>
      <c r="C11" s="137" t="str">
        <f>VLOOKUP(A11,Table!A:B,2,false)</f>
        <v>P1 W2</v>
      </c>
      <c r="D11" s="137" t="str">
        <f>VLOOKUP(A11,Table!A:D,4,false)</f>
        <v>Period 1</v>
      </c>
      <c r="E11" s="70" t="s">
        <v>101</v>
      </c>
      <c r="F11" s="43">
        <v>0.9166666666666666</v>
      </c>
      <c r="G11" s="43">
        <v>0.12430555555555556</v>
      </c>
      <c r="H11" s="43">
        <v>0.2326388888888889</v>
      </c>
      <c r="I11" s="138">
        <v>0.3888888888888889</v>
      </c>
      <c r="J11" s="45">
        <f t="shared" si="1"/>
        <v>680</v>
      </c>
      <c r="K11" s="46"/>
      <c r="L11" s="46" t="s">
        <v>156</v>
      </c>
      <c r="M11" s="46" t="s">
        <v>217</v>
      </c>
      <c r="N11" s="46" t="s">
        <v>33</v>
      </c>
    </row>
    <row r="12">
      <c r="A12" s="135">
        <v>43356.0</v>
      </c>
      <c r="B12" s="136" t="s">
        <v>97</v>
      </c>
      <c r="C12" s="137" t="str">
        <f>VLOOKUP(A12,Table!A:B,2,false)</f>
        <v>P1 W2</v>
      </c>
      <c r="D12" s="137" t="str">
        <f>VLOOKUP(A12,Table!A:D,4,false)</f>
        <v>Period 1</v>
      </c>
      <c r="E12" s="70" t="s">
        <v>101</v>
      </c>
      <c r="F12" s="43">
        <v>0.9166666666666666</v>
      </c>
      <c r="G12" s="43">
        <v>0.12638888888888888</v>
      </c>
      <c r="H12" s="43">
        <v>0.14305555555555555</v>
      </c>
      <c r="I12" s="138">
        <v>0.31805555555555554</v>
      </c>
      <c r="J12" s="45">
        <f t="shared" si="1"/>
        <v>578</v>
      </c>
      <c r="K12" s="46"/>
      <c r="L12" s="46" t="s">
        <v>157</v>
      </c>
      <c r="M12" s="46" t="s">
        <v>219</v>
      </c>
      <c r="N12" s="46" t="s">
        <v>37</v>
      </c>
    </row>
    <row r="13">
      <c r="A13" s="118">
        <v>43357.0</v>
      </c>
      <c r="B13" s="70" t="s">
        <v>98</v>
      </c>
      <c r="C13" s="43" t="str">
        <f>VLOOKUP(A13,Table!A:B,2,false)</f>
        <v>P1 W2</v>
      </c>
      <c r="D13" s="43" t="str">
        <f>VLOOKUP(A13,Table!A:D,4,false)</f>
        <v>Period 1</v>
      </c>
      <c r="E13" s="70" t="s">
        <v>101</v>
      </c>
      <c r="F13" s="43">
        <v>0.9166666666666666</v>
      </c>
      <c r="G13" s="43">
        <v>0.11435185185185186</v>
      </c>
      <c r="H13" s="43">
        <v>0.12898148148148147</v>
      </c>
      <c r="I13" s="43">
        <v>0.26927083333333335</v>
      </c>
      <c r="J13" s="45">
        <f t="shared" si="1"/>
        <v>507.75</v>
      </c>
      <c r="K13" s="46"/>
      <c r="L13" s="46" t="s">
        <v>158</v>
      </c>
    </row>
    <row r="14">
      <c r="A14" s="118">
        <v>43358.0</v>
      </c>
      <c r="B14" s="70" t="s">
        <v>99</v>
      </c>
      <c r="C14" s="43" t="str">
        <f>VLOOKUP(A14,Table!A:B,2,false)</f>
        <v>P1 W2</v>
      </c>
      <c r="D14" s="43" t="str">
        <f>VLOOKUP(A14,Table!A:D,4,false)</f>
        <v>Period 1</v>
      </c>
      <c r="E14" s="70" t="s">
        <v>101</v>
      </c>
      <c r="F14" s="43">
        <v>0.9166666666666666</v>
      </c>
      <c r="G14" s="43">
        <v>0.125</v>
      </c>
      <c r="H14" s="43">
        <v>0.13958333333333334</v>
      </c>
      <c r="I14" s="43">
        <v>0.2548611111111111</v>
      </c>
      <c r="J14" s="45">
        <f t="shared" si="1"/>
        <v>487</v>
      </c>
      <c r="K14" s="46"/>
      <c r="L14" s="46" t="s">
        <v>159</v>
      </c>
    </row>
    <row r="15">
      <c r="A15" s="118">
        <v>43359.0</v>
      </c>
      <c r="B15" s="70" t="s">
        <v>100</v>
      </c>
      <c r="C15" s="43" t="str">
        <f>VLOOKUP(A15,Table!A:B,2,false)</f>
        <v>P1 W2</v>
      </c>
      <c r="D15" s="43" t="str">
        <f>VLOOKUP(A15,Table!A:D,4,false)</f>
        <v>Period 1</v>
      </c>
      <c r="E15" s="70" t="s">
        <v>101</v>
      </c>
      <c r="F15" s="43">
        <v>0.9166666666666666</v>
      </c>
      <c r="G15" s="43">
        <v>0.12986111111111112</v>
      </c>
      <c r="H15" s="43">
        <v>0.14444444444444443</v>
      </c>
      <c r="I15" s="43">
        <v>0.26875</v>
      </c>
      <c r="J15" s="45">
        <f t="shared" si="1"/>
        <v>507</v>
      </c>
      <c r="K15" s="46"/>
      <c r="L15" s="46" t="s">
        <v>160</v>
      </c>
    </row>
    <row r="16">
      <c r="A16" s="118">
        <v>43360.0</v>
      </c>
      <c r="B16" s="70" t="s">
        <v>92</v>
      </c>
      <c r="C16" s="43" t="str">
        <f>VLOOKUP(A16,Table!A:B,2,false)</f>
        <v>P1 W3</v>
      </c>
      <c r="D16" s="43" t="str">
        <f>VLOOKUP(A16,Table!A:D,4,false)</f>
        <v>Period 1</v>
      </c>
      <c r="E16" s="70" t="s">
        <v>106</v>
      </c>
      <c r="F16" s="43">
        <v>0.9166666666666666</v>
      </c>
      <c r="G16" s="43">
        <v>0.12361111111111112</v>
      </c>
      <c r="H16" s="43">
        <v>0.13819444444444445</v>
      </c>
      <c r="I16" s="43">
        <v>0.24444444444444444</v>
      </c>
      <c r="J16" s="45">
        <f t="shared" si="1"/>
        <v>472</v>
      </c>
      <c r="K16" s="46"/>
      <c r="L16" s="46" t="s">
        <v>152</v>
      </c>
    </row>
    <row r="17">
      <c r="A17" s="118">
        <v>43361.0</v>
      </c>
      <c r="B17" s="70" t="s">
        <v>94</v>
      </c>
      <c r="C17" s="43" t="str">
        <f>VLOOKUP(A17,Table!A:B,2,false)</f>
        <v>P1 W3</v>
      </c>
      <c r="D17" s="43" t="str">
        <f>VLOOKUP(A17,Table!A:D,4,false)</f>
        <v>Period 1</v>
      </c>
      <c r="E17" s="70" t="s">
        <v>106</v>
      </c>
      <c r="F17" s="43">
        <v>0.9166666666666666</v>
      </c>
      <c r="G17" s="43">
        <v>0.12638888888888888</v>
      </c>
      <c r="H17" s="43">
        <v>0.14166666666666666</v>
      </c>
      <c r="I17" s="43">
        <v>0.25069444444444444</v>
      </c>
      <c r="J17" s="45">
        <f t="shared" si="1"/>
        <v>481</v>
      </c>
      <c r="K17" s="46"/>
      <c r="L17" s="46" t="s">
        <v>154</v>
      </c>
    </row>
    <row r="18">
      <c r="A18" s="118">
        <v>43362.0</v>
      </c>
      <c r="B18" s="70" t="s">
        <v>96</v>
      </c>
      <c r="C18" s="43" t="str">
        <f>VLOOKUP(A18,Table!A:B,2,false)</f>
        <v>P1 W3</v>
      </c>
      <c r="D18" s="43" t="str">
        <f>VLOOKUP(A18,Table!A:D,4,false)</f>
        <v>Period 1</v>
      </c>
      <c r="E18" s="70" t="s">
        <v>106</v>
      </c>
      <c r="F18" s="43">
        <v>0.9166666666666666</v>
      </c>
      <c r="G18" s="43">
        <v>0.11597222222222223</v>
      </c>
      <c r="H18" s="43">
        <v>0.1284722222222222</v>
      </c>
      <c r="I18" s="138">
        <v>0.30694444444444446</v>
      </c>
      <c r="J18" s="45">
        <f t="shared" si="1"/>
        <v>562</v>
      </c>
      <c r="K18" s="46"/>
      <c r="L18" s="46" t="s">
        <v>156</v>
      </c>
      <c r="M18" s="46" t="s">
        <v>220</v>
      </c>
      <c r="N18" s="46" t="s">
        <v>60</v>
      </c>
    </row>
    <row r="19">
      <c r="A19" s="135">
        <v>43363.0</v>
      </c>
      <c r="B19" s="136" t="s">
        <v>97</v>
      </c>
      <c r="C19" s="137" t="str">
        <f>VLOOKUP(A19,Table!A:B,2,false)</f>
        <v>P1 W3</v>
      </c>
      <c r="D19" s="137" t="str">
        <f>VLOOKUP(A19,Table!A:D,4,false)</f>
        <v>Period 1</v>
      </c>
      <c r="E19" s="70" t="s">
        <v>106</v>
      </c>
      <c r="F19" s="43">
        <v>0.9166666666666666</v>
      </c>
      <c r="G19" s="43">
        <v>0.1840277777777778</v>
      </c>
      <c r="H19" s="43">
        <v>0.1986111111111111</v>
      </c>
      <c r="I19" s="138">
        <v>0.3173611111111111</v>
      </c>
      <c r="J19" s="45">
        <f t="shared" si="1"/>
        <v>577</v>
      </c>
      <c r="K19" s="46"/>
      <c r="L19" s="46" t="s">
        <v>157</v>
      </c>
      <c r="M19" s="46" t="s">
        <v>221</v>
      </c>
      <c r="N19" s="46" t="s">
        <v>60</v>
      </c>
    </row>
    <row r="20">
      <c r="A20" s="118">
        <v>43364.0</v>
      </c>
      <c r="B20" s="70" t="s">
        <v>98</v>
      </c>
      <c r="C20" s="43" t="str">
        <f>VLOOKUP(A20,Table!A:B,2,false)</f>
        <v>P1 W3</v>
      </c>
      <c r="D20" s="43" t="str">
        <f>VLOOKUP(A20,Table!A:D,4,false)</f>
        <v>Period 1</v>
      </c>
      <c r="E20" s="70" t="s">
        <v>106</v>
      </c>
      <c r="F20" s="43">
        <v>0.9166666666666666</v>
      </c>
      <c r="G20" s="43">
        <v>0.11388888888888889</v>
      </c>
      <c r="H20" s="43">
        <v>0.12638888888888888</v>
      </c>
      <c r="I20" s="138">
        <v>0.29583333333333334</v>
      </c>
      <c r="J20" s="45">
        <f t="shared" si="1"/>
        <v>546</v>
      </c>
      <c r="K20" s="46"/>
      <c r="L20" s="46" t="s">
        <v>158</v>
      </c>
      <c r="M20" s="46" t="s">
        <v>222</v>
      </c>
      <c r="N20" s="46" t="s">
        <v>192</v>
      </c>
    </row>
    <row r="21">
      <c r="A21" s="118">
        <v>43365.0</v>
      </c>
      <c r="B21" s="70" t="s">
        <v>99</v>
      </c>
      <c r="C21" s="43" t="str">
        <f>VLOOKUP(A21,Table!A:B,2,false)</f>
        <v>P1 W3</v>
      </c>
      <c r="D21" s="43" t="str">
        <f>VLOOKUP(A21,Table!A:D,4,false)</f>
        <v>Period 1</v>
      </c>
      <c r="E21" s="70" t="s">
        <v>106</v>
      </c>
      <c r="F21" s="43">
        <v>0.9166666666666666</v>
      </c>
      <c r="G21" s="43">
        <v>0.11736111111111111</v>
      </c>
      <c r="H21" s="43">
        <v>0.13194444444444445</v>
      </c>
      <c r="I21" s="43">
        <v>0.2511689814814815</v>
      </c>
      <c r="J21" s="45">
        <f t="shared" si="1"/>
        <v>481.6833333</v>
      </c>
      <c r="K21" s="46"/>
      <c r="L21" s="46" t="s">
        <v>159</v>
      </c>
    </row>
    <row r="22">
      <c r="A22" s="135">
        <v>43366.0</v>
      </c>
      <c r="B22" s="136" t="s">
        <v>100</v>
      </c>
      <c r="C22" s="137" t="str">
        <f>VLOOKUP(A22,Table!A:B,2,false)</f>
        <v>P1 W3</v>
      </c>
      <c r="D22" s="137" t="str">
        <f>VLOOKUP(A22,Table!A:D,4,false)</f>
        <v>Period 1</v>
      </c>
      <c r="E22" s="70" t="s">
        <v>106</v>
      </c>
      <c r="F22" s="43">
        <v>0.9166666666666666</v>
      </c>
      <c r="G22" s="43">
        <v>0.20667824074074073</v>
      </c>
      <c r="H22" s="43">
        <v>0.23651620370370371</v>
      </c>
      <c r="I22" s="138">
        <v>0.3486111111111111</v>
      </c>
      <c r="J22" s="45">
        <f t="shared" si="1"/>
        <v>622</v>
      </c>
      <c r="K22" s="46"/>
      <c r="L22" s="46" t="s">
        <v>160</v>
      </c>
      <c r="M22" s="72" t="s">
        <v>223</v>
      </c>
      <c r="N22" s="46" t="s">
        <v>207</v>
      </c>
    </row>
    <row r="23">
      <c r="A23" s="118">
        <v>43367.0</v>
      </c>
      <c r="B23" s="70" t="s">
        <v>92</v>
      </c>
      <c r="C23" s="43" t="str">
        <f>VLOOKUP(A23,Table!A:B,2,false)</f>
        <v>P1 W4</v>
      </c>
      <c r="D23" s="43" t="str">
        <f>VLOOKUP(A23,Table!A:D,4,false)</f>
        <v>Period 1</v>
      </c>
      <c r="E23" s="70" t="s">
        <v>110</v>
      </c>
      <c r="F23" s="43">
        <v>0.9166666666666666</v>
      </c>
      <c r="G23" s="43">
        <v>0.11388888888888889</v>
      </c>
      <c r="H23" s="43">
        <v>0.12916666666666668</v>
      </c>
      <c r="I23" s="43">
        <v>0.26875</v>
      </c>
      <c r="J23" s="45">
        <f t="shared" si="1"/>
        <v>507</v>
      </c>
      <c r="K23" s="46"/>
      <c r="L23" s="46" t="s">
        <v>152</v>
      </c>
    </row>
    <row r="24">
      <c r="A24" s="118">
        <v>43368.0</v>
      </c>
      <c r="B24" s="70" t="s">
        <v>94</v>
      </c>
      <c r="C24" s="43" t="str">
        <f>VLOOKUP(A24,Table!A:B,2,false)</f>
        <v>P1 W4</v>
      </c>
      <c r="D24" s="43" t="str">
        <f>VLOOKUP(A24,Table!A:D,4,false)</f>
        <v>Period 1</v>
      </c>
      <c r="E24" s="70" t="s">
        <v>110</v>
      </c>
      <c r="F24" s="43">
        <v>0.9166666666666666</v>
      </c>
      <c r="G24" s="43">
        <v>0.10902777777777778</v>
      </c>
      <c r="H24" s="43">
        <v>0.13402777777777777</v>
      </c>
      <c r="I24" s="43">
        <v>0.25069444444444444</v>
      </c>
      <c r="J24" s="45">
        <f t="shared" si="1"/>
        <v>481</v>
      </c>
      <c r="K24" s="46"/>
      <c r="L24" s="46" t="s">
        <v>154</v>
      </c>
    </row>
    <row r="25">
      <c r="A25" s="118">
        <v>43369.0</v>
      </c>
      <c r="B25" s="70" t="s">
        <v>96</v>
      </c>
      <c r="C25" s="43" t="str">
        <f>VLOOKUP(A25,Table!A:B,2,false)</f>
        <v>P1 W4</v>
      </c>
      <c r="D25" s="43" t="str">
        <f>VLOOKUP(A25,Table!A:D,4,false)</f>
        <v>Period 1</v>
      </c>
      <c r="E25" s="70" t="s">
        <v>110</v>
      </c>
      <c r="F25" s="43">
        <v>0.9166666666666666</v>
      </c>
      <c r="G25" s="43">
        <v>0.1423611111111111</v>
      </c>
      <c r="H25" s="43">
        <v>0.17569444444444443</v>
      </c>
      <c r="I25" s="43">
        <v>0.25555555555555554</v>
      </c>
      <c r="J25" s="45">
        <f t="shared" si="1"/>
        <v>488</v>
      </c>
      <c r="K25" s="46"/>
      <c r="L25" s="46" t="s">
        <v>156</v>
      </c>
    </row>
    <row r="26">
      <c r="A26" s="135">
        <v>43370.0</v>
      </c>
      <c r="B26" s="136" t="s">
        <v>97</v>
      </c>
      <c r="C26" s="137" t="str">
        <f>VLOOKUP(A26,Table!A:B,2,false)</f>
        <v>P1 W4</v>
      </c>
      <c r="D26" s="137" t="str">
        <f>VLOOKUP(A26,Table!A:D,4,false)</f>
        <v>Period 1</v>
      </c>
      <c r="E26" s="70" t="s">
        <v>110</v>
      </c>
      <c r="F26" s="43">
        <v>0.9166666666666666</v>
      </c>
      <c r="G26" s="43">
        <v>0.12141203703703704</v>
      </c>
      <c r="H26" s="43">
        <v>0.19877314814814814</v>
      </c>
      <c r="I26" s="138">
        <v>0.3923611111111111</v>
      </c>
      <c r="J26" s="45">
        <f t="shared" si="1"/>
        <v>685</v>
      </c>
      <c r="K26" s="46"/>
      <c r="L26" s="46" t="s">
        <v>157</v>
      </c>
      <c r="M26" s="46" t="s">
        <v>224</v>
      </c>
      <c r="N26" s="46" t="s">
        <v>36</v>
      </c>
    </row>
    <row r="27">
      <c r="A27" s="118">
        <v>43371.0</v>
      </c>
      <c r="B27" s="70" t="s">
        <v>98</v>
      </c>
      <c r="C27" s="43" t="str">
        <f>VLOOKUP(A27,Table!A:B,2,false)</f>
        <v>P1 W4</v>
      </c>
      <c r="D27" s="43" t="str">
        <f>VLOOKUP(A27,Table!A:D,4,false)</f>
        <v>Period 1</v>
      </c>
      <c r="E27" s="70" t="s">
        <v>110</v>
      </c>
      <c r="F27" s="43">
        <v>0.9166666666666666</v>
      </c>
      <c r="G27" s="43">
        <v>0.11388888888888889</v>
      </c>
      <c r="H27" s="43">
        <v>0.1326388888888889</v>
      </c>
      <c r="I27" s="43">
        <v>0.2569444444444444</v>
      </c>
      <c r="J27" s="45">
        <f t="shared" si="1"/>
        <v>490</v>
      </c>
      <c r="K27" s="46"/>
      <c r="L27" s="46" t="s">
        <v>158</v>
      </c>
    </row>
    <row r="28">
      <c r="A28" s="118">
        <v>43372.0</v>
      </c>
      <c r="B28" s="70" t="s">
        <v>99</v>
      </c>
      <c r="C28" s="43" t="str">
        <f>VLOOKUP(A28,Table!A:B,2,false)</f>
        <v>P1 W4</v>
      </c>
      <c r="D28" s="43" t="str">
        <f>VLOOKUP(A28,Table!A:D,4,false)</f>
        <v>Period 1</v>
      </c>
      <c r="E28" s="70" t="s">
        <v>110</v>
      </c>
      <c r="F28" s="43">
        <v>0.9166666666666666</v>
      </c>
      <c r="G28" s="43">
        <v>0.15342592592592594</v>
      </c>
      <c r="H28" s="43">
        <v>0.17475694444444445</v>
      </c>
      <c r="I28" s="43">
        <v>0.2555439814814815</v>
      </c>
      <c r="J28" s="45">
        <f t="shared" si="1"/>
        <v>487.9833333</v>
      </c>
      <c r="K28" s="46"/>
      <c r="L28" s="46" t="s">
        <v>159</v>
      </c>
    </row>
    <row r="29">
      <c r="A29" s="135">
        <v>43373.0</v>
      </c>
      <c r="B29" s="136" t="s">
        <v>100</v>
      </c>
      <c r="C29" s="137" t="str">
        <f>VLOOKUP(A29,Table!A:B,2,false)</f>
        <v>P1 W4</v>
      </c>
      <c r="D29" s="137" t="str">
        <f>VLOOKUP(A29,Table!A:D,4,false)</f>
        <v>Period 1</v>
      </c>
      <c r="E29" s="70" t="s">
        <v>110</v>
      </c>
      <c r="F29" s="43">
        <v>0.9166666666666666</v>
      </c>
      <c r="G29" s="43">
        <v>0.16319444444444445</v>
      </c>
      <c r="H29" s="43">
        <v>0.19444444444444445</v>
      </c>
      <c r="I29" s="138">
        <v>0.357974537037037</v>
      </c>
      <c r="J29" s="45">
        <f t="shared" si="1"/>
        <v>635.4833333</v>
      </c>
      <c r="K29" s="46"/>
      <c r="L29" s="46" t="s">
        <v>160</v>
      </c>
      <c r="N29" s="46" t="s">
        <v>29</v>
      </c>
    </row>
    <row r="30">
      <c r="A30" s="118">
        <v>43374.0</v>
      </c>
      <c r="B30" s="70" t="s">
        <v>92</v>
      </c>
      <c r="C30" s="43" t="str">
        <f>VLOOKUP(A30,Table!A:B,2,false)</f>
        <v>P2 W1</v>
      </c>
      <c r="D30" s="43" t="str">
        <f>VLOOKUP(A30,Table!A:D,4,false)</f>
        <v>Period 2</v>
      </c>
      <c r="E30" s="70" t="s">
        <v>93</v>
      </c>
      <c r="F30" s="43">
        <v>0.9166666666666666</v>
      </c>
      <c r="G30" s="43">
        <v>0.12569444444444444</v>
      </c>
      <c r="H30" s="43">
        <v>0.15555555555555556</v>
      </c>
      <c r="I30" s="43">
        <v>0.25763888888888886</v>
      </c>
      <c r="J30" s="45">
        <f t="shared" si="1"/>
        <v>491</v>
      </c>
      <c r="K30" s="46"/>
      <c r="L30" s="46" t="s">
        <v>152</v>
      </c>
    </row>
    <row r="31">
      <c r="A31" s="135">
        <v>43375.0</v>
      </c>
      <c r="B31" s="136" t="s">
        <v>94</v>
      </c>
      <c r="C31" s="137" t="str">
        <f>VLOOKUP(A31,Table!A:B,2,false)</f>
        <v>P2 W1</v>
      </c>
      <c r="D31" s="137" t="str">
        <f>VLOOKUP(A31,Table!A:D,4,false)</f>
        <v>Period 2</v>
      </c>
      <c r="E31" s="70" t="s">
        <v>93</v>
      </c>
      <c r="F31" s="43">
        <v>0.9166666666666666</v>
      </c>
      <c r="G31" s="43">
        <v>0.11041666666666666</v>
      </c>
      <c r="H31" s="43">
        <v>0.12916666666666668</v>
      </c>
      <c r="I31" s="138">
        <v>0.2881944444444444</v>
      </c>
      <c r="J31" s="45">
        <f t="shared" si="1"/>
        <v>535</v>
      </c>
      <c r="K31" s="46"/>
      <c r="L31" s="46" t="s">
        <v>154</v>
      </c>
      <c r="M31" s="46" t="s">
        <v>225</v>
      </c>
      <c r="N31" s="46" t="s">
        <v>60</v>
      </c>
    </row>
    <row r="32">
      <c r="A32" s="135">
        <v>43376.0</v>
      </c>
      <c r="B32" s="136" t="s">
        <v>96</v>
      </c>
      <c r="C32" s="137" t="str">
        <f>VLOOKUP(A32,Table!A:B,2,false)</f>
        <v>P2 W1</v>
      </c>
      <c r="D32" s="137" t="str">
        <f>VLOOKUP(A32,Table!A:D,4,false)</f>
        <v>Period 2</v>
      </c>
      <c r="E32" s="70" t="s">
        <v>93</v>
      </c>
      <c r="F32" s="43">
        <v>0.9166666666666666</v>
      </c>
      <c r="G32" s="43">
        <v>0.11180555555555556</v>
      </c>
      <c r="H32" s="43">
        <v>0.12638888888888888</v>
      </c>
      <c r="I32" s="138">
        <v>0.29971064814814813</v>
      </c>
      <c r="J32" s="45">
        <f t="shared" si="1"/>
        <v>551.5833333</v>
      </c>
      <c r="K32" s="46"/>
      <c r="L32" s="46" t="s">
        <v>156</v>
      </c>
      <c r="M32" s="46" t="s">
        <v>226</v>
      </c>
      <c r="N32" s="80" t="s">
        <v>187</v>
      </c>
    </row>
    <row r="33">
      <c r="A33" s="135">
        <v>43377.0</v>
      </c>
      <c r="B33" s="136" t="s">
        <v>97</v>
      </c>
      <c r="C33" s="137" t="str">
        <f>VLOOKUP(A33,Table!A:B,2,false)</f>
        <v>P2 W1</v>
      </c>
      <c r="D33" s="137" t="str">
        <f>VLOOKUP(A33,Table!A:D,4,false)</f>
        <v>Period 2</v>
      </c>
      <c r="E33" s="70" t="s">
        <v>93</v>
      </c>
      <c r="F33" s="43">
        <v>0.9305555555555556</v>
      </c>
      <c r="G33" s="43">
        <v>0.12291666666666666</v>
      </c>
      <c r="H33" s="43">
        <v>0.13958333333333334</v>
      </c>
      <c r="I33" s="138">
        <v>0.31319444444444444</v>
      </c>
      <c r="J33" s="45">
        <f t="shared" si="1"/>
        <v>551</v>
      </c>
      <c r="K33" s="46"/>
      <c r="L33" s="46" t="s">
        <v>157</v>
      </c>
      <c r="M33" s="46" t="s">
        <v>227</v>
      </c>
      <c r="N33" s="46" t="s">
        <v>192</v>
      </c>
    </row>
    <row r="34">
      <c r="A34" s="135">
        <v>43378.0</v>
      </c>
      <c r="B34" s="136" t="s">
        <v>98</v>
      </c>
      <c r="C34" s="137" t="str">
        <f>VLOOKUP(A34,Table!A:B,2,false)</f>
        <v>P2 W1</v>
      </c>
      <c r="D34" s="137" t="str">
        <f>VLOOKUP(A34,Table!A:D,4,false)</f>
        <v>Period 2</v>
      </c>
      <c r="E34" s="70" t="s">
        <v>93</v>
      </c>
      <c r="F34" s="43">
        <v>0.9166666666666666</v>
      </c>
      <c r="G34" s="43">
        <v>0.11736111111111111</v>
      </c>
      <c r="H34" s="43">
        <v>0.13402777777777777</v>
      </c>
      <c r="I34" s="138">
        <v>0.3729166666666667</v>
      </c>
      <c r="J34" s="45">
        <f t="shared" si="1"/>
        <v>657</v>
      </c>
      <c r="K34" s="46"/>
      <c r="L34" s="46" t="s">
        <v>158</v>
      </c>
      <c r="M34" s="46" t="s">
        <v>228</v>
      </c>
      <c r="N34" s="46" t="s">
        <v>192</v>
      </c>
    </row>
    <row r="35">
      <c r="A35" s="118">
        <v>43379.0</v>
      </c>
      <c r="B35" s="70" t="s">
        <v>99</v>
      </c>
      <c r="C35" s="43" t="str">
        <f>VLOOKUP(A35,Table!A:B,2,false)</f>
        <v>P2 W1</v>
      </c>
      <c r="D35" s="43" t="str">
        <f>VLOOKUP(A35,Table!A:D,4,false)</f>
        <v>Period 2</v>
      </c>
      <c r="E35" s="70" t="s">
        <v>93</v>
      </c>
      <c r="F35" s="43">
        <v>0.9166666666666666</v>
      </c>
      <c r="G35" s="43">
        <v>0.11336805555555556</v>
      </c>
      <c r="H35" s="43">
        <v>0.13859953703703703</v>
      </c>
      <c r="I35" s="43">
        <v>0.2532638888888889</v>
      </c>
      <c r="J35" s="45">
        <f t="shared" si="1"/>
        <v>484.7</v>
      </c>
      <c r="K35" s="46"/>
      <c r="L35" s="46" t="s">
        <v>159</v>
      </c>
    </row>
    <row r="36">
      <c r="A36" s="118">
        <v>43380.0</v>
      </c>
      <c r="B36" s="70" t="s">
        <v>100</v>
      </c>
      <c r="C36" s="43" t="str">
        <f>VLOOKUP(A36,Table!A:B,2,false)</f>
        <v>P2 W1</v>
      </c>
      <c r="D36" s="43" t="str">
        <f>VLOOKUP(A36,Table!A:D,4,false)</f>
        <v>Period 2</v>
      </c>
      <c r="E36" s="70" t="s">
        <v>93</v>
      </c>
      <c r="F36" s="43">
        <v>0.9166666666666666</v>
      </c>
      <c r="G36" s="43">
        <v>0.13703703703703704</v>
      </c>
      <c r="H36" s="43">
        <v>0.1497337962962963</v>
      </c>
      <c r="I36" s="43">
        <v>0.2586574074074074</v>
      </c>
      <c r="J36" s="45">
        <f t="shared" si="1"/>
        <v>492.4666667</v>
      </c>
      <c r="K36" s="46"/>
      <c r="L36" s="46" t="s">
        <v>160</v>
      </c>
    </row>
    <row r="37">
      <c r="A37" s="118">
        <v>43381.0</v>
      </c>
      <c r="B37" s="70" t="s">
        <v>92</v>
      </c>
      <c r="C37" s="43" t="str">
        <f>VLOOKUP(A37,Table!A:B,2,false)</f>
        <v>P2 W2</v>
      </c>
      <c r="D37" s="43" t="str">
        <f>VLOOKUP(A37,Table!A:D,4,false)</f>
        <v>Period 2</v>
      </c>
      <c r="E37" s="70" t="s">
        <v>101</v>
      </c>
      <c r="F37" s="43">
        <v>0.9166666666666666</v>
      </c>
      <c r="G37" s="43">
        <v>0.12569444444444444</v>
      </c>
      <c r="H37" s="43">
        <v>0.14097222222222222</v>
      </c>
      <c r="I37" s="43">
        <v>0.24513888888888888</v>
      </c>
      <c r="J37" s="45">
        <f t="shared" si="1"/>
        <v>473</v>
      </c>
      <c r="K37" s="46"/>
      <c r="L37" s="46" t="s">
        <v>152</v>
      </c>
    </row>
    <row r="38">
      <c r="A38" s="118">
        <v>43382.0</v>
      </c>
      <c r="B38" s="70" t="s">
        <v>94</v>
      </c>
      <c r="C38" s="43" t="str">
        <f>VLOOKUP(A38,Table!A:B,2,false)</f>
        <v>P2 W2</v>
      </c>
      <c r="D38" s="43" t="str">
        <f>VLOOKUP(A38,Table!A:D,4,false)</f>
        <v>Period 2</v>
      </c>
      <c r="E38" s="70" t="s">
        <v>101</v>
      </c>
      <c r="F38" s="43">
        <v>0.9166666666666666</v>
      </c>
      <c r="G38" s="43">
        <v>0.12708333333333333</v>
      </c>
      <c r="H38" s="43">
        <v>0.14583333333333334</v>
      </c>
      <c r="I38" s="138">
        <v>0.2777777777777778</v>
      </c>
      <c r="J38" s="45">
        <f t="shared" si="1"/>
        <v>520</v>
      </c>
      <c r="K38" s="46"/>
      <c r="L38" s="46" t="s">
        <v>154</v>
      </c>
      <c r="M38" s="46" t="s">
        <v>226</v>
      </c>
      <c r="N38" s="80" t="s">
        <v>187</v>
      </c>
    </row>
    <row r="39">
      <c r="A39" s="135">
        <v>43383.0</v>
      </c>
      <c r="B39" s="136" t="s">
        <v>96</v>
      </c>
      <c r="C39" s="137" t="str">
        <f>VLOOKUP(A39,Table!A:B,2,false)</f>
        <v>P2 W2</v>
      </c>
      <c r="D39" s="137" t="str">
        <f>VLOOKUP(A39,Table!A:D,4,false)</f>
        <v>Period 2</v>
      </c>
      <c r="E39" s="70" t="s">
        <v>101</v>
      </c>
      <c r="F39" s="43">
        <v>0.9166666666666666</v>
      </c>
      <c r="G39" s="43">
        <v>0.11319444444444444</v>
      </c>
      <c r="H39" s="43">
        <v>0.21597222222222223</v>
      </c>
      <c r="I39" s="138">
        <v>0.7216319444444445</v>
      </c>
      <c r="J39" s="45">
        <f t="shared" si="1"/>
        <v>1159.15</v>
      </c>
      <c r="K39" s="46"/>
      <c r="L39" s="46" t="s">
        <v>156</v>
      </c>
      <c r="M39" s="140" t="s">
        <v>229</v>
      </c>
      <c r="N39" s="46" t="s">
        <v>190</v>
      </c>
    </row>
    <row r="40">
      <c r="A40" s="135">
        <v>43384.0</v>
      </c>
      <c r="B40" s="136" t="s">
        <v>97</v>
      </c>
      <c r="C40" s="137" t="str">
        <f>VLOOKUP(A40,Table!A:B,2,false)</f>
        <v>P2 W2</v>
      </c>
      <c r="D40" s="137" t="str">
        <f>VLOOKUP(A40,Table!A:D,4,false)</f>
        <v>Period 2</v>
      </c>
      <c r="E40" s="70" t="s">
        <v>101</v>
      </c>
      <c r="F40" s="43">
        <v>0.9166666666666666</v>
      </c>
      <c r="G40" s="43">
        <v>0.11471064814814814</v>
      </c>
      <c r="H40" s="43">
        <v>0.1997800925925926</v>
      </c>
      <c r="I40" s="138">
        <v>0.2951388888888889</v>
      </c>
      <c r="J40" s="45">
        <f t="shared" si="1"/>
        <v>545</v>
      </c>
      <c r="K40" s="46"/>
      <c r="L40" s="46" t="s">
        <v>157</v>
      </c>
      <c r="M40" s="140" t="s">
        <v>229</v>
      </c>
      <c r="N40" s="46" t="s">
        <v>190</v>
      </c>
    </row>
    <row r="41">
      <c r="A41" s="135">
        <v>43385.0</v>
      </c>
      <c r="B41" s="136" t="s">
        <v>98</v>
      </c>
      <c r="C41" s="137" t="str">
        <f>VLOOKUP(A41,Table!A:B,2,false)</f>
        <v>P2 W2</v>
      </c>
      <c r="D41" s="137" t="str">
        <f>VLOOKUP(A41,Table!A:D,4,false)</f>
        <v>Period 2</v>
      </c>
      <c r="E41" s="70" t="s">
        <v>101</v>
      </c>
      <c r="F41" s="43">
        <v>0.9166666666666666</v>
      </c>
      <c r="G41" s="43">
        <v>0.12796296296296297</v>
      </c>
      <c r="H41" s="43">
        <v>0.17190972222222223</v>
      </c>
      <c r="I41" s="138">
        <v>0.3333333333333333</v>
      </c>
      <c r="J41" s="45">
        <f t="shared" si="1"/>
        <v>600</v>
      </c>
      <c r="K41" s="46"/>
      <c r="L41" s="46" t="s">
        <v>158</v>
      </c>
      <c r="M41" s="140" t="s">
        <v>229</v>
      </c>
      <c r="N41" s="46" t="s">
        <v>190</v>
      </c>
    </row>
    <row r="42">
      <c r="A42" s="135">
        <v>43386.0</v>
      </c>
      <c r="B42" s="136" t="s">
        <v>99</v>
      </c>
      <c r="C42" s="137" t="str">
        <f>VLOOKUP(A42,Table!A:B,2,false)</f>
        <v>P2 W2</v>
      </c>
      <c r="D42" s="137" t="str">
        <f>VLOOKUP(A42,Table!A:D,4,false)</f>
        <v>Period 2</v>
      </c>
      <c r="E42" s="70" t="s">
        <v>101</v>
      </c>
      <c r="F42" s="43">
        <v>0.9166666666666666</v>
      </c>
      <c r="G42" s="43">
        <v>0.12590277777777778</v>
      </c>
      <c r="H42" s="43">
        <v>0.3720601851851852</v>
      </c>
      <c r="I42" s="138">
        <v>0.5090277777777777</v>
      </c>
      <c r="J42" s="45">
        <f t="shared" si="1"/>
        <v>853</v>
      </c>
      <c r="K42" s="46"/>
      <c r="L42" s="46" t="s">
        <v>159</v>
      </c>
      <c r="M42" s="140" t="s">
        <v>229</v>
      </c>
      <c r="N42" s="46" t="s">
        <v>190</v>
      </c>
    </row>
    <row r="43">
      <c r="A43" s="135">
        <v>43387.0</v>
      </c>
      <c r="B43" s="136" t="s">
        <v>100</v>
      </c>
      <c r="C43" s="137" t="str">
        <f>VLOOKUP(A43,Table!A:B,2,false)</f>
        <v>P2 W2</v>
      </c>
      <c r="D43" s="137" t="str">
        <f>VLOOKUP(A43,Table!A:D,4,false)</f>
        <v>Period 2</v>
      </c>
      <c r="E43" s="70" t="s">
        <v>101</v>
      </c>
      <c r="F43" s="43">
        <v>0.9166666666666666</v>
      </c>
      <c r="G43" s="43">
        <v>0.1335648148148148</v>
      </c>
      <c r="H43" s="43">
        <v>0.22755787037037037</v>
      </c>
      <c r="I43" s="138">
        <v>0.4888888888888889</v>
      </c>
      <c r="J43" s="45">
        <f t="shared" si="1"/>
        <v>824</v>
      </c>
      <c r="K43" s="46"/>
      <c r="L43" s="46" t="s">
        <v>160</v>
      </c>
      <c r="M43" s="140" t="s">
        <v>229</v>
      </c>
      <c r="N43" s="46" t="s">
        <v>190</v>
      </c>
    </row>
    <row r="44">
      <c r="A44" s="135">
        <v>43388.0</v>
      </c>
      <c r="B44" s="136" t="s">
        <v>92</v>
      </c>
      <c r="C44" s="137" t="str">
        <f>VLOOKUP(A44,Table!A:B,2,false)</f>
        <v>P2 W3</v>
      </c>
      <c r="D44" s="137" t="str">
        <f>VLOOKUP(A44,Table!A:D,4,false)</f>
        <v>Period 2</v>
      </c>
      <c r="E44" s="70" t="s">
        <v>106</v>
      </c>
      <c r="F44" s="43">
        <v>0.9166666666666666</v>
      </c>
      <c r="G44" s="43">
        <v>0.12569444444444444</v>
      </c>
      <c r="H44" s="43">
        <v>0.2604166666666667</v>
      </c>
      <c r="I44" s="138">
        <v>0.6277777777777778</v>
      </c>
      <c r="J44" s="45">
        <f t="shared" si="1"/>
        <v>1024</v>
      </c>
      <c r="K44" s="46"/>
      <c r="L44" s="46" t="s">
        <v>152</v>
      </c>
      <c r="M44" s="140" t="s">
        <v>229</v>
      </c>
      <c r="N44" s="46" t="s">
        <v>190</v>
      </c>
    </row>
    <row r="45">
      <c r="A45" s="135">
        <v>43389.0</v>
      </c>
      <c r="B45" s="136" t="s">
        <v>94</v>
      </c>
      <c r="C45" s="137" t="str">
        <f>VLOOKUP(A45,Table!A:B,2,false)</f>
        <v>P2 W3</v>
      </c>
      <c r="D45" s="137" t="str">
        <f>VLOOKUP(A45,Table!A:D,4,false)</f>
        <v>Period 2</v>
      </c>
      <c r="E45" s="70" t="s">
        <v>106</v>
      </c>
      <c r="F45" s="43">
        <v>0.9166666666666666</v>
      </c>
      <c r="G45" s="43">
        <v>0.12569444444444444</v>
      </c>
      <c r="H45" s="43">
        <v>0.15555555555555556</v>
      </c>
      <c r="I45" s="138">
        <v>0.28888888888888886</v>
      </c>
      <c r="J45" s="45">
        <f t="shared" si="1"/>
        <v>536</v>
      </c>
      <c r="K45" s="46"/>
      <c r="L45" s="46" t="s">
        <v>154</v>
      </c>
      <c r="M45" s="141" t="s">
        <v>230</v>
      </c>
    </row>
    <row r="46">
      <c r="A46" s="118">
        <v>43390.0</v>
      </c>
      <c r="B46" s="70" t="s">
        <v>96</v>
      </c>
      <c r="C46" s="43" t="str">
        <f>VLOOKUP(A46,Table!A:B,2,false)</f>
        <v>P2 W3</v>
      </c>
      <c r="D46" s="43" t="str">
        <f>VLOOKUP(A46,Table!A:D,4,false)</f>
        <v>Period 2</v>
      </c>
      <c r="E46" s="70" t="s">
        <v>106</v>
      </c>
      <c r="F46" s="43">
        <v>0.9166666666666666</v>
      </c>
      <c r="G46" s="43">
        <v>0.13125</v>
      </c>
      <c r="H46" s="43">
        <v>0.15069444444444444</v>
      </c>
      <c r="I46" s="43">
        <v>0.2638888888888889</v>
      </c>
      <c r="J46" s="45">
        <f t="shared" si="1"/>
        <v>500</v>
      </c>
      <c r="K46" s="46"/>
      <c r="L46" s="46" t="s">
        <v>156</v>
      </c>
    </row>
    <row r="47">
      <c r="A47" s="118">
        <v>43391.0</v>
      </c>
      <c r="B47" s="70" t="s">
        <v>97</v>
      </c>
      <c r="C47" s="43" t="str">
        <f>VLOOKUP(A47,Table!A:B,2,false)</f>
        <v>P2 W3</v>
      </c>
      <c r="D47" s="43" t="str">
        <f>VLOOKUP(A47,Table!A:D,4,false)</f>
        <v>Period 2</v>
      </c>
      <c r="E47" s="70" t="s">
        <v>106</v>
      </c>
      <c r="F47" s="43">
        <v>0.9166666666666666</v>
      </c>
      <c r="G47" s="43">
        <v>0.11041666666666666</v>
      </c>
      <c r="H47" s="43">
        <v>0.13333333333333333</v>
      </c>
      <c r="I47" s="43">
        <v>0.24583333333333332</v>
      </c>
      <c r="J47" s="45">
        <f t="shared" si="1"/>
        <v>474</v>
      </c>
      <c r="K47" s="46"/>
      <c r="L47" s="46" t="s">
        <v>157</v>
      </c>
    </row>
    <row r="48">
      <c r="A48" s="135">
        <v>43392.0</v>
      </c>
      <c r="B48" s="136" t="s">
        <v>98</v>
      </c>
      <c r="C48" s="137" t="str">
        <f>VLOOKUP(A48,Table!A:B,2,false)</f>
        <v>P2 W3</v>
      </c>
      <c r="D48" s="137" t="str">
        <f>VLOOKUP(A48,Table!A:D,4,false)</f>
        <v>Period 2</v>
      </c>
      <c r="E48" s="70" t="s">
        <v>106</v>
      </c>
      <c r="F48" s="43">
        <v>0.9166666666666666</v>
      </c>
      <c r="G48" s="43">
        <v>0.12777777777777777</v>
      </c>
      <c r="H48" s="43">
        <v>0.14444444444444443</v>
      </c>
      <c r="I48" s="138">
        <v>0.2916666666666667</v>
      </c>
      <c r="J48" s="45">
        <f t="shared" si="1"/>
        <v>540</v>
      </c>
      <c r="K48" s="46"/>
      <c r="L48" s="46" t="s">
        <v>158</v>
      </c>
      <c r="M48" s="46" t="s">
        <v>231</v>
      </c>
      <c r="N48" s="80" t="s">
        <v>187</v>
      </c>
    </row>
    <row r="49">
      <c r="A49" s="118">
        <v>43393.0</v>
      </c>
      <c r="B49" s="70" t="s">
        <v>99</v>
      </c>
      <c r="C49" s="43" t="str">
        <f>VLOOKUP(A49,Table!A:B,2,false)</f>
        <v>P2 W3</v>
      </c>
      <c r="D49" s="43" t="str">
        <f>VLOOKUP(A49,Table!A:D,4,false)</f>
        <v>Period 2</v>
      </c>
      <c r="E49" s="70" t="s">
        <v>106</v>
      </c>
      <c r="F49" s="43">
        <v>0.9166666666666666</v>
      </c>
      <c r="G49" s="43">
        <v>0.11986111111111111</v>
      </c>
      <c r="H49" s="43">
        <v>0.13671296296296295</v>
      </c>
      <c r="I49" s="43">
        <v>0.2330787037037037</v>
      </c>
      <c r="J49" s="45">
        <f t="shared" si="1"/>
        <v>455.6333333</v>
      </c>
      <c r="K49" s="46"/>
      <c r="L49" s="46" t="s">
        <v>159</v>
      </c>
    </row>
    <row r="50">
      <c r="A50" s="118">
        <v>43394.0</v>
      </c>
      <c r="B50" s="70" t="s">
        <v>100</v>
      </c>
      <c r="C50" s="43" t="str">
        <f>VLOOKUP(A50,Table!A:B,2,false)</f>
        <v>P2 W3</v>
      </c>
      <c r="D50" s="43" t="str">
        <f>VLOOKUP(A50,Table!A:D,4,false)</f>
        <v>Period 2</v>
      </c>
      <c r="E50" s="70" t="s">
        <v>106</v>
      </c>
      <c r="F50" s="43">
        <v>0.9166666666666666</v>
      </c>
      <c r="G50" s="43">
        <v>0.13358796296296296</v>
      </c>
      <c r="H50" s="43">
        <v>0.16527777777777777</v>
      </c>
      <c r="I50" s="43">
        <v>0.26875</v>
      </c>
      <c r="J50" s="45">
        <f t="shared" si="1"/>
        <v>507</v>
      </c>
      <c r="K50" s="46"/>
      <c r="L50" s="46" t="s">
        <v>160</v>
      </c>
    </row>
    <row r="51">
      <c r="A51" s="118">
        <v>43395.0</v>
      </c>
      <c r="B51" s="70" t="s">
        <v>92</v>
      </c>
      <c r="C51" s="43" t="str">
        <f>VLOOKUP(A51,Table!A:B,2,false)</f>
        <v>P2 W4</v>
      </c>
      <c r="D51" s="43" t="str">
        <f>VLOOKUP(A51,Table!A:D,4,false)</f>
        <v>Period 2</v>
      </c>
      <c r="E51" s="70" t="s">
        <v>110</v>
      </c>
      <c r="F51" s="43">
        <v>0.9166666666666666</v>
      </c>
      <c r="G51" s="43">
        <v>0.11458333333333333</v>
      </c>
      <c r="H51" s="43">
        <v>0.12916666666666668</v>
      </c>
      <c r="I51" s="43">
        <v>0.24791666666666667</v>
      </c>
      <c r="J51" s="45">
        <f t="shared" si="1"/>
        <v>477</v>
      </c>
      <c r="K51" s="46"/>
      <c r="L51" s="46" t="s">
        <v>152</v>
      </c>
    </row>
    <row r="52">
      <c r="A52" s="118">
        <v>43396.0</v>
      </c>
      <c r="B52" s="70" t="s">
        <v>94</v>
      </c>
      <c r="C52" s="43" t="str">
        <f>VLOOKUP(A52,Table!A:B,2,false)</f>
        <v>P2 W4</v>
      </c>
      <c r="D52" s="43" t="str">
        <f>VLOOKUP(A52,Table!A:D,4,false)</f>
        <v>Period 2</v>
      </c>
      <c r="E52" s="70" t="s">
        <v>110</v>
      </c>
      <c r="F52" s="43">
        <v>0.9166666666666666</v>
      </c>
      <c r="G52" s="43">
        <v>0.11388888888888889</v>
      </c>
      <c r="H52" s="43">
        <v>0.14375</v>
      </c>
      <c r="I52" s="43">
        <v>0.25972222222222224</v>
      </c>
      <c r="J52" s="45">
        <f t="shared" si="1"/>
        <v>494</v>
      </c>
      <c r="K52" s="46"/>
      <c r="L52" s="46" t="s">
        <v>154</v>
      </c>
    </row>
    <row r="53">
      <c r="A53" s="118">
        <v>43397.0</v>
      </c>
      <c r="B53" s="70" t="s">
        <v>96</v>
      </c>
      <c r="C53" s="43" t="str">
        <f>VLOOKUP(A53,Table!A:B,2,false)</f>
        <v>P2 W4</v>
      </c>
      <c r="D53" s="43" t="str">
        <f>VLOOKUP(A53,Table!A:D,4,false)</f>
        <v>Period 2</v>
      </c>
      <c r="E53" s="70" t="s">
        <v>110</v>
      </c>
      <c r="F53" s="43">
        <v>0.9166666666666666</v>
      </c>
      <c r="G53" s="43">
        <v>0.1388888888888889</v>
      </c>
      <c r="H53" s="43">
        <v>0.16875</v>
      </c>
      <c r="I53" s="43">
        <v>0.2652777777777778</v>
      </c>
      <c r="J53" s="45">
        <f t="shared" si="1"/>
        <v>502</v>
      </c>
      <c r="K53" s="46"/>
      <c r="L53" s="46" t="s">
        <v>156</v>
      </c>
      <c r="M53" s="77"/>
    </row>
    <row r="54">
      <c r="A54" s="118">
        <v>43398.0</v>
      </c>
      <c r="B54" s="70" t="s">
        <v>97</v>
      </c>
      <c r="C54" s="43" t="str">
        <f>VLOOKUP(A54,Table!A:B,2,false)</f>
        <v>P2 W4</v>
      </c>
      <c r="D54" s="43" t="str">
        <f>VLOOKUP(A54,Table!A:D,4,false)</f>
        <v>Period 2</v>
      </c>
      <c r="E54" s="70" t="s">
        <v>110</v>
      </c>
      <c r="F54" s="43">
        <v>0.9166666666666666</v>
      </c>
      <c r="G54" s="43">
        <v>0.13255787037037037</v>
      </c>
      <c r="H54" s="43">
        <v>0.1494212962962963</v>
      </c>
      <c r="I54" s="43">
        <v>0.26875</v>
      </c>
      <c r="J54" s="45">
        <f t="shared" si="1"/>
        <v>507</v>
      </c>
      <c r="K54" s="46"/>
      <c r="L54" s="46" t="s">
        <v>157</v>
      </c>
      <c r="M54" s="83"/>
    </row>
    <row r="55">
      <c r="A55" s="118">
        <v>43399.0</v>
      </c>
      <c r="B55" s="70" t="s">
        <v>98</v>
      </c>
      <c r="C55" s="43" t="str">
        <f>VLOOKUP(A55,Table!A:B,2,false)</f>
        <v>P2 W4</v>
      </c>
      <c r="D55" s="43" t="str">
        <f>VLOOKUP(A55,Table!A:D,4,false)</f>
        <v>Period 2</v>
      </c>
      <c r="E55" s="70" t="s">
        <v>110</v>
      </c>
      <c r="F55" s="43">
        <v>0.9166666666666666</v>
      </c>
      <c r="G55" s="43">
        <v>0.125</v>
      </c>
      <c r="H55" s="43">
        <v>0.14791666666666667</v>
      </c>
      <c r="I55" s="43">
        <v>0.24375</v>
      </c>
      <c r="J55" s="45">
        <f t="shared" si="1"/>
        <v>471</v>
      </c>
      <c r="K55" s="46"/>
      <c r="L55" s="46" t="s">
        <v>158</v>
      </c>
    </row>
    <row r="56">
      <c r="A56" s="135">
        <v>43400.0</v>
      </c>
      <c r="B56" s="136" t="s">
        <v>99</v>
      </c>
      <c r="C56" s="137" t="str">
        <f>VLOOKUP(A56,Table!A:B,2,false)</f>
        <v>P2 W4</v>
      </c>
      <c r="D56" s="137" t="str">
        <f>VLOOKUP(A56,Table!A:D,4,false)</f>
        <v>Period 2</v>
      </c>
      <c r="E56" s="70" t="s">
        <v>110</v>
      </c>
      <c r="F56" s="43">
        <v>0.9166666666666666</v>
      </c>
      <c r="G56" s="43">
        <v>0.19039351851851852</v>
      </c>
      <c r="H56" s="43">
        <v>0.20957175925925925</v>
      </c>
      <c r="I56" s="138">
        <v>0.27975694444444443</v>
      </c>
      <c r="J56" s="45">
        <f t="shared" si="1"/>
        <v>522.85</v>
      </c>
      <c r="K56" s="46"/>
      <c r="L56" s="46" t="s">
        <v>159</v>
      </c>
      <c r="M56" s="77" t="s">
        <v>232</v>
      </c>
      <c r="N56" s="46" t="s">
        <v>199</v>
      </c>
    </row>
    <row r="57">
      <c r="A57" s="135">
        <v>43401.0</v>
      </c>
      <c r="B57" s="136" t="s">
        <v>100</v>
      </c>
      <c r="C57" s="137" t="str">
        <f>VLOOKUP(A57,Table!A:B,2,false)</f>
        <v>P2 W4</v>
      </c>
      <c r="D57" s="137" t="str">
        <f>VLOOKUP(A57,Table!A:D,4,false)</f>
        <v>Period 2</v>
      </c>
      <c r="E57" s="70" t="s">
        <v>110</v>
      </c>
      <c r="F57" s="43">
        <v>0.9166666666666666</v>
      </c>
      <c r="G57" s="43">
        <v>0.16944444444444445</v>
      </c>
      <c r="H57" s="43">
        <v>0.2847222222222222</v>
      </c>
      <c r="I57" s="138">
        <v>0.3020833333333333</v>
      </c>
      <c r="J57" s="45">
        <f t="shared" si="1"/>
        <v>555</v>
      </c>
      <c r="K57" s="46"/>
      <c r="L57" s="46" t="s">
        <v>160</v>
      </c>
      <c r="M57" s="46" t="s">
        <v>233</v>
      </c>
      <c r="N57" s="46" t="s">
        <v>45</v>
      </c>
    </row>
    <row r="58">
      <c r="A58" s="118">
        <v>43402.0</v>
      </c>
      <c r="B58" s="70" t="s">
        <v>92</v>
      </c>
      <c r="C58" s="43" t="str">
        <f>VLOOKUP(A58,Table!A:B,2,false)</f>
        <v>P3 W1</v>
      </c>
      <c r="D58" s="43" t="str">
        <f>VLOOKUP(A58,Table!A:D,4,false)</f>
        <v>Period 3</v>
      </c>
      <c r="E58" s="70" t="s">
        <v>93</v>
      </c>
      <c r="F58" s="43">
        <v>0.9166666666666666</v>
      </c>
      <c r="G58" s="43">
        <v>0.13472222222222222</v>
      </c>
      <c r="H58" s="43">
        <v>0.16666666666666666</v>
      </c>
      <c r="I58" s="43">
        <v>0.23958333333333334</v>
      </c>
      <c r="J58" s="45">
        <f t="shared" si="1"/>
        <v>465</v>
      </c>
      <c r="K58" s="46"/>
      <c r="L58" s="46" t="s">
        <v>152</v>
      </c>
    </row>
    <row r="59">
      <c r="A59" s="118">
        <v>43403.0</v>
      </c>
      <c r="B59" s="70" t="s">
        <v>94</v>
      </c>
      <c r="C59" s="43" t="str">
        <f>VLOOKUP(A59,Table!A:B,2,false)</f>
        <v>P3 W1</v>
      </c>
      <c r="D59" s="43" t="str">
        <f>VLOOKUP(A59,Table!A:D,4,false)</f>
        <v>Period 3</v>
      </c>
      <c r="E59" s="70" t="s">
        <v>93</v>
      </c>
      <c r="F59" s="43">
        <v>0.9166666666666666</v>
      </c>
      <c r="G59" s="43">
        <v>0.125</v>
      </c>
      <c r="H59" s="43">
        <v>0.14652777777777778</v>
      </c>
      <c r="I59" s="43">
        <v>0.2708333333333333</v>
      </c>
      <c r="J59" s="45">
        <f t="shared" si="1"/>
        <v>510</v>
      </c>
      <c r="K59" s="46"/>
      <c r="L59" s="46" t="s">
        <v>154</v>
      </c>
    </row>
    <row r="60">
      <c r="A60" s="118">
        <v>43404.0</v>
      </c>
      <c r="B60" s="70" t="s">
        <v>96</v>
      </c>
      <c r="C60" s="43" t="str">
        <f>VLOOKUP(A60,Table!A:B,2,false)</f>
        <v>P3 W1</v>
      </c>
      <c r="D60" s="43" t="str">
        <f>VLOOKUP(A60,Table!A:D,4,false)</f>
        <v>Period 3</v>
      </c>
      <c r="E60" s="70" t="s">
        <v>93</v>
      </c>
      <c r="F60" s="43">
        <v>0.9166666666666666</v>
      </c>
      <c r="G60" s="43">
        <v>0.12361111111111112</v>
      </c>
      <c r="H60" s="43">
        <v>0.15138888888888888</v>
      </c>
      <c r="I60" s="43">
        <v>0.24791666666666667</v>
      </c>
      <c r="J60" s="45">
        <f t="shared" si="1"/>
        <v>477</v>
      </c>
      <c r="K60" s="46"/>
      <c r="L60" s="46" t="s">
        <v>156</v>
      </c>
    </row>
    <row r="61">
      <c r="A61" s="118">
        <v>43405.0</v>
      </c>
      <c r="B61" s="70" t="s">
        <v>97</v>
      </c>
      <c r="C61" s="43" t="str">
        <f>VLOOKUP(A61,Table!A:B,2,false)</f>
        <v>P3 W1</v>
      </c>
      <c r="D61" s="43" t="str">
        <f>VLOOKUP(A61,Table!A:D,4,false)</f>
        <v>Period 3</v>
      </c>
      <c r="E61" s="70" t="s">
        <v>93</v>
      </c>
      <c r="F61" s="43">
        <v>0.9166666666666666</v>
      </c>
      <c r="G61" s="43">
        <v>0.11216435185185185</v>
      </c>
      <c r="H61" s="43">
        <v>0.13319444444444445</v>
      </c>
      <c r="I61" s="43">
        <v>0.2507638888888889</v>
      </c>
      <c r="J61" s="45">
        <f t="shared" si="1"/>
        <v>481.1</v>
      </c>
      <c r="K61" s="46"/>
      <c r="L61" s="46" t="s">
        <v>157</v>
      </c>
    </row>
    <row r="62">
      <c r="A62" s="118">
        <v>43406.0</v>
      </c>
      <c r="B62" s="70" t="s">
        <v>98</v>
      </c>
      <c r="C62" s="43" t="str">
        <f>VLOOKUP(A62,Table!A:B,2,false)</f>
        <v>P3 W1</v>
      </c>
      <c r="D62" s="43" t="str">
        <f>VLOOKUP(A62,Table!A:D,4,false)</f>
        <v>Period 3</v>
      </c>
      <c r="E62" s="70" t="s">
        <v>93</v>
      </c>
      <c r="F62" s="43">
        <v>0.9166666666666666</v>
      </c>
      <c r="G62" s="43">
        <v>0.12608796296296296</v>
      </c>
      <c r="H62" s="43">
        <v>0.1487962962962963</v>
      </c>
      <c r="I62" s="43">
        <v>0.2673611111111111</v>
      </c>
      <c r="J62" s="45">
        <f t="shared" si="1"/>
        <v>505</v>
      </c>
      <c r="K62" s="46"/>
      <c r="L62" s="46" t="s">
        <v>158</v>
      </c>
    </row>
    <row r="63">
      <c r="A63" s="135">
        <v>43407.0</v>
      </c>
      <c r="B63" s="136" t="s">
        <v>99</v>
      </c>
      <c r="C63" s="137" t="str">
        <f>VLOOKUP(A63,Table!A:B,2,false)</f>
        <v>P3 W1</v>
      </c>
      <c r="D63" s="137" t="str">
        <f>VLOOKUP(A63,Table!A:D,4,false)</f>
        <v>Period 3</v>
      </c>
      <c r="E63" s="70" t="s">
        <v>93</v>
      </c>
      <c r="F63" s="43">
        <v>0.9166666666666666</v>
      </c>
      <c r="G63" s="43">
        <v>0.08819444444444445</v>
      </c>
      <c r="H63" s="43">
        <v>0.27152777777777776</v>
      </c>
      <c r="I63" s="138">
        <v>0.35625</v>
      </c>
      <c r="J63" s="45">
        <f t="shared" si="1"/>
        <v>633</v>
      </c>
      <c r="K63" s="46"/>
      <c r="L63" s="46" t="s">
        <v>159</v>
      </c>
      <c r="M63" s="89" t="s">
        <v>234</v>
      </c>
      <c r="N63" s="46" t="s">
        <v>48</v>
      </c>
    </row>
    <row r="64">
      <c r="A64" s="135">
        <v>43408.0</v>
      </c>
      <c r="B64" s="136" t="s">
        <v>100</v>
      </c>
      <c r="C64" s="137" t="str">
        <f>VLOOKUP(A64,Table!A:B,2,false)</f>
        <v>P3 W1</v>
      </c>
      <c r="D64" s="137" t="str">
        <f>VLOOKUP(A64,Table!A:D,4,false)</f>
        <v>Period 3</v>
      </c>
      <c r="E64" s="70" t="s">
        <v>93</v>
      </c>
      <c r="F64" s="43">
        <v>0.9166666666666666</v>
      </c>
      <c r="G64" s="43">
        <v>0.13333333333333333</v>
      </c>
      <c r="H64" s="43">
        <v>0.1625</v>
      </c>
      <c r="I64" s="138">
        <v>0.28194444444444444</v>
      </c>
      <c r="J64" s="45">
        <f t="shared" si="1"/>
        <v>526</v>
      </c>
      <c r="K64" s="46"/>
      <c r="L64" s="46" t="s">
        <v>160</v>
      </c>
      <c r="M64" s="90" t="s">
        <v>235</v>
      </c>
      <c r="N64" s="46" t="s">
        <v>60</v>
      </c>
    </row>
    <row r="65">
      <c r="A65" s="118">
        <v>43409.0</v>
      </c>
      <c r="B65" s="70" t="s">
        <v>92</v>
      </c>
      <c r="C65" s="43" t="str">
        <f>VLOOKUP(A65,Table!A:B,2,false)</f>
        <v>P3 W2</v>
      </c>
      <c r="D65" s="43" t="str">
        <f>VLOOKUP(A65,Table!A:D,4,false)</f>
        <v>Period 3</v>
      </c>
      <c r="E65" s="70" t="s">
        <v>101</v>
      </c>
      <c r="F65" s="43">
        <v>0.9166666666666666</v>
      </c>
      <c r="G65" s="43">
        <v>0.11041666666666666</v>
      </c>
      <c r="H65" s="43">
        <v>0.13402777777777777</v>
      </c>
      <c r="I65" s="43">
        <v>0.23680555555555555</v>
      </c>
      <c r="J65" s="45">
        <f t="shared" si="1"/>
        <v>461</v>
      </c>
      <c r="K65" s="46"/>
      <c r="L65" s="46" t="s">
        <v>152</v>
      </c>
      <c r="M65" s="90"/>
    </row>
    <row r="66">
      <c r="A66" s="118">
        <v>43410.0</v>
      </c>
      <c r="B66" s="70" t="s">
        <v>94</v>
      </c>
      <c r="C66" s="43" t="str">
        <f>VLOOKUP(A66,Table!A:B,2,false)</f>
        <v>P3 W2</v>
      </c>
      <c r="D66" s="43" t="str">
        <f>VLOOKUP(A66,Table!A:D,4,false)</f>
        <v>Period 3</v>
      </c>
      <c r="E66" s="70" t="s">
        <v>101</v>
      </c>
      <c r="F66" s="43">
        <v>0.9166666666666666</v>
      </c>
      <c r="G66" s="43">
        <v>0.08680555555555555</v>
      </c>
      <c r="H66" s="43">
        <v>0.12638888888888888</v>
      </c>
      <c r="I66" s="43">
        <v>0.25416666666666665</v>
      </c>
      <c r="J66" s="45">
        <f t="shared" si="1"/>
        <v>486</v>
      </c>
      <c r="K66" s="46"/>
      <c r="L66" s="46" t="s">
        <v>154</v>
      </c>
    </row>
    <row r="67">
      <c r="A67" s="118">
        <v>43411.0</v>
      </c>
      <c r="B67" s="70" t="s">
        <v>96</v>
      </c>
      <c r="C67" s="43" t="str">
        <f>VLOOKUP(A67,Table!A:B,2,false)</f>
        <v>P3 W2</v>
      </c>
      <c r="D67" s="43" t="str">
        <f>VLOOKUP(A67,Table!A:D,4,false)</f>
        <v>Period 3</v>
      </c>
      <c r="E67" s="70" t="s">
        <v>101</v>
      </c>
      <c r="F67" s="43">
        <v>0.9166666666666666</v>
      </c>
      <c r="G67" s="43">
        <v>0.13194444444444445</v>
      </c>
      <c r="H67" s="43">
        <v>0.15138888888888888</v>
      </c>
      <c r="I67" s="43">
        <v>0.25833333333333336</v>
      </c>
      <c r="J67" s="45">
        <f t="shared" si="1"/>
        <v>492</v>
      </c>
      <c r="K67" s="46"/>
      <c r="L67" s="46" t="s">
        <v>156</v>
      </c>
    </row>
    <row r="68">
      <c r="A68" s="118">
        <v>43412.0</v>
      </c>
      <c r="B68" s="70" t="s">
        <v>97</v>
      </c>
      <c r="C68" s="43" t="str">
        <f>VLOOKUP(A68,Table!A:B,2,false)</f>
        <v>P3 W2</v>
      </c>
      <c r="D68" s="43" t="str">
        <f>VLOOKUP(A68,Table!A:D,4,false)</f>
        <v>Period 3</v>
      </c>
      <c r="E68" s="70" t="s">
        <v>101</v>
      </c>
      <c r="F68" s="43">
        <v>0.9166666666666666</v>
      </c>
      <c r="G68" s="43">
        <v>0.1094212962962963</v>
      </c>
      <c r="H68" s="43">
        <v>0.1449074074074074</v>
      </c>
      <c r="I68" s="43">
        <v>0.24748842592592593</v>
      </c>
      <c r="J68" s="45">
        <f t="shared" si="1"/>
        <v>476.3833333</v>
      </c>
      <c r="K68" s="46"/>
      <c r="L68" s="46" t="s">
        <v>157</v>
      </c>
    </row>
    <row r="69">
      <c r="A69" s="135">
        <v>43413.0</v>
      </c>
      <c r="B69" s="136" t="s">
        <v>98</v>
      </c>
      <c r="C69" s="137" t="str">
        <f>VLOOKUP(A69,Table!A:B,2,false)</f>
        <v>P3 W2</v>
      </c>
      <c r="D69" s="137" t="str">
        <f>VLOOKUP(A69,Table!A:D,4,false)</f>
        <v>Period 3</v>
      </c>
      <c r="E69" s="70" t="s">
        <v>101</v>
      </c>
      <c r="F69" s="43">
        <v>0.9166666666666666</v>
      </c>
      <c r="G69" s="43">
        <v>0.17847222222222223</v>
      </c>
      <c r="H69" s="43">
        <v>0.19930555555555557</v>
      </c>
      <c r="I69" s="138">
        <v>0.2986111111111111</v>
      </c>
      <c r="J69" s="45">
        <f t="shared" si="1"/>
        <v>550</v>
      </c>
      <c r="K69" s="46"/>
      <c r="L69" s="46" t="s">
        <v>158</v>
      </c>
      <c r="M69" s="46" t="s">
        <v>236</v>
      </c>
      <c r="N69" s="46" t="s">
        <v>188</v>
      </c>
    </row>
    <row r="70">
      <c r="A70" s="118">
        <v>43414.0</v>
      </c>
      <c r="B70" s="70" t="s">
        <v>99</v>
      </c>
      <c r="C70" s="43" t="str">
        <f>VLOOKUP(A70,Table!A:B,2,false)</f>
        <v>P3 W2</v>
      </c>
      <c r="D70" s="43" t="str">
        <f>VLOOKUP(A70,Table!A:D,4,false)</f>
        <v>Period 3</v>
      </c>
      <c r="E70" s="70" t="s">
        <v>101</v>
      </c>
      <c r="F70" s="43">
        <v>0.9166666666666666</v>
      </c>
      <c r="G70" s="43">
        <v>0.08888888888888889</v>
      </c>
      <c r="H70" s="43">
        <v>0.18472222222222223</v>
      </c>
      <c r="I70" s="43">
        <v>0.2708101851851852</v>
      </c>
      <c r="J70" s="45">
        <f t="shared" si="1"/>
        <v>509.9666667</v>
      </c>
      <c r="K70" s="46"/>
      <c r="L70" s="46" t="s">
        <v>159</v>
      </c>
    </row>
    <row r="71">
      <c r="A71" s="118">
        <v>43415.0</v>
      </c>
      <c r="B71" s="70" t="s">
        <v>100</v>
      </c>
      <c r="C71" s="43" t="str">
        <f>VLOOKUP(A71,Table!A:B,2,false)</f>
        <v>P3 W2</v>
      </c>
      <c r="D71" s="43" t="str">
        <f>VLOOKUP(A71,Table!A:D,4,false)</f>
        <v>Period 3</v>
      </c>
      <c r="E71" s="70" t="s">
        <v>101</v>
      </c>
      <c r="F71" s="43">
        <v>0.9166666666666666</v>
      </c>
      <c r="G71" s="43">
        <v>0.1322337962962963</v>
      </c>
      <c r="H71" s="43">
        <v>0.15986111111111112</v>
      </c>
      <c r="I71" s="43">
        <v>0.23766203703703703</v>
      </c>
      <c r="J71" s="45">
        <f t="shared" si="1"/>
        <v>462.2333333</v>
      </c>
      <c r="K71" s="46"/>
      <c r="L71" s="46" t="s">
        <v>160</v>
      </c>
    </row>
    <row r="72">
      <c r="A72" s="118">
        <v>43416.0</v>
      </c>
      <c r="B72" s="70" t="s">
        <v>92</v>
      </c>
      <c r="C72" s="43" t="str">
        <f>VLOOKUP(A72,Table!A:B,2,false)</f>
        <v>P3 W3</v>
      </c>
      <c r="D72" s="43" t="str">
        <f>VLOOKUP(A72,Table!A:D,4,false)</f>
        <v>Period 3</v>
      </c>
      <c r="E72" s="70" t="s">
        <v>106</v>
      </c>
      <c r="F72" s="43">
        <v>0.9166666666666666</v>
      </c>
      <c r="G72" s="43">
        <v>0.08626157407407407</v>
      </c>
      <c r="H72" s="43">
        <v>0.10947916666666667</v>
      </c>
      <c r="I72" s="43">
        <v>0.19693287037037038</v>
      </c>
      <c r="J72" s="45">
        <f t="shared" si="1"/>
        <v>403.5833333</v>
      </c>
      <c r="K72" s="46"/>
      <c r="L72" s="46" t="s">
        <v>152</v>
      </c>
    </row>
    <row r="73">
      <c r="A73" s="135">
        <v>43417.0</v>
      </c>
      <c r="B73" s="136" t="s">
        <v>94</v>
      </c>
      <c r="C73" s="137" t="str">
        <f>VLOOKUP(A73,Table!A:B,2,false)</f>
        <v>P3 W3</v>
      </c>
      <c r="D73" s="137" t="str">
        <f>VLOOKUP(A73,Table!A:D,4,false)</f>
        <v>Period 3</v>
      </c>
      <c r="E73" s="70" t="s">
        <v>106</v>
      </c>
      <c r="F73" s="43">
        <v>0.9166666666666666</v>
      </c>
      <c r="G73" s="43">
        <v>0.1</v>
      </c>
      <c r="H73" s="43">
        <v>0.12569444444444444</v>
      </c>
      <c r="I73" s="138">
        <v>0.3680555555555556</v>
      </c>
      <c r="J73" s="45">
        <f t="shared" si="1"/>
        <v>650</v>
      </c>
      <c r="K73" s="46"/>
      <c r="L73" s="46" t="s">
        <v>154</v>
      </c>
      <c r="M73" s="46" t="s">
        <v>237</v>
      </c>
      <c r="N73" s="80" t="s">
        <v>187</v>
      </c>
    </row>
    <row r="74">
      <c r="A74" s="135">
        <v>43418.0</v>
      </c>
      <c r="B74" s="136" t="s">
        <v>96</v>
      </c>
      <c r="C74" s="137" t="str">
        <f>VLOOKUP(A74,Table!A:B,2,false)</f>
        <v>P3 W3</v>
      </c>
      <c r="D74" s="137" t="str">
        <f>VLOOKUP(A74,Table!A:D,4,false)</f>
        <v>Period 3</v>
      </c>
      <c r="E74" s="70" t="s">
        <v>106</v>
      </c>
      <c r="F74" s="43">
        <v>0.9166666666666666</v>
      </c>
      <c r="G74" s="43">
        <v>0.10555555555555556</v>
      </c>
      <c r="H74" s="43">
        <v>0.14097222222222222</v>
      </c>
      <c r="I74" s="138">
        <v>0.30833333333333335</v>
      </c>
      <c r="J74" s="45">
        <f t="shared" si="1"/>
        <v>564</v>
      </c>
      <c r="K74" s="46"/>
      <c r="L74" s="46" t="s">
        <v>156</v>
      </c>
      <c r="M74" s="46" t="s">
        <v>237</v>
      </c>
      <c r="N74" s="80" t="s">
        <v>187</v>
      </c>
    </row>
    <row r="75">
      <c r="A75" s="135">
        <v>43419.0</v>
      </c>
      <c r="B75" s="136" t="s">
        <v>97</v>
      </c>
      <c r="C75" s="137" t="str">
        <f>VLOOKUP(A75,Table!A:B,2,false)</f>
        <v>P3 W3</v>
      </c>
      <c r="D75" s="137" t="str">
        <f>VLOOKUP(A75,Table!A:D,4,false)</f>
        <v>Period 3</v>
      </c>
      <c r="E75" s="70" t="s">
        <v>106</v>
      </c>
      <c r="F75" s="43">
        <v>0.9166666666666666</v>
      </c>
      <c r="G75" s="43">
        <v>0.13229166666666667</v>
      </c>
      <c r="H75" s="43">
        <v>0.15550925925925926</v>
      </c>
      <c r="I75" s="138">
        <v>0.3145833333333333</v>
      </c>
      <c r="J75" s="45">
        <f t="shared" si="1"/>
        <v>573</v>
      </c>
      <c r="K75" s="46"/>
      <c r="L75" s="46" t="s">
        <v>157</v>
      </c>
      <c r="M75" s="46" t="s">
        <v>237</v>
      </c>
      <c r="N75" s="80" t="s">
        <v>187</v>
      </c>
    </row>
    <row r="76">
      <c r="A76" s="135">
        <v>43420.0</v>
      </c>
      <c r="B76" s="136" t="s">
        <v>98</v>
      </c>
      <c r="C76" s="137" t="str">
        <f>VLOOKUP(A76,Table!A:B,2,false)</f>
        <v>P3 W3</v>
      </c>
      <c r="D76" s="137" t="str">
        <f>VLOOKUP(A76,Table!A:D,4,false)</f>
        <v>Period 3</v>
      </c>
      <c r="E76" s="70" t="s">
        <v>106</v>
      </c>
      <c r="F76" s="43">
        <v>0.9166666666666666</v>
      </c>
      <c r="G76" s="43">
        <v>0.09894675925925926</v>
      </c>
      <c r="H76" s="43">
        <v>0.11813657407407407</v>
      </c>
      <c r="I76" s="138">
        <v>0.32569444444444445</v>
      </c>
      <c r="J76" s="45">
        <f t="shared" si="1"/>
        <v>589</v>
      </c>
      <c r="K76" s="46"/>
      <c r="L76" s="46" t="s">
        <v>158</v>
      </c>
      <c r="M76" s="46" t="s">
        <v>237</v>
      </c>
      <c r="N76" s="80" t="s">
        <v>187</v>
      </c>
    </row>
    <row r="77">
      <c r="A77" s="135">
        <v>43421.0</v>
      </c>
      <c r="B77" s="136" t="s">
        <v>99</v>
      </c>
      <c r="C77" s="137" t="str">
        <f>VLOOKUP(A77,Table!A:B,2,false)</f>
        <v>P3 W3</v>
      </c>
      <c r="D77" s="137" t="str">
        <f>VLOOKUP(A77,Table!A:D,4,false)</f>
        <v>Period 3</v>
      </c>
      <c r="E77" s="70" t="s">
        <v>106</v>
      </c>
      <c r="F77" s="43">
        <v>0.9166666666666666</v>
      </c>
      <c r="G77" s="43">
        <v>0.09236111111111112</v>
      </c>
      <c r="H77" s="43">
        <v>0.40208333333333335</v>
      </c>
      <c r="I77" s="137">
        <v>0.7388888888888889</v>
      </c>
      <c r="J77" s="45">
        <f t="shared" si="1"/>
        <v>1184</v>
      </c>
      <c r="K77" s="46"/>
      <c r="L77" s="46" t="s">
        <v>159</v>
      </c>
      <c r="M77" s="46" t="s">
        <v>238</v>
      </c>
      <c r="N77" s="80" t="s">
        <v>187</v>
      </c>
    </row>
    <row r="78">
      <c r="A78" s="118">
        <v>43422.0</v>
      </c>
      <c r="B78" s="70" t="s">
        <v>100</v>
      </c>
      <c r="C78" s="43" t="str">
        <f>VLOOKUP(A78,Table!A:B,2,false)</f>
        <v>P3 W3</v>
      </c>
      <c r="D78" s="43" t="str">
        <f>VLOOKUP(A78,Table!A:D,4,false)</f>
        <v>Period 3</v>
      </c>
      <c r="E78" s="70" t="s">
        <v>106</v>
      </c>
      <c r="F78" s="43">
        <v>0.9166666666666666</v>
      </c>
      <c r="G78" s="43">
        <v>0.13680555555555557</v>
      </c>
      <c r="H78" s="43">
        <v>0.17291666666666666</v>
      </c>
      <c r="I78" s="43">
        <v>0.2375</v>
      </c>
      <c r="J78" s="45">
        <f t="shared" si="1"/>
        <v>462</v>
      </c>
      <c r="K78" s="46"/>
      <c r="L78" s="46" t="s">
        <v>160</v>
      </c>
      <c r="M78" s="43"/>
    </row>
    <row r="79">
      <c r="A79" s="118">
        <v>43423.0</v>
      </c>
      <c r="B79" s="70" t="s">
        <v>92</v>
      </c>
      <c r="C79" s="43" t="str">
        <f>VLOOKUP(A79,Table!A:B,2,false)</f>
        <v>P3 W4</v>
      </c>
      <c r="D79" s="43" t="str">
        <f>VLOOKUP(A79,Table!A:D,4,false)</f>
        <v>Period 3</v>
      </c>
      <c r="E79" s="70" t="s">
        <v>110</v>
      </c>
      <c r="F79" s="43">
        <v>0.9166666666666666</v>
      </c>
      <c r="G79" s="43">
        <v>0.125</v>
      </c>
      <c r="H79" s="43">
        <v>0.16111111111111112</v>
      </c>
      <c r="I79" s="43">
        <v>0.22916666666666666</v>
      </c>
      <c r="J79" s="45">
        <f t="shared" si="1"/>
        <v>450</v>
      </c>
      <c r="K79" s="46"/>
      <c r="L79" s="46" t="s">
        <v>152</v>
      </c>
    </row>
    <row r="80">
      <c r="A80" s="118">
        <v>43424.0</v>
      </c>
      <c r="B80" s="70" t="s">
        <v>94</v>
      </c>
      <c r="C80" s="43" t="str">
        <f>VLOOKUP(A80,Table!A:B,2,false)</f>
        <v>P3 W4</v>
      </c>
      <c r="D80" s="43" t="str">
        <f>VLOOKUP(A80,Table!A:D,4,false)</f>
        <v>Period 3</v>
      </c>
      <c r="E80" s="70" t="s">
        <v>110</v>
      </c>
      <c r="F80" s="43">
        <v>0.9166666666666666</v>
      </c>
      <c r="G80" s="43">
        <v>0.10069444444444445</v>
      </c>
      <c r="H80" s="43">
        <v>0.13402777777777777</v>
      </c>
      <c r="I80" s="43">
        <v>0.30833333333333335</v>
      </c>
      <c r="J80" s="45">
        <f t="shared" si="1"/>
        <v>564</v>
      </c>
      <c r="K80" s="46"/>
      <c r="L80" s="46" t="s">
        <v>154</v>
      </c>
      <c r="M80" s="72" t="s">
        <v>239</v>
      </c>
      <c r="N80" s="80" t="s">
        <v>187</v>
      </c>
    </row>
    <row r="81">
      <c r="A81" s="118">
        <v>43425.0</v>
      </c>
      <c r="B81" s="70" t="s">
        <v>96</v>
      </c>
      <c r="C81" s="43" t="str">
        <f>VLOOKUP(A81,Table!A:B,2,false)</f>
        <v>P3 W4</v>
      </c>
      <c r="D81" s="43" t="str">
        <f>VLOOKUP(A81,Table!A:D,4,false)</f>
        <v>Period 3</v>
      </c>
      <c r="E81" s="70" t="s">
        <v>110</v>
      </c>
      <c r="F81" s="43">
        <v>0.9166666666666666</v>
      </c>
      <c r="G81" s="43">
        <v>0.1076388888888889</v>
      </c>
      <c r="H81" s="43">
        <v>0.27914351851851854</v>
      </c>
      <c r="I81" s="43">
        <v>0.36918981481481483</v>
      </c>
      <c r="J81" s="45">
        <f t="shared" si="1"/>
        <v>651.6333333</v>
      </c>
      <c r="K81" s="46"/>
      <c r="L81" s="46" t="s">
        <v>156</v>
      </c>
      <c r="M81" s="72" t="s">
        <v>240</v>
      </c>
      <c r="N81" s="72" t="s">
        <v>205</v>
      </c>
    </row>
    <row r="82">
      <c r="A82" s="118">
        <v>43426.0</v>
      </c>
      <c r="B82" s="70" t="s">
        <v>97</v>
      </c>
      <c r="C82" s="43" t="str">
        <f>VLOOKUP(A82,Table!A:B,2,false)</f>
        <v>P3 W4</v>
      </c>
      <c r="D82" s="43" t="str">
        <f>VLOOKUP(A82,Table!A:D,4,false)</f>
        <v>Period 3</v>
      </c>
      <c r="E82" s="70" t="s">
        <v>110</v>
      </c>
      <c r="F82" s="43">
        <v>0.9166666666666666</v>
      </c>
      <c r="G82" s="43">
        <v>0.0744675925925926</v>
      </c>
      <c r="H82" s="43">
        <v>0.1765972222222222</v>
      </c>
      <c r="I82" s="43">
        <v>0.2833333333333333</v>
      </c>
      <c r="J82" s="45">
        <f t="shared" si="1"/>
        <v>528</v>
      </c>
      <c r="K82" s="46"/>
      <c r="L82" s="46" t="s">
        <v>157</v>
      </c>
      <c r="M82" s="92" t="s">
        <v>241</v>
      </c>
      <c r="N82" s="80" t="s">
        <v>187</v>
      </c>
    </row>
    <row r="83">
      <c r="A83" s="118">
        <v>43427.0</v>
      </c>
      <c r="B83" s="70" t="s">
        <v>98</v>
      </c>
      <c r="C83" s="43" t="str">
        <f>VLOOKUP(A83,Table!A:B,2,false)</f>
        <v>P3 W4</v>
      </c>
      <c r="D83" s="43" t="str">
        <f>VLOOKUP(A83,Table!A:D,4,false)</f>
        <v>Period 3</v>
      </c>
      <c r="E83" s="70" t="s">
        <v>110</v>
      </c>
      <c r="F83" s="43">
        <v>0.9166666666666666</v>
      </c>
      <c r="G83" s="43">
        <v>0.16407407407407407</v>
      </c>
      <c r="H83" s="43">
        <v>0.18730324074074073</v>
      </c>
      <c r="I83" s="43">
        <v>0.2839467592592593</v>
      </c>
      <c r="J83" s="45">
        <f t="shared" si="1"/>
        <v>528.8833333</v>
      </c>
      <c r="K83" s="46"/>
      <c r="L83" s="46" t="s">
        <v>158</v>
      </c>
      <c r="M83" s="72" t="s">
        <v>242</v>
      </c>
      <c r="N83" s="46" t="s">
        <v>36</v>
      </c>
    </row>
    <row r="84">
      <c r="A84" s="118">
        <v>43428.0</v>
      </c>
      <c r="B84" s="70" t="s">
        <v>99</v>
      </c>
      <c r="C84" s="43" t="str">
        <f>VLOOKUP(A84,Table!A:B,2,false)</f>
        <v>P3 W4</v>
      </c>
      <c r="D84" s="43" t="str">
        <f>VLOOKUP(A84,Table!A:D,4,false)</f>
        <v>Period 3</v>
      </c>
      <c r="E84" s="70" t="s">
        <v>110</v>
      </c>
      <c r="F84" s="43">
        <v>0.9166666666666666</v>
      </c>
      <c r="G84" s="43">
        <v>0.17627314814814815</v>
      </c>
      <c r="H84" s="43">
        <v>0.23280092592592594</v>
      </c>
      <c r="I84" s="43">
        <v>0.3143287037037037</v>
      </c>
      <c r="J84" s="45">
        <f t="shared" si="1"/>
        <v>572.6333333</v>
      </c>
      <c r="K84" s="46"/>
      <c r="L84" s="46" t="s">
        <v>159</v>
      </c>
      <c r="M84" s="93" t="s">
        <v>243</v>
      </c>
      <c r="N84" s="46" t="s">
        <v>37</v>
      </c>
    </row>
    <row r="85">
      <c r="A85" s="118">
        <v>43429.0</v>
      </c>
      <c r="B85" s="70" t="s">
        <v>100</v>
      </c>
      <c r="C85" s="43" t="str">
        <f>VLOOKUP(A85,Table!A:B,2,false)</f>
        <v>P3 W4</v>
      </c>
      <c r="D85" s="43" t="str">
        <f>VLOOKUP(A85,Table!A:D,4,false)</f>
        <v>Period 3</v>
      </c>
      <c r="E85" s="70" t="s">
        <v>110</v>
      </c>
      <c r="F85" s="43">
        <v>0.9166666666666666</v>
      </c>
      <c r="G85" s="43">
        <v>0.2023611111111111</v>
      </c>
      <c r="H85" s="43">
        <v>0.2382986111111111</v>
      </c>
      <c r="I85" s="43">
        <v>0.30833333333333335</v>
      </c>
      <c r="J85" s="45">
        <f t="shared" si="1"/>
        <v>564</v>
      </c>
      <c r="K85" s="46"/>
      <c r="L85" s="46" t="s">
        <v>160</v>
      </c>
      <c r="M85" s="93" t="s">
        <v>243</v>
      </c>
      <c r="N85" s="46" t="s">
        <v>37</v>
      </c>
    </row>
    <row r="86">
      <c r="A86" s="118">
        <v>43430.0</v>
      </c>
      <c r="B86" s="70" t="s">
        <v>92</v>
      </c>
      <c r="C86" s="43" t="str">
        <f>VLOOKUP(A86,Table!A:B,2,false)</f>
        <v>P4 W1</v>
      </c>
      <c r="D86" s="43" t="str">
        <f>VLOOKUP(A86,Table!A:D,4,false)</f>
        <v>Period 4</v>
      </c>
      <c r="E86" s="70" t="s">
        <v>93</v>
      </c>
      <c r="F86" s="43">
        <v>0.9166666666666666</v>
      </c>
      <c r="G86" s="43">
        <v>0.15625</v>
      </c>
      <c r="H86" s="43">
        <v>0.18611111111111112</v>
      </c>
      <c r="I86" s="43">
        <v>0.26944444444444443</v>
      </c>
      <c r="J86" s="45">
        <f t="shared" si="1"/>
        <v>508</v>
      </c>
      <c r="K86" s="46"/>
      <c r="L86" s="46" t="s">
        <v>152</v>
      </c>
    </row>
    <row r="87">
      <c r="A87" s="118">
        <v>43431.0</v>
      </c>
      <c r="B87" s="70" t="s">
        <v>94</v>
      </c>
      <c r="C87" s="43" t="str">
        <f>VLOOKUP(A87,Table!A:B,2,false)</f>
        <v>P4 W1</v>
      </c>
      <c r="D87" s="43" t="str">
        <f>VLOOKUP(A87,Table!A:D,4,false)</f>
        <v>Period 4</v>
      </c>
      <c r="E87" s="70" t="s">
        <v>93</v>
      </c>
      <c r="F87" s="43">
        <v>0.9166666666666666</v>
      </c>
      <c r="G87" s="43">
        <v>0.18832175925925926</v>
      </c>
      <c r="H87" s="43">
        <v>0.2304861111111111</v>
      </c>
      <c r="I87" s="43">
        <v>0.3653472222222222</v>
      </c>
      <c r="J87" s="45">
        <f t="shared" si="1"/>
        <v>646.1</v>
      </c>
      <c r="K87" s="46"/>
      <c r="L87" s="46" t="s">
        <v>154</v>
      </c>
      <c r="N87" s="80" t="s">
        <v>187</v>
      </c>
    </row>
    <row r="88">
      <c r="A88" s="118">
        <v>43432.0</v>
      </c>
      <c r="B88" s="70" t="s">
        <v>96</v>
      </c>
      <c r="C88" s="43" t="str">
        <f>VLOOKUP(A88,Table!A:B,2,false)</f>
        <v>P4 W1</v>
      </c>
      <c r="D88" s="43" t="str">
        <f>VLOOKUP(A88,Table!A:D,4,false)</f>
        <v>Period 4</v>
      </c>
      <c r="E88" s="70" t="s">
        <v>93</v>
      </c>
      <c r="F88" s="43">
        <v>0.9166666666666666</v>
      </c>
      <c r="G88" s="43">
        <v>0.16355324074074074</v>
      </c>
      <c r="H88" s="43">
        <v>0.20542824074074073</v>
      </c>
      <c r="I88" s="43">
        <v>0.45069444444444445</v>
      </c>
      <c r="J88" s="45">
        <f t="shared" si="1"/>
        <v>769</v>
      </c>
      <c r="K88" s="46"/>
      <c r="L88" s="46" t="s">
        <v>156</v>
      </c>
      <c r="M88" s="72" t="s">
        <v>244</v>
      </c>
      <c r="N88" s="80" t="s">
        <v>187</v>
      </c>
    </row>
    <row r="89">
      <c r="A89" s="118">
        <v>43433.0</v>
      </c>
      <c r="B89" s="70" t="s">
        <v>97</v>
      </c>
      <c r="C89" s="43" t="str">
        <f>VLOOKUP(A89,Table!A:B,2,false)</f>
        <v>P4 W1</v>
      </c>
      <c r="D89" s="43" t="str">
        <f>VLOOKUP(A89,Table!A:D,4,false)</f>
        <v>Period 4</v>
      </c>
      <c r="E89" s="70" t="s">
        <v>93</v>
      </c>
      <c r="F89" s="43">
        <v>0.9166666666666666</v>
      </c>
      <c r="G89" s="43">
        <v>0.12981481481481483</v>
      </c>
      <c r="H89" s="43">
        <v>0.18417824074074074</v>
      </c>
      <c r="I89" s="43">
        <v>0.43472222222222223</v>
      </c>
      <c r="J89" s="45">
        <f t="shared" si="1"/>
        <v>746</v>
      </c>
      <c r="K89" s="46"/>
      <c r="L89" s="46" t="s">
        <v>157</v>
      </c>
      <c r="M89" s="46" t="s">
        <v>245</v>
      </c>
      <c r="N89" s="46" t="s">
        <v>196</v>
      </c>
    </row>
    <row r="90">
      <c r="A90" s="118">
        <v>43434.0</v>
      </c>
      <c r="B90" s="70" t="s">
        <v>98</v>
      </c>
      <c r="C90" s="43" t="str">
        <f>VLOOKUP(A90,Table!A:B,2,false)</f>
        <v>P4 W1</v>
      </c>
      <c r="D90" s="43" t="str">
        <f>VLOOKUP(A90,Table!A:D,4,false)</f>
        <v>Period 4</v>
      </c>
      <c r="E90" s="70" t="s">
        <v>93</v>
      </c>
      <c r="F90" s="43">
        <v>0.9166666666666666</v>
      </c>
      <c r="G90" s="43">
        <v>0.1326388888888889</v>
      </c>
      <c r="H90" s="43">
        <v>0.16597222222222222</v>
      </c>
      <c r="I90" s="43">
        <v>0.4220023148148148</v>
      </c>
      <c r="J90" s="45">
        <f t="shared" si="1"/>
        <v>727.6833333</v>
      </c>
      <c r="K90" s="46"/>
      <c r="L90" s="46" t="s">
        <v>158</v>
      </c>
      <c r="M90" s="72" t="s">
        <v>246</v>
      </c>
      <c r="N90" s="80" t="s">
        <v>187</v>
      </c>
    </row>
    <row r="91">
      <c r="A91" s="118">
        <v>43435.0</v>
      </c>
      <c r="B91" s="70" t="s">
        <v>99</v>
      </c>
      <c r="C91" s="43" t="str">
        <f>VLOOKUP(A91,Table!A:B,2,false)</f>
        <v>P4 W1</v>
      </c>
      <c r="D91" s="43" t="str">
        <f>VLOOKUP(A91,Table!A:D,4,false)</f>
        <v>Period 4</v>
      </c>
      <c r="E91" s="70" t="s">
        <v>93</v>
      </c>
      <c r="F91" s="43">
        <v>0.9166666666666666</v>
      </c>
      <c r="G91" s="43">
        <v>0.27291666666666664</v>
      </c>
      <c r="H91" s="43">
        <v>0.2916666666666667</v>
      </c>
      <c r="I91" s="43">
        <v>0.5159722222222223</v>
      </c>
      <c r="J91" s="45">
        <f t="shared" si="1"/>
        <v>863</v>
      </c>
      <c r="K91" s="46"/>
      <c r="L91" s="46" t="s">
        <v>159</v>
      </c>
      <c r="M91" s="72" t="s">
        <v>247</v>
      </c>
      <c r="N91" s="46" t="s">
        <v>206</v>
      </c>
    </row>
    <row r="92">
      <c r="A92" s="118">
        <v>43436.0</v>
      </c>
      <c r="B92" s="70" t="s">
        <v>100</v>
      </c>
      <c r="C92" s="43" t="str">
        <f>VLOOKUP(A92,Table!A:B,2,false)</f>
        <v>P4 W1</v>
      </c>
      <c r="D92" s="43" t="str">
        <f>VLOOKUP(A92,Table!A:D,4,false)</f>
        <v>Period 4</v>
      </c>
      <c r="E92" s="70" t="s">
        <v>93</v>
      </c>
      <c r="F92" s="43">
        <v>0.9166666666666666</v>
      </c>
      <c r="G92" s="43">
        <v>0.1361111111111111</v>
      </c>
      <c r="H92" s="43">
        <v>0.15069444444444444</v>
      </c>
      <c r="I92" s="43">
        <v>0.3236111111111111</v>
      </c>
      <c r="J92" s="45">
        <f t="shared" si="1"/>
        <v>586</v>
      </c>
      <c r="K92" s="46"/>
      <c r="L92" s="46" t="s">
        <v>160</v>
      </c>
      <c r="M92" s="46" t="s">
        <v>248</v>
      </c>
      <c r="N92" s="46" t="s">
        <v>37</v>
      </c>
    </row>
    <row r="93">
      <c r="A93" s="118">
        <v>43437.0</v>
      </c>
      <c r="B93" s="70" t="s">
        <v>92</v>
      </c>
      <c r="C93" s="43" t="str">
        <f>VLOOKUP(A93,Table!A:B,2,false)</f>
        <v>P4 W2</v>
      </c>
      <c r="D93" s="43" t="str">
        <f>VLOOKUP(A93,Table!A:D,4,false)</f>
        <v>Period 4</v>
      </c>
      <c r="E93" s="70" t="s">
        <v>101</v>
      </c>
      <c r="F93" s="43">
        <v>0.9166666666666666</v>
      </c>
      <c r="G93" s="43">
        <v>0.13472222222222222</v>
      </c>
      <c r="H93" s="43">
        <v>0.15347222222222223</v>
      </c>
      <c r="I93" s="43">
        <v>0.2659722222222222</v>
      </c>
      <c r="J93" s="45">
        <f t="shared" si="1"/>
        <v>503</v>
      </c>
      <c r="K93" s="46"/>
      <c r="L93" s="46" t="s">
        <v>152</v>
      </c>
      <c r="M93" s="72" t="s">
        <v>249</v>
      </c>
      <c r="N93" s="46" t="s">
        <v>58</v>
      </c>
    </row>
    <row r="94">
      <c r="A94" s="118">
        <v>43438.0</v>
      </c>
      <c r="B94" s="70" t="s">
        <v>94</v>
      </c>
      <c r="C94" s="43" t="str">
        <f>VLOOKUP(A94,Table!A:B,2,false)</f>
        <v>P4 W2</v>
      </c>
      <c r="D94" s="43" t="str">
        <f>VLOOKUP(A94,Table!A:D,4,false)</f>
        <v>Period 4</v>
      </c>
      <c r="E94" s="70" t="s">
        <v>101</v>
      </c>
      <c r="F94" s="43">
        <v>0.9166666666666666</v>
      </c>
      <c r="G94" s="43">
        <v>0.14444444444444443</v>
      </c>
      <c r="H94" s="43">
        <v>0.1798611111111111</v>
      </c>
      <c r="I94" s="43">
        <v>0.4861111111111111</v>
      </c>
      <c r="J94" s="45">
        <f t="shared" si="1"/>
        <v>820</v>
      </c>
      <c r="K94" s="46"/>
      <c r="L94" s="46" t="s">
        <v>154</v>
      </c>
      <c r="M94" s="72" t="s">
        <v>250</v>
      </c>
      <c r="N94" s="46" t="s">
        <v>60</v>
      </c>
    </row>
    <row r="95">
      <c r="A95" s="118">
        <v>43439.0</v>
      </c>
      <c r="B95" s="70" t="s">
        <v>96</v>
      </c>
      <c r="C95" s="43" t="str">
        <f>VLOOKUP(A95,Table!A:B,2,false)</f>
        <v>P4 W2</v>
      </c>
      <c r="D95" s="43" t="str">
        <f>VLOOKUP(A95,Table!A:D,4,false)</f>
        <v>Period 4</v>
      </c>
      <c r="E95" s="70" t="s">
        <v>101</v>
      </c>
      <c r="F95" s="43">
        <v>0.9166666666666666</v>
      </c>
      <c r="G95" s="43">
        <v>0.11041666666666666</v>
      </c>
      <c r="H95" s="43">
        <v>0.14583333333333334</v>
      </c>
      <c r="I95" s="43">
        <v>0.2965277777777778</v>
      </c>
      <c r="J95" s="45">
        <f t="shared" si="1"/>
        <v>547</v>
      </c>
      <c r="K95" s="46"/>
      <c r="L95" s="46" t="s">
        <v>156</v>
      </c>
      <c r="M95" s="72" t="s">
        <v>251</v>
      </c>
      <c r="N95" s="46" t="s">
        <v>60</v>
      </c>
    </row>
    <row r="96">
      <c r="A96" s="118">
        <v>43440.0</v>
      </c>
      <c r="B96" s="70" t="s">
        <v>97</v>
      </c>
      <c r="C96" s="43" t="str">
        <f>VLOOKUP(A96,Table!A:B,2,false)</f>
        <v>P4 W2</v>
      </c>
      <c r="D96" s="43" t="str">
        <f>VLOOKUP(A96,Table!A:D,4,false)</f>
        <v>Period 4</v>
      </c>
      <c r="E96" s="70" t="s">
        <v>101</v>
      </c>
      <c r="F96" s="43">
        <v>0.9166666666666666</v>
      </c>
      <c r="G96" s="43">
        <v>0.11527777777777778</v>
      </c>
      <c r="H96" s="43">
        <v>0.15069444444444444</v>
      </c>
      <c r="I96" s="43">
        <v>0.4742476851851852</v>
      </c>
      <c r="J96" s="45">
        <f t="shared" si="1"/>
        <v>802.9166667</v>
      </c>
      <c r="K96" s="46"/>
      <c r="L96" s="46" t="s">
        <v>157</v>
      </c>
      <c r="M96" s="72" t="s">
        <v>252</v>
      </c>
      <c r="N96" s="80" t="s">
        <v>187</v>
      </c>
    </row>
    <row r="97">
      <c r="A97" s="118">
        <v>43441.0</v>
      </c>
      <c r="B97" s="70" t="s">
        <v>98</v>
      </c>
      <c r="C97" s="43" t="str">
        <f>VLOOKUP(A97,Table!A:B,2,false)</f>
        <v>P4 W2</v>
      </c>
      <c r="D97" s="43" t="str">
        <f>VLOOKUP(A97,Table!A:D,4,false)</f>
        <v>Period 4</v>
      </c>
      <c r="E97" s="70" t="s">
        <v>101</v>
      </c>
      <c r="F97" s="43">
        <v>0.9166666666666666</v>
      </c>
      <c r="G97" s="43">
        <v>0.10369212962962963</v>
      </c>
      <c r="H97" s="43">
        <v>0.13358796296296296</v>
      </c>
      <c r="I97" s="43">
        <v>0.43591435185185184</v>
      </c>
      <c r="J97" s="45">
        <f t="shared" si="1"/>
        <v>747.7166667</v>
      </c>
      <c r="K97" s="46"/>
      <c r="L97" s="46" t="s">
        <v>158</v>
      </c>
      <c r="M97" s="72" t="s">
        <v>253</v>
      </c>
      <c r="N97" s="80" t="s">
        <v>187</v>
      </c>
    </row>
    <row r="98">
      <c r="A98" s="118">
        <v>43442.0</v>
      </c>
      <c r="B98" s="70" t="s">
        <v>99</v>
      </c>
      <c r="C98" s="43" t="str">
        <f>VLOOKUP(A98,Table!A:B,2,false)</f>
        <v>P4 W2</v>
      </c>
      <c r="D98" s="43" t="str">
        <f>VLOOKUP(A98,Table!A:D,4,false)</f>
        <v>Period 4</v>
      </c>
      <c r="E98" s="70" t="s">
        <v>101</v>
      </c>
      <c r="F98" s="43">
        <v>0.9166666666666666</v>
      </c>
      <c r="G98" s="43">
        <v>0.11972222222222222</v>
      </c>
      <c r="H98" s="43">
        <v>0.15116898148148147</v>
      </c>
      <c r="I98" s="43">
        <v>0.35555555555555557</v>
      </c>
      <c r="J98" s="45">
        <f t="shared" si="1"/>
        <v>632</v>
      </c>
      <c r="K98" s="46"/>
      <c r="L98" s="46" t="s">
        <v>159</v>
      </c>
      <c r="M98" s="72" t="s">
        <v>254</v>
      </c>
      <c r="N98" s="80" t="s">
        <v>187</v>
      </c>
    </row>
    <row r="99">
      <c r="A99" s="118">
        <v>43443.0</v>
      </c>
      <c r="B99" s="70" t="s">
        <v>100</v>
      </c>
      <c r="C99" s="43" t="str">
        <f>VLOOKUP(A99,Table!A:B,2,false)</f>
        <v>P4 W2</v>
      </c>
      <c r="D99" s="43" t="str">
        <f>VLOOKUP(A99,Table!A:D,4,false)</f>
        <v>Period 4</v>
      </c>
      <c r="E99" s="70" t="s">
        <v>101</v>
      </c>
      <c r="F99" s="43">
        <v>0.9166666666666666</v>
      </c>
      <c r="G99" s="43">
        <v>0.13402777777777777</v>
      </c>
      <c r="H99" s="43">
        <v>0.16597222222222222</v>
      </c>
      <c r="I99" s="43">
        <v>0.2673611111111111</v>
      </c>
      <c r="J99" s="45">
        <f t="shared" si="1"/>
        <v>505</v>
      </c>
      <c r="K99" s="46"/>
      <c r="L99" s="46" t="s">
        <v>160</v>
      </c>
      <c r="M99" s="142" t="s">
        <v>255</v>
      </c>
      <c r="N99" s="46" t="s">
        <v>60</v>
      </c>
    </row>
    <row r="100">
      <c r="A100" s="118">
        <v>43444.0</v>
      </c>
      <c r="B100" s="70" t="s">
        <v>92</v>
      </c>
      <c r="C100" s="43" t="str">
        <f>VLOOKUP(A100,Table!A:B,2,false)</f>
        <v>P4 W3</v>
      </c>
      <c r="D100" s="43" t="str">
        <f>VLOOKUP(A100,Table!A:D,4,false)</f>
        <v>Period 4</v>
      </c>
      <c r="E100" s="70" t="s">
        <v>106</v>
      </c>
      <c r="F100" s="43">
        <v>0.9166666666666666</v>
      </c>
      <c r="G100" s="43">
        <v>0.13125</v>
      </c>
      <c r="H100" s="43">
        <v>0.15416666666666667</v>
      </c>
      <c r="I100" s="43">
        <v>0.23958333333333334</v>
      </c>
      <c r="J100" s="45">
        <f t="shared" si="1"/>
        <v>465</v>
      </c>
      <c r="K100" s="46"/>
      <c r="L100" s="46" t="s">
        <v>152</v>
      </c>
    </row>
    <row r="101">
      <c r="A101" s="118">
        <v>43445.0</v>
      </c>
      <c r="B101" s="70" t="s">
        <v>94</v>
      </c>
      <c r="C101" s="43" t="str">
        <f>VLOOKUP(A101,Table!A:B,2,false)</f>
        <v>P4 W3</v>
      </c>
      <c r="D101" s="43" t="str">
        <f>VLOOKUP(A101,Table!A:D,4,false)</f>
        <v>Period 4</v>
      </c>
      <c r="E101" s="70" t="s">
        <v>106</v>
      </c>
      <c r="F101" s="43">
        <v>0.9166666666666666</v>
      </c>
      <c r="G101" s="43">
        <v>0.18472222222222223</v>
      </c>
      <c r="H101" s="43">
        <v>0.24930555555555556</v>
      </c>
      <c r="I101" s="43">
        <v>0.74375</v>
      </c>
      <c r="J101" s="45">
        <f t="shared" si="1"/>
        <v>1191</v>
      </c>
      <c r="K101" s="46"/>
      <c r="L101" s="46" t="s">
        <v>154</v>
      </c>
      <c r="M101" s="46" t="s">
        <v>256</v>
      </c>
      <c r="N101" s="31" t="s">
        <v>188</v>
      </c>
    </row>
    <row r="102">
      <c r="A102" s="118">
        <v>43446.0</v>
      </c>
      <c r="B102" s="70" t="s">
        <v>96</v>
      </c>
      <c r="C102" s="43" t="str">
        <f>VLOOKUP(A102,Table!A:B,2,false)</f>
        <v>P4 W3</v>
      </c>
      <c r="D102" s="43" t="str">
        <f>VLOOKUP(A102,Table!A:D,4,false)</f>
        <v>Period 4</v>
      </c>
      <c r="E102" s="70" t="s">
        <v>106</v>
      </c>
      <c r="F102" s="43">
        <v>0.9166666666666666</v>
      </c>
      <c r="G102" s="43">
        <v>0.12152777777777778</v>
      </c>
      <c r="H102" s="43">
        <v>0.16527777777777777</v>
      </c>
      <c r="I102" s="43">
        <v>0.4826388888888889</v>
      </c>
      <c r="J102" s="45">
        <f>IF(I101 &gt; 0,(I101-F102+(I101&lt;F102))*24*60)</f>
        <v>1191</v>
      </c>
      <c r="K102" s="46"/>
      <c r="L102" s="46" t="s">
        <v>156</v>
      </c>
      <c r="M102" s="46" t="s">
        <v>257</v>
      </c>
      <c r="N102" s="80" t="s">
        <v>187</v>
      </c>
    </row>
    <row r="103">
      <c r="A103" s="118">
        <v>43447.0</v>
      </c>
      <c r="B103" s="70" t="s">
        <v>97</v>
      </c>
      <c r="C103" s="43" t="str">
        <f>VLOOKUP(A103,Table!A:B,2,false)</f>
        <v>P4 W3</v>
      </c>
      <c r="D103" s="43" t="str">
        <f>VLOOKUP(A103,Table!A:D,4,false)</f>
        <v>Period 4</v>
      </c>
      <c r="E103" s="70" t="s">
        <v>106</v>
      </c>
      <c r="F103" s="43">
        <v>0.9166666666666666</v>
      </c>
      <c r="G103" s="43">
        <v>0.09791666666666667</v>
      </c>
      <c r="H103" s="43">
        <v>0.125</v>
      </c>
      <c r="I103" s="43">
        <v>0.4673611111111111</v>
      </c>
      <c r="J103" s="45">
        <f t="shared" ref="J103:J366" si="2">IF(I103 &gt; 0,(I103-F103+(I103&lt;F103))*24*60)</f>
        <v>793</v>
      </c>
      <c r="K103" s="46"/>
      <c r="L103" s="46" t="s">
        <v>157</v>
      </c>
      <c r="M103" s="46" t="s">
        <v>258</v>
      </c>
      <c r="N103" s="80" t="s">
        <v>187</v>
      </c>
    </row>
    <row r="104">
      <c r="A104" s="118">
        <v>43448.0</v>
      </c>
      <c r="B104" s="70" t="s">
        <v>98</v>
      </c>
      <c r="C104" s="43" t="str">
        <f>VLOOKUP(A104,Table!A:B,2,false)</f>
        <v>P4 W3</v>
      </c>
      <c r="D104" s="43" t="str">
        <f>VLOOKUP(A104,Table!A:D,4,false)</f>
        <v>Period 4</v>
      </c>
      <c r="E104" s="70" t="s">
        <v>106</v>
      </c>
      <c r="F104" s="43">
        <v>0.9166666666666666</v>
      </c>
      <c r="G104" s="43">
        <v>0.14837962962962964</v>
      </c>
      <c r="H104" s="43">
        <v>0.18407407407407408</v>
      </c>
      <c r="I104" s="43">
        <v>0.5006944444444444</v>
      </c>
      <c r="J104" s="45">
        <f t="shared" si="2"/>
        <v>841</v>
      </c>
      <c r="K104" s="46"/>
      <c r="L104" s="46" t="s">
        <v>158</v>
      </c>
      <c r="M104" s="72" t="s">
        <v>259</v>
      </c>
      <c r="N104" s="80" t="s">
        <v>187</v>
      </c>
    </row>
    <row r="105">
      <c r="A105" s="118">
        <v>43449.0</v>
      </c>
      <c r="B105" s="70" t="s">
        <v>99</v>
      </c>
      <c r="C105" s="43" t="str">
        <f>VLOOKUP(A105,Table!A:B,2,false)</f>
        <v>P4 W3</v>
      </c>
      <c r="D105" s="43" t="str">
        <f>VLOOKUP(A105,Table!A:D,4,false)</f>
        <v>Period 4</v>
      </c>
      <c r="E105" s="70" t="s">
        <v>106</v>
      </c>
      <c r="F105" s="43">
        <v>0.9166666666666666</v>
      </c>
      <c r="G105" s="43">
        <v>0.11944444444444445</v>
      </c>
      <c r="H105" s="43">
        <v>0.3902777777777778</v>
      </c>
      <c r="I105" s="43">
        <v>0.47291666666666665</v>
      </c>
      <c r="J105" s="45">
        <f t="shared" si="2"/>
        <v>801</v>
      </c>
      <c r="K105" s="46"/>
      <c r="L105" s="46" t="s">
        <v>159</v>
      </c>
      <c r="M105" s="92" t="s">
        <v>260</v>
      </c>
      <c r="N105" s="80" t="s">
        <v>187</v>
      </c>
    </row>
    <row r="106">
      <c r="A106" s="118">
        <v>43450.0</v>
      </c>
      <c r="B106" s="70" t="s">
        <v>100</v>
      </c>
      <c r="C106" s="43" t="str">
        <f>VLOOKUP(A106,Table!A:B,2,false)</f>
        <v>P4 W3</v>
      </c>
      <c r="D106" s="43" t="str">
        <f>VLOOKUP(A106,Table!A:D,4,false)</f>
        <v>Period 4</v>
      </c>
      <c r="E106" s="70" t="s">
        <v>106</v>
      </c>
      <c r="F106" s="43">
        <v>0.9166666666666666</v>
      </c>
      <c r="G106" s="43">
        <v>0.13402777777777777</v>
      </c>
      <c r="H106" s="43">
        <v>0.16527777777777777</v>
      </c>
      <c r="I106" s="43">
        <v>0.2659722222222222</v>
      </c>
      <c r="J106" s="45">
        <f t="shared" si="2"/>
        <v>503</v>
      </c>
      <c r="K106" s="46"/>
      <c r="L106" s="46" t="s">
        <v>160</v>
      </c>
      <c r="M106" s="46" t="s">
        <v>160</v>
      </c>
    </row>
    <row r="107">
      <c r="A107" s="118">
        <v>43451.0</v>
      </c>
      <c r="B107" s="70" t="s">
        <v>92</v>
      </c>
      <c r="C107" s="43" t="str">
        <f>VLOOKUP(A107,Table!A:B,2,false)</f>
        <v>P4 W4</v>
      </c>
      <c r="D107" s="43" t="str">
        <f>VLOOKUP(A107,Table!A:D,4,false)</f>
        <v>Period 4</v>
      </c>
      <c r="E107" s="70" t="s">
        <v>110</v>
      </c>
      <c r="F107" s="43">
        <v>0.9166666666666666</v>
      </c>
      <c r="G107" s="43">
        <v>0.24861111111111112</v>
      </c>
      <c r="H107" s="43">
        <v>0.2763888888888889</v>
      </c>
      <c r="I107" s="43">
        <v>0.3958333333333333</v>
      </c>
      <c r="J107" s="45">
        <f t="shared" si="2"/>
        <v>690</v>
      </c>
      <c r="K107" s="46"/>
      <c r="L107" s="46" t="s">
        <v>152</v>
      </c>
      <c r="M107" s="72" t="s">
        <v>261</v>
      </c>
      <c r="N107" s="46" t="s">
        <v>188</v>
      </c>
    </row>
    <row r="108">
      <c r="A108" s="118">
        <v>43452.0</v>
      </c>
      <c r="B108" s="70" t="s">
        <v>94</v>
      </c>
      <c r="C108" s="43" t="str">
        <f>VLOOKUP(A108,Table!A:B,2,false)</f>
        <v>P4 W4</v>
      </c>
      <c r="D108" s="43" t="str">
        <f>VLOOKUP(A108,Table!A:D,4,false)</f>
        <v>Period 4</v>
      </c>
      <c r="E108" s="70" t="s">
        <v>110</v>
      </c>
      <c r="F108" s="43">
        <v>0.9166666666666666</v>
      </c>
      <c r="G108" s="43">
        <v>0.15555555555555556</v>
      </c>
      <c r="H108" s="43">
        <v>0.19375</v>
      </c>
      <c r="I108" s="43">
        <v>0.4083333333333333</v>
      </c>
      <c r="J108" s="45">
        <f t="shared" si="2"/>
        <v>708</v>
      </c>
      <c r="K108" s="46"/>
      <c r="L108" s="46" t="s">
        <v>154</v>
      </c>
      <c r="M108" s="46" t="s">
        <v>154</v>
      </c>
      <c r="N108" s="80" t="s">
        <v>262</v>
      </c>
    </row>
    <row r="109">
      <c r="A109" s="118">
        <v>43453.0</v>
      </c>
      <c r="B109" s="70" t="s">
        <v>96</v>
      </c>
      <c r="C109" s="43" t="str">
        <f>VLOOKUP(A109,Table!A:B,2,false)</f>
        <v>P4 W4</v>
      </c>
      <c r="D109" s="43" t="str">
        <f>VLOOKUP(A109,Table!A:D,4,false)</f>
        <v>Period 4</v>
      </c>
      <c r="E109" s="70" t="s">
        <v>110</v>
      </c>
      <c r="F109" s="43">
        <v>0.9166666666666666</v>
      </c>
      <c r="G109" s="43">
        <v>0.12222222222222222</v>
      </c>
      <c r="H109" s="43">
        <v>0.1638888888888889</v>
      </c>
      <c r="I109" s="43">
        <v>0.375</v>
      </c>
      <c r="J109" s="45">
        <f t="shared" si="2"/>
        <v>660</v>
      </c>
      <c r="K109" s="46"/>
      <c r="L109" s="46" t="s">
        <v>156</v>
      </c>
      <c r="M109" s="72" t="s">
        <v>263</v>
      </c>
    </row>
    <row r="110">
      <c r="A110" s="118">
        <v>43454.0</v>
      </c>
      <c r="B110" s="70" t="s">
        <v>97</v>
      </c>
      <c r="C110" s="43" t="str">
        <f>VLOOKUP(A110,Table!A:B,2,false)</f>
        <v>P4 W4</v>
      </c>
      <c r="D110" s="43" t="str">
        <f>VLOOKUP(A110,Table!A:D,4,false)</f>
        <v>Period 4</v>
      </c>
      <c r="E110" s="70" t="s">
        <v>110</v>
      </c>
      <c r="F110" s="43">
        <v>0.9166666666666666</v>
      </c>
      <c r="G110" s="43">
        <v>0.18055555555555555</v>
      </c>
      <c r="H110" s="43">
        <v>0.22569444444444445</v>
      </c>
      <c r="I110" s="43">
        <v>0.53125</v>
      </c>
      <c r="J110" s="45">
        <f t="shared" si="2"/>
        <v>885</v>
      </c>
      <c r="K110" s="46"/>
      <c r="L110" s="46" t="s">
        <v>157</v>
      </c>
      <c r="M110" s="72" t="s">
        <v>264</v>
      </c>
      <c r="N110" s="46" t="s">
        <v>188</v>
      </c>
    </row>
    <row r="111">
      <c r="A111" s="118">
        <v>43455.0</v>
      </c>
      <c r="B111" s="70" t="s">
        <v>98</v>
      </c>
      <c r="C111" s="43" t="str">
        <f>VLOOKUP(A111,Table!A:B,2,false)</f>
        <v>P4 W4</v>
      </c>
      <c r="D111" s="43" t="str">
        <f>VLOOKUP(A111,Table!A:D,4,false)</f>
        <v>Period 4</v>
      </c>
      <c r="E111" s="70" t="s">
        <v>110</v>
      </c>
      <c r="F111" s="43">
        <v>0.9166666666666666</v>
      </c>
      <c r="G111" s="43">
        <v>0.15806712962962963</v>
      </c>
      <c r="H111" s="43">
        <v>0.17929398148148148</v>
      </c>
      <c r="I111" s="43">
        <v>0.8756944444444444</v>
      </c>
      <c r="J111" s="45">
        <f t="shared" si="2"/>
        <v>1381</v>
      </c>
      <c r="K111" s="46"/>
      <c r="L111" s="46" t="s">
        <v>158</v>
      </c>
      <c r="M111" s="46" t="s">
        <v>158</v>
      </c>
      <c r="N111" s="80" t="s">
        <v>187</v>
      </c>
    </row>
    <row r="112">
      <c r="A112" s="118">
        <v>43456.0</v>
      </c>
      <c r="B112" s="70" t="s">
        <v>99</v>
      </c>
      <c r="C112" s="43" t="str">
        <f>VLOOKUP(A112,Table!A:B,2,false)</f>
        <v>P4 W4</v>
      </c>
      <c r="D112" s="43" t="str">
        <f>VLOOKUP(A112,Table!A:D,4,false)</f>
        <v>Period 4</v>
      </c>
      <c r="E112" s="70" t="s">
        <v>110</v>
      </c>
      <c r="F112" s="43">
        <v>0.9166666666666666</v>
      </c>
      <c r="G112" s="43">
        <v>0.14417824074074073</v>
      </c>
      <c r="H112" s="43">
        <v>0.41875</v>
      </c>
      <c r="I112" s="43">
        <v>0.50625</v>
      </c>
      <c r="J112" s="45">
        <f t="shared" si="2"/>
        <v>849</v>
      </c>
      <c r="K112" s="46"/>
      <c r="L112" s="46" t="s">
        <v>159</v>
      </c>
      <c r="M112" s="46" t="s">
        <v>159</v>
      </c>
      <c r="N112" s="80" t="s">
        <v>187</v>
      </c>
    </row>
    <row r="113">
      <c r="A113" s="118">
        <v>43457.0</v>
      </c>
      <c r="B113" s="70" t="s">
        <v>100</v>
      </c>
      <c r="C113" s="43" t="str">
        <f>VLOOKUP(A113,Table!A:B,2,false)</f>
        <v>P4 W4</v>
      </c>
      <c r="D113" s="43" t="str">
        <f>VLOOKUP(A113,Table!A:D,4,false)</f>
        <v>Period 4</v>
      </c>
      <c r="E113" s="70" t="s">
        <v>110</v>
      </c>
      <c r="F113" s="43">
        <v>0.9166666666666666</v>
      </c>
      <c r="G113" s="43">
        <v>0.18055555555555555</v>
      </c>
      <c r="H113" s="43">
        <v>0.21875</v>
      </c>
      <c r="I113" s="43">
        <v>0.30821759259259257</v>
      </c>
      <c r="J113" s="45">
        <f t="shared" si="2"/>
        <v>563.8333333</v>
      </c>
      <c r="K113" s="46"/>
      <c r="L113" s="46" t="s">
        <v>160</v>
      </c>
      <c r="M113" s="46" t="s">
        <v>160</v>
      </c>
      <c r="N113" s="80" t="s">
        <v>187</v>
      </c>
    </row>
    <row r="114">
      <c r="A114" s="118">
        <v>43458.0</v>
      </c>
      <c r="B114" s="70" t="s">
        <v>92</v>
      </c>
      <c r="C114" s="43" t="str">
        <f>VLOOKUP(A114,Table!A:B,2,false)</f>
        <v>P5 W1</v>
      </c>
      <c r="D114" s="43" t="str">
        <f>VLOOKUP(A114,Table!A:D,4,false)</f>
        <v>Period 5</v>
      </c>
      <c r="E114" s="70" t="s">
        <v>93</v>
      </c>
      <c r="F114" s="43">
        <v>0.9166666666666666</v>
      </c>
      <c r="G114" s="43">
        <v>0.15</v>
      </c>
      <c r="H114" s="43">
        <v>0.17222222222222222</v>
      </c>
      <c r="I114" s="43">
        <v>0.2725578703703704</v>
      </c>
      <c r="J114" s="45">
        <f t="shared" si="2"/>
        <v>512.4833333</v>
      </c>
      <c r="K114" s="46"/>
      <c r="L114" s="46" t="s">
        <v>152</v>
      </c>
      <c r="M114" s="46" t="s">
        <v>152</v>
      </c>
      <c r="N114" s="80" t="s">
        <v>187</v>
      </c>
    </row>
    <row r="115">
      <c r="A115" s="118">
        <v>43459.0</v>
      </c>
      <c r="B115" s="70" t="s">
        <v>94</v>
      </c>
      <c r="C115" s="43" t="str">
        <f>VLOOKUP(A115,Table!A:B,2,false)</f>
        <v>P5 W1</v>
      </c>
      <c r="D115" s="43" t="str">
        <f>VLOOKUP(A115,Table!A:D,4,false)</f>
        <v>Period 5</v>
      </c>
      <c r="E115" s="70" t="s">
        <v>93</v>
      </c>
      <c r="F115" s="43">
        <v>0.9166666666666666</v>
      </c>
      <c r="G115" s="43">
        <v>0.1076388888888889</v>
      </c>
      <c r="H115" s="43">
        <v>0.13819444444444445</v>
      </c>
      <c r="I115" s="43">
        <v>0.20902777777777778</v>
      </c>
      <c r="J115" s="45">
        <f t="shared" si="2"/>
        <v>421</v>
      </c>
      <c r="K115" s="46"/>
      <c r="L115" s="46" t="s">
        <v>154</v>
      </c>
      <c r="M115" s="46" t="s">
        <v>154</v>
      </c>
    </row>
    <row r="116">
      <c r="A116" s="118">
        <v>43460.0</v>
      </c>
      <c r="B116" s="70" t="s">
        <v>96</v>
      </c>
      <c r="C116" s="43" t="str">
        <f>VLOOKUP(A116,Table!A:B,2,false)</f>
        <v>P5 W1</v>
      </c>
      <c r="D116" s="43" t="str">
        <f>VLOOKUP(A116,Table!A:D,4,false)</f>
        <v>Period 5</v>
      </c>
      <c r="E116" s="70" t="s">
        <v>93</v>
      </c>
      <c r="F116" s="43">
        <v>0.9166666666666666</v>
      </c>
      <c r="G116" s="43">
        <v>0.08472222222222223</v>
      </c>
      <c r="H116" s="43">
        <v>0.10625</v>
      </c>
      <c r="I116" s="43">
        <v>0.23402777777777778</v>
      </c>
      <c r="J116" s="45">
        <f t="shared" si="2"/>
        <v>457</v>
      </c>
      <c r="K116" s="46"/>
      <c r="L116" s="46" t="s">
        <v>156</v>
      </c>
      <c r="M116" s="46" t="s">
        <v>265</v>
      </c>
    </row>
    <row r="117">
      <c r="A117" s="118">
        <v>43461.0</v>
      </c>
      <c r="B117" s="70" t="s">
        <v>97</v>
      </c>
      <c r="C117" s="43" t="str">
        <f>VLOOKUP(A117,Table!A:B,2,false)</f>
        <v>P5 W1</v>
      </c>
      <c r="D117" s="43" t="str">
        <f>VLOOKUP(A117,Table!A:D,4,false)</f>
        <v>Period 5</v>
      </c>
      <c r="E117" s="70" t="s">
        <v>93</v>
      </c>
      <c r="F117" s="43">
        <v>0.9166666666666666</v>
      </c>
      <c r="G117" s="43">
        <v>0.08626157407407407</v>
      </c>
      <c r="H117" s="43">
        <v>0.11570601851851851</v>
      </c>
      <c r="I117" s="43">
        <v>0.5097222222222222</v>
      </c>
      <c r="J117" s="45">
        <f t="shared" si="2"/>
        <v>854</v>
      </c>
      <c r="K117" s="46"/>
      <c r="L117" s="46" t="s">
        <v>157</v>
      </c>
      <c r="M117" s="72" t="s">
        <v>266</v>
      </c>
      <c r="N117" s="80" t="s">
        <v>187</v>
      </c>
    </row>
    <row r="118">
      <c r="A118" s="118">
        <v>43462.0</v>
      </c>
      <c r="B118" s="70" t="s">
        <v>98</v>
      </c>
      <c r="C118" s="43" t="str">
        <f>VLOOKUP(A118,Table!A:B,2,false)</f>
        <v>P5 W1</v>
      </c>
      <c r="D118" s="43" t="str">
        <f>VLOOKUP(A118,Table!A:D,4,false)</f>
        <v>Period 5</v>
      </c>
      <c r="E118" s="70" t="s">
        <v>93</v>
      </c>
      <c r="F118" s="43">
        <v>0.9166666666666666</v>
      </c>
      <c r="G118" s="43">
        <v>0.24177083333333332</v>
      </c>
      <c r="H118" s="43">
        <v>0.29006944444444444</v>
      </c>
      <c r="I118" s="43">
        <v>0.876099537037037</v>
      </c>
      <c r="J118" s="45">
        <f t="shared" si="2"/>
        <v>1381.583333</v>
      </c>
      <c r="K118" s="46"/>
      <c r="L118" s="46" t="s">
        <v>158</v>
      </c>
      <c r="M118" s="143" t="s">
        <v>267</v>
      </c>
      <c r="N118" s="46" t="s">
        <v>188</v>
      </c>
    </row>
    <row r="119">
      <c r="A119" s="118">
        <v>43463.0</v>
      </c>
      <c r="B119" s="70" t="s">
        <v>99</v>
      </c>
      <c r="C119" s="43" t="str">
        <f>VLOOKUP(A119,Table!A:B,2,false)</f>
        <v>P5 W1</v>
      </c>
      <c r="D119" s="43" t="str">
        <f>VLOOKUP(A119,Table!A:D,4,false)</f>
        <v>Period 5</v>
      </c>
      <c r="E119" s="70" t="s">
        <v>93</v>
      </c>
      <c r="F119" s="43">
        <v>0.9166666666666666</v>
      </c>
      <c r="G119" s="43">
        <v>0.08618055555555555</v>
      </c>
      <c r="H119" s="43">
        <v>0.40729166666666666</v>
      </c>
      <c r="I119" s="43">
        <v>0.5882523148148148</v>
      </c>
      <c r="J119" s="45">
        <f t="shared" si="2"/>
        <v>967.0833333</v>
      </c>
      <c r="K119" s="46"/>
      <c r="L119" s="46" t="s">
        <v>159</v>
      </c>
      <c r="M119" s="81" t="s">
        <v>268</v>
      </c>
      <c r="N119" s="80" t="s">
        <v>187</v>
      </c>
    </row>
    <row r="120">
      <c r="A120" s="118">
        <v>43464.0</v>
      </c>
      <c r="B120" s="70" t="s">
        <v>100</v>
      </c>
      <c r="C120" s="43" t="str">
        <f>VLOOKUP(A120,Table!A:B,2,false)</f>
        <v>P5 W1</v>
      </c>
      <c r="D120" s="43" t="str">
        <f>VLOOKUP(A120,Table!A:D,4,false)</f>
        <v>Period 5</v>
      </c>
      <c r="E120" s="70" t="s">
        <v>93</v>
      </c>
      <c r="F120" s="43">
        <v>0.9166666666666666</v>
      </c>
      <c r="G120" s="43">
        <v>0.22361111111111112</v>
      </c>
      <c r="H120" s="43">
        <v>0.2534722222222222</v>
      </c>
      <c r="I120" s="43">
        <v>0.31894675925925925</v>
      </c>
      <c r="J120" s="45">
        <f t="shared" si="2"/>
        <v>579.2833333</v>
      </c>
      <c r="K120" s="46"/>
      <c r="L120" s="46" t="s">
        <v>160</v>
      </c>
      <c r="M120" s="144" t="s">
        <v>269</v>
      </c>
      <c r="N120" s="96" t="s">
        <v>209</v>
      </c>
    </row>
    <row r="121">
      <c r="A121" s="118">
        <v>43465.0</v>
      </c>
      <c r="B121" s="70" t="s">
        <v>92</v>
      </c>
      <c r="C121" s="43" t="str">
        <f>VLOOKUP(A121,Table!A:B,2,false)</f>
        <v>P5 W2</v>
      </c>
      <c r="D121" s="43" t="str">
        <f>VLOOKUP(A121,Table!A:D,4,false)</f>
        <v>Period 5</v>
      </c>
      <c r="E121" s="70" t="s">
        <v>101</v>
      </c>
      <c r="F121" s="43">
        <v>0.9166666666666666</v>
      </c>
      <c r="G121" s="43">
        <v>0.1284722222222222</v>
      </c>
      <c r="H121" s="43">
        <v>0.14930555555555555</v>
      </c>
      <c r="I121" s="43">
        <v>0.22947916666666668</v>
      </c>
      <c r="J121" s="45">
        <f t="shared" si="2"/>
        <v>450.45</v>
      </c>
      <c r="K121" s="46"/>
      <c r="L121" s="46" t="s">
        <v>152</v>
      </c>
      <c r="M121" s="46" t="s">
        <v>152</v>
      </c>
    </row>
    <row r="122">
      <c r="A122" s="118">
        <v>43466.0</v>
      </c>
      <c r="B122" s="70" t="s">
        <v>94</v>
      </c>
      <c r="C122" s="43" t="str">
        <f>VLOOKUP(A122,Table!A:B,2,false)</f>
        <v>P5 W2</v>
      </c>
      <c r="D122" s="43" t="str">
        <f>VLOOKUP(A122,Table!A:D,4,false)</f>
        <v>Period 5</v>
      </c>
      <c r="E122" s="70" t="s">
        <v>101</v>
      </c>
      <c r="F122" s="43">
        <v>0.9166666666666666</v>
      </c>
      <c r="G122" s="145">
        <v>0.13541666666666666</v>
      </c>
      <c r="H122" s="145">
        <v>0.1527777777777778</v>
      </c>
      <c r="I122" s="43">
        <v>0.23819444444444443</v>
      </c>
      <c r="J122" s="45">
        <f t="shared" si="2"/>
        <v>463</v>
      </c>
      <c r="K122" s="46"/>
      <c r="L122" s="46" t="s">
        <v>154</v>
      </c>
      <c r="M122" s="46" t="s">
        <v>154</v>
      </c>
    </row>
    <row r="123">
      <c r="A123" s="118">
        <v>43467.0</v>
      </c>
      <c r="B123" s="70" t="s">
        <v>96</v>
      </c>
      <c r="C123" s="43" t="str">
        <f>VLOOKUP(A123,Table!A:B,2,false)</f>
        <v>P5 W2</v>
      </c>
      <c r="D123" s="43" t="str">
        <f>VLOOKUP(A123,Table!A:D,4,false)</f>
        <v>Period 5</v>
      </c>
      <c r="E123" s="70" t="s">
        <v>101</v>
      </c>
      <c r="F123" s="43">
        <v>0.9166666666666666</v>
      </c>
      <c r="G123" s="146">
        <v>0.25763888888888886</v>
      </c>
      <c r="H123" s="146">
        <v>0.275</v>
      </c>
      <c r="I123" s="147">
        <v>0.5243055555555556</v>
      </c>
      <c r="J123" s="45">
        <f t="shared" si="2"/>
        <v>875</v>
      </c>
      <c r="K123" s="46"/>
      <c r="L123" s="46" t="s">
        <v>156</v>
      </c>
      <c r="M123" s="99" t="s">
        <v>270</v>
      </c>
      <c r="N123" s="46" t="s">
        <v>188</v>
      </c>
    </row>
    <row r="124">
      <c r="A124" s="118">
        <v>43468.0</v>
      </c>
      <c r="B124" s="70" t="s">
        <v>97</v>
      </c>
      <c r="C124" s="43" t="str">
        <f>VLOOKUP(A124,Table!A:B,2,false)</f>
        <v>P5 W2</v>
      </c>
      <c r="D124" s="43" t="str">
        <f>VLOOKUP(A124,Table!A:D,4,false)</f>
        <v>Period 5</v>
      </c>
      <c r="E124" s="70" t="s">
        <v>101</v>
      </c>
      <c r="F124" s="43">
        <v>0.9166666666666666</v>
      </c>
      <c r="G124" s="148" t="str">
        <f>IMPORTRANGE("https://docs.google.com/spreadsheets/d/1TIioSZ1nkrNo7fXNL_Pl8Yn36hHqDPS8O9jJQOqTQgg", "Finance Nightly Processing 2019!R6:R6").</f>
        <v>#ERROR!</v>
      </c>
      <c r="H124" s="146">
        <f>IFERROR(__xludf.DUMMYFUNCTION("IMPORTRANGE(""https://docs.google.com/spreadsheets/d/1TIioSZ1nkrNo7fXNL_Pl8Yn36hHqDPS8O9jJQOqTQgg"", ""Finance Nightly Processing 2019!S6:S6"")"),0.1625)</f>
        <v>0.1625</v>
      </c>
      <c r="I124" s="44">
        <f>IFERROR(__xludf.DUMMYFUNCTION("IMPORTRANGE(""https://docs.google.com/spreadsheets/d/1TIioSZ1nkrNo7fXNL_Pl8Yn36hHqDPS8O9jJQOqTQgg"", ""Finance Nightly Processing 2019!W6:W6"")"),0.45114583333333336)</f>
        <v>0.4511458333</v>
      </c>
      <c r="J124" s="45">
        <f t="shared" si="2"/>
        <v>769.65</v>
      </c>
      <c r="K124" s="46"/>
      <c r="L124" s="46" t="s">
        <v>157</v>
      </c>
      <c r="M124" s="100" t="s">
        <v>271</v>
      </c>
      <c r="N124" s="80" t="s">
        <v>187</v>
      </c>
    </row>
    <row r="125">
      <c r="A125" s="118">
        <v>43469.0</v>
      </c>
      <c r="B125" s="70" t="s">
        <v>98</v>
      </c>
      <c r="C125" s="43" t="str">
        <f>VLOOKUP(A125,Table!A:B,2,false)</f>
        <v>P5 W2</v>
      </c>
      <c r="D125" s="43" t="str">
        <f>VLOOKUP(A125,Table!A:D,4,false)</f>
        <v>Period 5</v>
      </c>
      <c r="E125" s="70" t="s">
        <v>101</v>
      </c>
      <c r="F125" s="43">
        <v>0.9166666666666666</v>
      </c>
      <c r="G125" s="148">
        <f>IFERROR(__xludf.DUMMYFUNCTION("IMPORTRANGE(""https://docs.google.com/spreadsheets/d/1TIioSZ1nkrNo7fXNL_Pl8Yn36hHqDPS8O9jJQOqTQgg"", ""Finance Nightly Processing 2019!R7:R7"")"),0.11454861111111111)</f>
        <v>0.1145486111</v>
      </c>
      <c r="H125" s="146">
        <f>IFERROR(__xludf.DUMMYFUNCTION("IMPORTRANGE(""https://docs.google.com/spreadsheets/d/1TIioSZ1nkrNo7fXNL_Pl8Yn36hHqDPS8O9jJQOqTQgg"", ""Finance Nightly Processing 2019!S7:S7"")"),0.14599537037037036)</f>
        <v>0.1459953704</v>
      </c>
      <c r="I125" s="44">
        <f>IFERROR(__xludf.DUMMYFUNCTION("IMPORTRANGE(""https://docs.google.com/spreadsheets/d/1TIioSZ1nkrNo7fXNL_Pl8Yn36hHqDPS8O9jJQOqTQgg"", ""Finance Nightly Processing 2019!W7:W7"")"),0.6520833333333333)</f>
        <v>0.6520833333</v>
      </c>
      <c r="J125" s="45">
        <f t="shared" si="2"/>
        <v>1059</v>
      </c>
      <c r="L125" s="46" t="s">
        <v>158</v>
      </c>
      <c r="M125" s="46" t="s">
        <v>158</v>
      </c>
      <c r="N125" s="80" t="s">
        <v>187</v>
      </c>
    </row>
    <row r="126">
      <c r="A126" s="118">
        <v>43470.0</v>
      </c>
      <c r="B126" s="70" t="s">
        <v>99</v>
      </c>
      <c r="C126" s="43" t="str">
        <f>VLOOKUP(A126,Table!A:B,2,false)</f>
        <v>P5 W2</v>
      </c>
      <c r="D126" s="43" t="str">
        <f>VLOOKUP(A126,Table!A:D,4,false)</f>
        <v>Period 5</v>
      </c>
      <c r="E126" s="70" t="s">
        <v>101</v>
      </c>
      <c r="F126" s="43">
        <v>0.9166666666666666</v>
      </c>
      <c r="G126" s="148">
        <f>IFERROR(__xludf.DUMMYFUNCTION("IMPORTRANGE(""https://docs.google.com/spreadsheets/d/1TIioSZ1nkrNo7fXNL_Pl8Yn36hHqDPS8O9jJQOqTQgg"", ""Finance Nightly Processing 2019!R8:R8"")"),0.18125)</f>
        <v>0.18125</v>
      </c>
      <c r="H126" s="146">
        <f>IFERROR(__xludf.DUMMYFUNCTION("IMPORTRANGE(""https://docs.google.com/spreadsheets/d/1TIioSZ1nkrNo7fXNL_Pl8Yn36hHqDPS8O9jJQOqTQgg"", ""Finance Nightly Processing 2019!S8:S8"")"),0.4050462962962963)</f>
        <v>0.4050462963</v>
      </c>
      <c r="I126" s="44">
        <f>IFERROR(__xludf.DUMMYFUNCTION("IMPORTRANGE(""https://docs.google.com/spreadsheets/d/1TIioSZ1nkrNo7fXNL_Pl8Yn36hHqDPS8O9jJQOqTQgg"", ""Finance Nightly Processing 2019!W8:W8"")"),0.4788425925925926)</f>
        <v>0.4788425926</v>
      </c>
      <c r="J126" s="45">
        <f t="shared" si="2"/>
        <v>809.5333333</v>
      </c>
      <c r="L126" s="46" t="s">
        <v>159</v>
      </c>
      <c r="M126" s="72" t="s">
        <v>272</v>
      </c>
      <c r="N126" s="80" t="s">
        <v>187</v>
      </c>
    </row>
    <row r="127">
      <c r="A127" s="118">
        <v>43471.0</v>
      </c>
      <c r="B127" s="70" t="s">
        <v>100</v>
      </c>
      <c r="C127" s="43" t="str">
        <f>VLOOKUP(A127,Table!A:B,2,false)</f>
        <v>P5 W2</v>
      </c>
      <c r="D127" s="43" t="str">
        <f>VLOOKUP(A127,Table!A:D,4,false)</f>
        <v>Period 5</v>
      </c>
      <c r="E127" s="70" t="s">
        <v>101</v>
      </c>
      <c r="F127" s="43">
        <v>0.9166666666666666</v>
      </c>
      <c r="G127" s="148">
        <f>IFERROR(__xludf.DUMMYFUNCTION("IMPORTRANGE(""https://docs.google.com/spreadsheets/d/1TIioSZ1nkrNo7fXNL_Pl8Yn36hHqDPS8O9jJQOqTQgg"", ""Finance Nightly Processing 2019!R9:R9"")"),0.13355324074074074)</f>
        <v>0.1335532407</v>
      </c>
      <c r="H127" s="146">
        <f>IFERROR(__xludf.DUMMYFUNCTION("IMPORTRANGE(""https://docs.google.com/spreadsheets/d/1TIioSZ1nkrNo7fXNL_Pl8Yn36hHqDPS8O9jJQOqTQgg"", ""Finance Nightly Processing 2019!S9:S9"")"),0.17177083333333334)</f>
        <v>0.1717708333</v>
      </c>
      <c r="I127" s="44">
        <f>IFERROR(__xludf.DUMMYFUNCTION("IMPORTRANGE(""https://docs.google.com/spreadsheets/d/1TIioSZ1nkrNo7fXNL_Pl8Yn36hHqDPS8O9jJQOqTQgg"", ""Finance Nightly Processing 2019!W9:W9"")"),0.2466435185185185)</f>
        <v>0.2466435185</v>
      </c>
      <c r="J127" s="45">
        <f t="shared" si="2"/>
        <v>475.1666667</v>
      </c>
      <c r="L127" s="46" t="s">
        <v>160</v>
      </c>
      <c r="M127" s="72"/>
    </row>
    <row r="128">
      <c r="A128" s="118">
        <v>43472.0</v>
      </c>
      <c r="B128" s="70" t="s">
        <v>92</v>
      </c>
      <c r="C128" s="43" t="str">
        <f>VLOOKUP(A128,Table!A:B,2,false)</f>
        <v>P5 W3</v>
      </c>
      <c r="D128" s="43" t="str">
        <f>VLOOKUP(A128,Table!A:D,4,false)</f>
        <v>Period 5</v>
      </c>
      <c r="E128" s="70" t="s">
        <v>106</v>
      </c>
      <c r="F128" s="43">
        <v>0.9166666666666666</v>
      </c>
      <c r="G128" s="148">
        <f>IFERROR(__xludf.DUMMYFUNCTION("IMPORTRANGE(""https://docs.google.com/spreadsheets/d/1TIioSZ1nkrNo7fXNL_Pl8Yn36hHqDPS8O9jJQOqTQgg"", ""Finance Nightly Processing 2019!R10:R10"")"),0.10555555555555556)</f>
        <v>0.1055555556</v>
      </c>
      <c r="H128" s="146">
        <f>IFERROR(__xludf.DUMMYFUNCTION("IMPORTRANGE(""https://docs.google.com/spreadsheets/d/1TIioSZ1nkrNo7fXNL_Pl8Yn36hHqDPS8O9jJQOqTQgg"", ""Finance Nightly Processing 2019!S10:S10"")"),0.1375)</f>
        <v>0.1375</v>
      </c>
      <c r="I128" s="44">
        <f>IFERROR(__xludf.DUMMYFUNCTION("IMPORTRANGE(""https://docs.google.com/spreadsheets/d/1TIioSZ1nkrNo7fXNL_Pl8Yn36hHqDPS8O9jJQOqTQgg"", ""Finance Nightly Processing 2019!W10:W10"")"),0.26180555555555557)</f>
        <v>0.2618055556</v>
      </c>
      <c r="J128" s="45">
        <f t="shared" si="2"/>
        <v>497</v>
      </c>
      <c r="K128" s="46"/>
      <c r="L128" s="46" t="s">
        <v>152</v>
      </c>
    </row>
    <row r="129">
      <c r="A129" s="118">
        <v>43473.0</v>
      </c>
      <c r="B129" s="70" t="s">
        <v>94</v>
      </c>
      <c r="C129" s="43" t="str">
        <f>VLOOKUP(A129,Table!A:B,2,false)</f>
        <v>P5 W3</v>
      </c>
      <c r="D129" s="43" t="str">
        <f>VLOOKUP(A129,Table!A:D,4,false)</f>
        <v>Period 5</v>
      </c>
      <c r="E129" s="70" t="s">
        <v>106</v>
      </c>
      <c r="F129" s="43">
        <v>0.9166666666666666</v>
      </c>
      <c r="G129" s="148">
        <f>IFERROR(__xludf.DUMMYFUNCTION("IMPORTRANGE(""https://docs.google.com/spreadsheets/d/1TIioSZ1nkrNo7fXNL_Pl8Yn36hHqDPS8O9jJQOqTQgg"", ""Finance Nightly Processing 2019!R11:R11"")"),0.11319444444444444)</f>
        <v>0.1131944444</v>
      </c>
      <c r="H129" s="146">
        <f>IFERROR(__xludf.DUMMYFUNCTION("IMPORTRANGE(""https://docs.google.com/spreadsheets/d/1TIioSZ1nkrNo7fXNL_Pl8Yn36hHqDPS8O9jJQOqTQgg"", ""Finance Nightly Processing 2019!S11:S11"")"),0.1361111111111111)</f>
        <v>0.1361111111</v>
      </c>
      <c r="I129" s="44">
        <f>IFERROR(__xludf.DUMMYFUNCTION("IMPORTRANGE(""https://docs.google.com/spreadsheets/d/1TIioSZ1nkrNo7fXNL_Pl8Yn36hHqDPS8O9jJQOqTQgg"", ""Finance Nightly Processing 2019!W11:W11"")"),0.35625)</f>
        <v>0.35625</v>
      </c>
      <c r="J129" s="45">
        <f t="shared" si="2"/>
        <v>633</v>
      </c>
      <c r="K129" s="46"/>
      <c r="L129" s="46" t="s">
        <v>154</v>
      </c>
      <c r="N129" s="80" t="s">
        <v>187</v>
      </c>
    </row>
    <row r="130">
      <c r="A130" s="118">
        <v>43474.0</v>
      </c>
      <c r="B130" s="70" t="s">
        <v>96</v>
      </c>
      <c r="C130" s="43" t="str">
        <f>VLOOKUP(A130,Table!A:B,2,false)</f>
        <v>P5 W3</v>
      </c>
      <c r="D130" s="43" t="str">
        <f>VLOOKUP(A130,Table!A:D,4,false)</f>
        <v>Period 5</v>
      </c>
      <c r="E130" s="70" t="s">
        <v>106</v>
      </c>
      <c r="F130" s="43">
        <v>0.9166666666666666</v>
      </c>
      <c r="G130" s="148">
        <f>IFERROR(__xludf.DUMMYFUNCTION("IMPORTRANGE(""https://docs.google.com/spreadsheets/d/1TIioSZ1nkrNo7fXNL_Pl8Yn36hHqDPS8O9jJQOqTQgg"", ""Finance Nightly Processing 2019!R12:R12"")"),0.09513888888888888)</f>
        <v>0.09513888889</v>
      </c>
      <c r="H130" s="146">
        <f>IFERROR(__xludf.DUMMYFUNCTION("IMPORTRANGE(""https://docs.google.com/spreadsheets/d/1TIioSZ1nkrNo7fXNL_Pl8Yn36hHqDPS8O9jJQOqTQgg"", ""Finance Nightly Processing 2019!S12:S12"")"),0.13055555555555556)</f>
        <v>0.1305555556</v>
      </c>
      <c r="I130" s="44">
        <f>IFERROR(__xludf.DUMMYFUNCTION("IMPORTRANGE(""https://docs.google.com/spreadsheets/d/1TIioSZ1nkrNo7fXNL_Pl8Yn36hHqDPS8O9jJQOqTQgg"", ""Finance Nightly Processing 2019!W12:W12"")"),0.44166666666666665)</f>
        <v>0.4416666667</v>
      </c>
      <c r="J130" s="45">
        <f t="shared" si="2"/>
        <v>756</v>
      </c>
      <c r="K130" s="46"/>
      <c r="L130" s="46" t="s">
        <v>156</v>
      </c>
      <c r="N130" s="80" t="s">
        <v>187</v>
      </c>
    </row>
    <row r="131">
      <c r="A131" s="118">
        <v>43475.0</v>
      </c>
      <c r="B131" s="70" t="s">
        <v>97</v>
      </c>
      <c r="C131" s="43" t="str">
        <f>VLOOKUP(A131,Table!A:B,2,false)</f>
        <v>P5 W3</v>
      </c>
      <c r="D131" s="43" t="str">
        <f>VLOOKUP(A131,Table!A:D,4,false)</f>
        <v>Period 5</v>
      </c>
      <c r="E131" s="70" t="s">
        <v>106</v>
      </c>
      <c r="F131" s="43">
        <v>0.9166666666666666</v>
      </c>
      <c r="G131" s="148">
        <f>IFERROR(__xludf.DUMMYFUNCTION("IMPORTRANGE(""https://docs.google.com/spreadsheets/d/1TIioSZ1nkrNo7fXNL_Pl8Yn36hHqDPS8O9jJQOqTQgg"", ""Finance Nightly Processing 2019!R13:R13"")"),0.13055555555555556)</f>
        <v>0.1305555556</v>
      </c>
      <c r="H131" s="146">
        <f>IFERROR(__xludf.DUMMYFUNCTION("IMPORTRANGE(""https://docs.google.com/spreadsheets/d/1TIioSZ1nkrNo7fXNL_Pl8Yn36hHqDPS8O9jJQOqTQgg"", ""Finance Nightly Processing 2019!S13:S13"")"),0.15486111111111112)</f>
        <v>0.1548611111</v>
      </c>
      <c r="I131" s="44">
        <f>IFERROR(__xludf.DUMMYFUNCTION("IMPORTRANGE(""https://docs.google.com/spreadsheets/d/1TIioSZ1nkrNo7fXNL_Pl8Yn36hHqDPS8O9jJQOqTQgg"", ""Finance Nightly Processing 2019!W13:W13"")"),0.3611111111111111)</f>
        <v>0.3611111111</v>
      </c>
      <c r="J131" s="45">
        <f t="shared" si="2"/>
        <v>640</v>
      </c>
      <c r="K131" s="46"/>
      <c r="L131" s="46" t="s">
        <v>157</v>
      </c>
      <c r="M131" s="46" t="s">
        <v>273</v>
      </c>
      <c r="N131" s="80" t="s">
        <v>187</v>
      </c>
    </row>
    <row r="132">
      <c r="A132" s="118">
        <v>43476.0</v>
      </c>
      <c r="B132" s="70" t="s">
        <v>98</v>
      </c>
      <c r="C132" s="43" t="str">
        <f>VLOOKUP(A132,Table!A:B,2,false)</f>
        <v>P5 W3</v>
      </c>
      <c r="D132" s="43" t="str">
        <f>VLOOKUP(A132,Table!A:D,4,false)</f>
        <v>Period 5</v>
      </c>
      <c r="E132" s="70" t="s">
        <v>106</v>
      </c>
      <c r="F132" s="43">
        <v>0.9166666666666666</v>
      </c>
      <c r="G132" s="148">
        <f>IFERROR(__xludf.DUMMYFUNCTION("IMPORTRANGE(""https://docs.google.com/spreadsheets/d/1TIioSZ1nkrNo7fXNL_Pl8Yn36hHqDPS8O9jJQOqTQgg"", ""Finance Nightly Processing 2019!R14:R14"")"),0.15329861111111112)</f>
        <v>0.1532986111</v>
      </c>
      <c r="H132" s="146">
        <f>IFERROR(__xludf.DUMMYFUNCTION("IMPORTRANGE(""https://docs.google.com/spreadsheets/d/1TIioSZ1nkrNo7fXNL_Pl8Yn36hHqDPS8O9jJQOqTQgg"", ""Finance Nightly Processing 2019!S14:S14"")"),0.17447916666666666)</f>
        <v>0.1744791667</v>
      </c>
      <c r="I132" s="44">
        <f>IFERROR(__xludf.DUMMYFUNCTION("IMPORTRANGE(""https://docs.google.com/spreadsheets/d/1TIioSZ1nkrNo7fXNL_Pl8Yn36hHqDPS8O9jJQOqTQgg"", ""Finance Nightly Processing 2019!W14:W14"")"),0.8659722222222223)</f>
        <v>0.8659722222</v>
      </c>
      <c r="J132" s="45">
        <f t="shared" si="2"/>
        <v>1367</v>
      </c>
      <c r="K132" s="46"/>
      <c r="L132" s="46" t="s">
        <v>158</v>
      </c>
      <c r="N132" s="80" t="s">
        <v>187</v>
      </c>
    </row>
    <row r="133">
      <c r="A133" s="118">
        <v>43477.0</v>
      </c>
      <c r="B133" s="70" t="s">
        <v>99</v>
      </c>
      <c r="C133" s="43" t="str">
        <f>VLOOKUP(A133,Table!A:B,2,false)</f>
        <v>P5 W3</v>
      </c>
      <c r="D133" s="43" t="str">
        <f>VLOOKUP(A133,Table!A:D,4,false)</f>
        <v>Period 5</v>
      </c>
      <c r="E133" s="70" t="s">
        <v>106</v>
      </c>
      <c r="F133" s="43">
        <v>0.9166666666666666</v>
      </c>
      <c r="G133" s="148">
        <f>IFERROR(__xludf.DUMMYFUNCTION("IMPORTRANGE(""https://docs.google.com/spreadsheets/d/1TIioSZ1nkrNo7fXNL_Pl8Yn36hHqDPS8O9jJQOqTQgg"", ""Finance Nightly Processing 2019!R15:R15"")"),0.11041666666666666)</f>
        <v>0.1104166667</v>
      </c>
      <c r="H133" s="146">
        <f>IFERROR(__xludf.DUMMYFUNCTION("IMPORTRANGE(""https://docs.google.com/spreadsheets/d/1TIioSZ1nkrNo7fXNL_Pl8Yn36hHqDPS8O9jJQOqTQgg"", ""Finance Nightly Processing 2019!S15:S15"")"),0.125)</f>
        <v>0.125</v>
      </c>
      <c r="I133" s="44">
        <f>IFERROR(__xludf.DUMMYFUNCTION("IMPORTRANGE(""https://docs.google.com/spreadsheets/d/1TIioSZ1nkrNo7fXNL_Pl8Yn36hHqDPS8O9jJQOqTQgg"", ""Finance Nightly Processing 2019!W15:W15"")"),0.9888888888888889)</f>
        <v>0.9888888889</v>
      </c>
      <c r="J133" s="45">
        <f t="shared" si="2"/>
        <v>104</v>
      </c>
      <c r="K133" s="46"/>
      <c r="L133" s="46" t="s">
        <v>159</v>
      </c>
      <c r="N133" s="80" t="s">
        <v>187</v>
      </c>
    </row>
    <row r="134">
      <c r="A134" s="118">
        <v>43478.0</v>
      </c>
      <c r="B134" s="70" t="s">
        <v>100</v>
      </c>
      <c r="C134" s="43" t="str">
        <f>VLOOKUP(A134,Table!A:B,2,false)</f>
        <v>P5 W3</v>
      </c>
      <c r="D134" s="43" t="str">
        <f>VLOOKUP(A134,Table!A:D,4,false)</f>
        <v>Period 5</v>
      </c>
      <c r="E134" s="70" t="s">
        <v>106</v>
      </c>
      <c r="F134" s="43">
        <v>0.9166666666666666</v>
      </c>
      <c r="G134" s="148">
        <f>IFERROR(__xludf.DUMMYFUNCTION("IMPORTRANGE(""https://docs.google.com/spreadsheets/d/1TIioSZ1nkrNo7fXNL_Pl8Yn36hHqDPS8O9jJQOqTQgg"", ""Finance Nightly Processing 2019!R16:R16"")"),0.14097222222222222)</f>
        <v>0.1409722222</v>
      </c>
      <c r="H134" s="146">
        <f>IFERROR(__xludf.DUMMYFUNCTION("IMPORTRANGE(""https://docs.google.com/spreadsheets/d/1TIioSZ1nkrNo7fXNL_Pl8Yn36hHqDPS8O9jJQOqTQgg"", ""Finance Nightly Processing 2019!S16:S16"")"),0.15763888888888888)</f>
        <v>0.1576388889</v>
      </c>
      <c r="I134" s="44">
        <f>IFERROR(__xludf.DUMMYFUNCTION("IMPORTRANGE(""https://docs.google.com/spreadsheets/d/1TIioSZ1nkrNo7fXNL_Pl8Yn36hHqDPS8O9jJQOqTQgg"", ""Finance Nightly Processing 2019!W16:W16"")"),0.27761574074074075)</f>
        <v>0.2776157407</v>
      </c>
      <c r="J134" s="45">
        <f t="shared" si="2"/>
        <v>519.7666667</v>
      </c>
      <c r="K134" s="46"/>
      <c r="L134" s="46" t="s">
        <v>160</v>
      </c>
      <c r="N134" s="80" t="s">
        <v>187</v>
      </c>
    </row>
    <row r="135">
      <c r="A135" s="118">
        <v>43479.0</v>
      </c>
      <c r="B135" s="70" t="s">
        <v>92</v>
      </c>
      <c r="C135" s="43" t="str">
        <f>VLOOKUP(A135,Table!A:B,2,false)</f>
        <v>P5 W4</v>
      </c>
      <c r="D135" s="43" t="str">
        <f>VLOOKUP(A135,Table!A:D,4,false)</f>
        <v>Period 5</v>
      </c>
      <c r="E135" s="70" t="s">
        <v>110</v>
      </c>
      <c r="F135" s="43">
        <v>0.9166666666666666</v>
      </c>
      <c r="G135" s="148">
        <f>IFERROR(__xludf.DUMMYFUNCTION("IMPORTRANGE(""https://docs.google.com/spreadsheets/d/1TIioSZ1nkrNo7fXNL_Pl8Yn36hHqDPS8O9jJQOqTQgg"", ""Finance Nightly Processing 2019!R17:R17"")"),0.13125)</f>
        <v>0.13125</v>
      </c>
      <c r="H135" s="146">
        <f>IFERROR(__xludf.DUMMYFUNCTION("IMPORTRANGE(""https://docs.google.com/spreadsheets/d/1TIioSZ1nkrNo7fXNL_Pl8Yn36hHqDPS8O9jJQOqTQgg"", ""Finance Nightly Processing 2019!S17:S17"")"),0.16111111111111112)</f>
        <v>0.1611111111</v>
      </c>
      <c r="I135" s="44">
        <f>IFERROR(__xludf.DUMMYFUNCTION("IMPORTRANGE(""https://docs.google.com/spreadsheets/d/1TIioSZ1nkrNo7fXNL_Pl8Yn36hHqDPS8O9jJQOqTQgg"", ""Finance Nightly Processing 2019!W17:W17"")"),0.2701388888888889)</f>
        <v>0.2701388889</v>
      </c>
      <c r="J135" s="45">
        <f t="shared" si="2"/>
        <v>509</v>
      </c>
      <c r="K135" s="46"/>
      <c r="L135" s="46" t="s">
        <v>152</v>
      </c>
    </row>
    <row r="136">
      <c r="A136" s="118">
        <v>43480.0</v>
      </c>
      <c r="B136" s="70" t="s">
        <v>94</v>
      </c>
      <c r="C136" s="43" t="str">
        <f>VLOOKUP(A136,Table!A:B,2,false)</f>
        <v>P5 W4</v>
      </c>
      <c r="D136" s="43" t="str">
        <f>VLOOKUP(A136,Table!A:D,4,false)</f>
        <v>Period 5</v>
      </c>
      <c r="E136" s="70" t="s">
        <v>110</v>
      </c>
      <c r="F136" s="43">
        <v>0.9166666666666666</v>
      </c>
      <c r="G136" s="148">
        <f>IFERROR(__xludf.DUMMYFUNCTION("IMPORTRANGE(""https://docs.google.com/spreadsheets/d/1TIioSZ1nkrNo7fXNL_Pl8Yn36hHqDPS8O9jJQOqTQgg"", ""Finance Nightly Processing 2019!R18:R18"")"),0.08819444444444445)</f>
        <v>0.08819444444</v>
      </c>
      <c r="H136" s="146">
        <f>IFERROR(__xludf.DUMMYFUNCTION("IMPORTRANGE(""https://docs.google.com/spreadsheets/d/1TIioSZ1nkrNo7fXNL_Pl8Yn36hHqDPS8O9jJQOqTQgg"", ""Finance Nightly Processing 2019!S18:S18"")"),0.11805555555555555)</f>
        <v>0.1180555556</v>
      </c>
      <c r="I136" s="44">
        <f>IFERROR(__xludf.DUMMYFUNCTION("IMPORTRANGE(""https://docs.google.com/spreadsheets/d/1TIioSZ1nkrNo7fXNL_Pl8Yn36hHqDPS8O9jJQOqTQgg"", ""Finance Nightly Processing 2019!W18:W18"")"),0.9381944444444444)</f>
        <v>0.9381944444</v>
      </c>
      <c r="J136" s="45">
        <f t="shared" si="2"/>
        <v>31</v>
      </c>
      <c r="K136" s="46"/>
      <c r="L136" s="46" t="s">
        <v>154</v>
      </c>
      <c r="M136" s="72" t="s">
        <v>274</v>
      </c>
      <c r="N136" s="80" t="s">
        <v>187</v>
      </c>
    </row>
    <row r="137">
      <c r="A137" s="118">
        <v>43481.0</v>
      </c>
      <c r="B137" s="70" t="s">
        <v>96</v>
      </c>
      <c r="C137" s="43" t="str">
        <f>VLOOKUP(A137,Table!A:B,2,false)</f>
        <v>P5 W4</v>
      </c>
      <c r="D137" s="43" t="str">
        <f>VLOOKUP(A137,Table!A:D,4,false)</f>
        <v>Period 5</v>
      </c>
      <c r="E137" s="70" t="s">
        <v>110</v>
      </c>
      <c r="F137" s="43">
        <v>0.9166666666666666</v>
      </c>
      <c r="G137" s="148">
        <f>IFERROR(__xludf.DUMMYFUNCTION("IMPORTRANGE(""https://docs.google.com/spreadsheets/d/1TIioSZ1nkrNo7fXNL_Pl8Yn36hHqDPS8O9jJQOqTQgg"", ""Finance Nightly Processing 2019!R19:R19"")"),0.13958333333333334)</f>
        <v>0.1395833333</v>
      </c>
      <c r="H137" s="146">
        <f>IFERROR(__xludf.DUMMYFUNCTION("IMPORTRANGE(""https://docs.google.com/spreadsheets/d/1TIioSZ1nkrNo7fXNL_Pl8Yn36hHqDPS8O9jJQOqTQgg"", ""Finance Nightly Processing 2019!S19:S19"")"),0.1673611111111111)</f>
        <v>0.1673611111</v>
      </c>
      <c r="I137" s="44">
        <f>IFERROR(__xludf.DUMMYFUNCTION("IMPORTRANGE(""https://docs.google.com/spreadsheets/d/1TIioSZ1nkrNo7fXNL_Pl8Yn36hHqDPS8O9jJQOqTQgg"", ""Finance Nightly Processing 2019!W19:W19"")"),0.4791666666666667)</f>
        <v>0.4791666667</v>
      </c>
      <c r="J137" s="45">
        <f t="shared" si="2"/>
        <v>810</v>
      </c>
      <c r="K137" s="46"/>
      <c r="L137" s="46" t="s">
        <v>156</v>
      </c>
      <c r="M137" s="149" t="s">
        <v>275</v>
      </c>
      <c r="N137" s="80" t="s">
        <v>187</v>
      </c>
    </row>
    <row r="138">
      <c r="A138" s="118">
        <v>43482.0</v>
      </c>
      <c r="B138" s="70" t="s">
        <v>97</v>
      </c>
      <c r="C138" s="43" t="str">
        <f>VLOOKUP(A138,Table!A:B,2,false)</f>
        <v>P5 W4</v>
      </c>
      <c r="D138" s="43" t="str">
        <f>VLOOKUP(A138,Table!A:D,4,false)</f>
        <v>Period 5</v>
      </c>
      <c r="E138" s="70" t="s">
        <v>110</v>
      </c>
      <c r="F138" s="43">
        <v>0.9166666666666666</v>
      </c>
      <c r="G138" s="148">
        <f>IFERROR(__xludf.DUMMYFUNCTION("IMPORTRANGE(""https://docs.google.com/spreadsheets/d/1TIioSZ1nkrNo7fXNL_Pl8Yn36hHqDPS8O9jJQOqTQgg"", ""Finance Nightly Processing 2019!R20:R20"")"),0.13125)</f>
        <v>0.13125</v>
      </c>
      <c r="H138" s="146">
        <f>IFERROR(__xludf.DUMMYFUNCTION("IMPORTRANGE(""https://docs.google.com/spreadsheets/d/1TIioSZ1nkrNo7fXNL_Pl8Yn36hHqDPS8O9jJQOqTQgg"", ""Finance Nightly Processing 2019!S20:S20"")"),0.15893518518518518)</f>
        <v>0.1589351852</v>
      </c>
      <c r="I138" s="44">
        <f>IFERROR(__xludf.DUMMYFUNCTION("IMPORTRANGE(""https://docs.google.com/spreadsheets/d/1TIioSZ1nkrNo7fXNL_Pl8Yn36hHqDPS8O9jJQOqTQgg"", ""Finance Nightly Processing 2019!W20:W20"")"),0.26458333333333334)</f>
        <v>0.2645833333</v>
      </c>
      <c r="J138" s="45">
        <f t="shared" si="2"/>
        <v>501</v>
      </c>
      <c r="K138" s="46"/>
      <c r="L138" s="46" t="s">
        <v>157</v>
      </c>
    </row>
    <row r="139">
      <c r="A139" s="118">
        <v>43483.0</v>
      </c>
      <c r="B139" s="70" t="s">
        <v>98</v>
      </c>
      <c r="C139" s="43" t="str">
        <f>VLOOKUP(A139,Table!A:B,2,false)</f>
        <v>P5 W4</v>
      </c>
      <c r="D139" s="43" t="str">
        <f>VLOOKUP(A139,Table!A:D,4,false)</f>
        <v>Period 5</v>
      </c>
      <c r="E139" s="70" t="s">
        <v>110</v>
      </c>
      <c r="F139" s="43">
        <v>0.9166666666666666</v>
      </c>
      <c r="G139" s="148">
        <f>IFERROR(__xludf.DUMMYFUNCTION("IMPORTRANGE(""https://docs.google.com/spreadsheets/d/1TIioSZ1nkrNo7fXNL_Pl8Yn36hHqDPS8O9jJQOqTQgg"", ""Finance Nightly Processing 2019!R21:R21"")"),0.14166666666666666)</f>
        <v>0.1416666667</v>
      </c>
      <c r="H139" s="146">
        <f>IFERROR(__xludf.DUMMYFUNCTION("IMPORTRANGE(""https://docs.google.com/spreadsheets/d/1TIioSZ1nkrNo7fXNL_Pl8Yn36hHqDPS8O9jJQOqTQgg"", ""Finance Nightly Processing 2019!S21:S21"")"),0.26675925925925925)</f>
        <v>0.2667592593</v>
      </c>
      <c r="I139" s="44">
        <f>IFERROR(__xludf.DUMMYFUNCTION("IMPORTRANGE(""https://docs.google.com/spreadsheets/d/1TIioSZ1nkrNo7fXNL_Pl8Yn36hHqDPS8O9jJQOqTQgg"", ""Finance Nightly Processing 2019!W21:W21"")"),0.30270833333333336)</f>
        <v>0.3027083333</v>
      </c>
      <c r="J139" s="45">
        <f t="shared" si="2"/>
        <v>555.9</v>
      </c>
      <c r="K139" s="46"/>
      <c r="L139" s="46" t="s">
        <v>158</v>
      </c>
      <c r="M139" s="150" t="s">
        <v>276</v>
      </c>
      <c r="N139" s="46" t="s">
        <v>146</v>
      </c>
    </row>
    <row r="140">
      <c r="A140" s="118">
        <v>43484.0</v>
      </c>
      <c r="B140" s="70" t="s">
        <v>99</v>
      </c>
      <c r="C140" s="43" t="str">
        <f>VLOOKUP(A140,Table!A:B,2,false)</f>
        <v>P5 W4</v>
      </c>
      <c r="D140" s="43" t="str">
        <f>VLOOKUP(A140,Table!A:D,4,false)</f>
        <v>Period 5</v>
      </c>
      <c r="E140" s="70" t="s">
        <v>110</v>
      </c>
      <c r="F140" s="43">
        <v>0.9166666666666666</v>
      </c>
      <c r="G140" s="148">
        <f>IFERROR(__xludf.DUMMYFUNCTION("IMPORTRANGE(""https://docs.google.com/spreadsheets/d/1TIioSZ1nkrNo7fXNL_Pl8Yn36hHqDPS8O9jJQOqTQgg"", ""Finance Nightly Processing 2019!R22:R22"")"),0.15224537037037036)</f>
        <v>0.1522453704</v>
      </c>
      <c r="H140" s="146">
        <f>IFERROR(__xludf.DUMMYFUNCTION("IMPORTRANGE(""https://docs.google.com/spreadsheets/d/1TIioSZ1nkrNo7fXNL_Pl8Yn36hHqDPS8O9jJQOqTQgg"", ""Finance Nightly Processing 2019!S22:S22"")"),0.16501157407407407)</f>
        <v>0.1650115741</v>
      </c>
      <c r="I140" s="44">
        <f>IFERROR(__xludf.DUMMYFUNCTION("IMPORTRANGE(""https://docs.google.com/spreadsheets/d/1TIioSZ1nkrNo7fXNL_Pl8Yn36hHqDPS8O9jJQOqTQgg"", ""Finance Nightly Processing 2019!W22:W22"")"),0.2596412037037037)</f>
        <v>0.2596412037</v>
      </c>
      <c r="J140" s="45">
        <f t="shared" si="2"/>
        <v>493.8833333</v>
      </c>
      <c r="K140" s="46"/>
      <c r="L140" s="46" t="s">
        <v>159</v>
      </c>
    </row>
    <row r="141">
      <c r="A141" s="118">
        <v>43485.0</v>
      </c>
      <c r="B141" s="70" t="s">
        <v>100</v>
      </c>
      <c r="C141" s="43" t="str">
        <f>VLOOKUP(A141,Table!A:B,2,false)</f>
        <v>P5 W4</v>
      </c>
      <c r="D141" s="43" t="str">
        <f>VLOOKUP(A141,Table!A:D,4,false)</f>
        <v>Period 5</v>
      </c>
      <c r="E141" s="70" t="s">
        <v>110</v>
      </c>
      <c r="F141" s="43">
        <v>0.9166666666666666</v>
      </c>
      <c r="G141" s="148">
        <f>IFERROR(__xludf.DUMMYFUNCTION("IMPORTRANGE(""https://docs.google.com/spreadsheets/d/1TIioSZ1nkrNo7fXNL_Pl8Yn36hHqDPS8O9jJQOqTQgg"", ""Finance Nightly Processing 2019!R23:R23"")"),0.17152777777777778)</f>
        <v>0.1715277778</v>
      </c>
      <c r="H141" s="146">
        <f>IFERROR(__xludf.DUMMYFUNCTION("IMPORTRANGE(""https://docs.google.com/spreadsheets/d/1TIioSZ1nkrNo7fXNL_Pl8Yn36hHqDPS8O9jJQOqTQgg"", ""Finance Nightly Processing 2019!S23:S23"")"),0.1909722222222222)</f>
        <v>0.1909722222</v>
      </c>
      <c r="I141" s="44">
        <f>IFERROR(__xludf.DUMMYFUNCTION("IMPORTRANGE(""https://docs.google.com/spreadsheets/d/1TIioSZ1nkrNo7fXNL_Pl8Yn36hHqDPS8O9jJQOqTQgg"", ""Finance Nightly Processing 2019!W23:W23"")"),0.27361111111111114)</f>
        <v>0.2736111111</v>
      </c>
      <c r="J141" s="45">
        <f t="shared" si="2"/>
        <v>514</v>
      </c>
      <c r="K141" s="46"/>
      <c r="L141" s="46" t="s">
        <v>160</v>
      </c>
      <c r="M141" s="151" t="s">
        <v>277</v>
      </c>
    </row>
    <row r="142">
      <c r="A142" s="118">
        <v>43486.0</v>
      </c>
      <c r="B142" s="70" t="s">
        <v>92</v>
      </c>
      <c r="C142" s="43" t="str">
        <f>VLOOKUP(A142,Table!A:B,2,false)</f>
        <v>P6 W1</v>
      </c>
      <c r="D142" s="43" t="str">
        <f>VLOOKUP(A142,Table!A:D,4,false)</f>
        <v>Period 6</v>
      </c>
      <c r="E142" s="70" t="s">
        <v>93</v>
      </c>
      <c r="F142" s="43">
        <v>0.9166666666666666</v>
      </c>
      <c r="G142" s="148">
        <f>IFERROR(__xludf.DUMMYFUNCTION("IMPORTRANGE(""https://docs.google.com/spreadsheets/d/1TIioSZ1nkrNo7fXNL_Pl8Yn36hHqDPS8O9jJQOqTQgg"", ""Finance Nightly Processing 2019!R24:R24"")"),0.10625)</f>
        <v>0.10625</v>
      </c>
      <c r="H142" s="146">
        <f>IFERROR(__xludf.DUMMYFUNCTION("IMPORTRANGE(""https://docs.google.com/spreadsheets/d/1TIioSZ1nkrNo7fXNL_Pl8Yn36hHqDPS8O9jJQOqTQgg"", ""Finance Nightly Processing 2019!S24:S24"")"),0.1361111111111111)</f>
        <v>0.1361111111</v>
      </c>
      <c r="I142" s="44">
        <f>IFERROR(__xludf.DUMMYFUNCTION("IMPORTRANGE(""https://docs.google.com/spreadsheets/d/1TIioSZ1nkrNo7fXNL_Pl8Yn36hHqDPS8O9jJQOqTQgg"", ""Finance Nightly Processing 2019!W24:W24"")"),0.23680555555555555)</f>
        <v>0.2368055556</v>
      </c>
      <c r="J142" s="45">
        <f t="shared" si="2"/>
        <v>461</v>
      </c>
      <c r="K142" s="46"/>
      <c r="L142" s="46" t="s">
        <v>152</v>
      </c>
    </row>
    <row r="143">
      <c r="A143" s="118">
        <v>43487.0</v>
      </c>
      <c r="B143" s="70" t="s">
        <v>94</v>
      </c>
      <c r="C143" s="43" t="str">
        <f>VLOOKUP(A143,Table!A:B,2,false)</f>
        <v>P6 W1</v>
      </c>
      <c r="D143" s="43" t="str">
        <f>VLOOKUP(A143,Table!A:D,4,false)</f>
        <v>Period 6</v>
      </c>
      <c r="E143" s="70" t="s">
        <v>93</v>
      </c>
      <c r="F143" s="43">
        <v>0.9166666666666666</v>
      </c>
      <c r="G143" s="148">
        <f>IFERROR(__xludf.DUMMYFUNCTION("IMPORTRANGE(""https://docs.google.com/spreadsheets/d/1TIioSZ1nkrNo7fXNL_Pl8Yn36hHqDPS8O9jJQOqTQgg"", ""Finance Nightly Processing 2019!R25:R25"")"),0.13541666666666666)</f>
        <v>0.1354166667</v>
      </c>
      <c r="H143" s="146">
        <f>IFERROR(__xludf.DUMMYFUNCTION("IMPORTRANGE(""https://docs.google.com/spreadsheets/d/1TIioSZ1nkrNo7fXNL_Pl8Yn36hHqDPS8O9jJQOqTQgg"", ""Finance Nightly Processing 2019!S25:S25"")"),0.17222222222222222)</f>
        <v>0.1722222222</v>
      </c>
      <c r="I143" s="44">
        <f>IFERROR(__xludf.DUMMYFUNCTION("IMPORTRANGE(""https://docs.google.com/spreadsheets/d/1TIioSZ1nkrNo7fXNL_Pl8Yn36hHqDPS8O9jJQOqTQgg"", ""Finance Nightly Processing 2019!W25:W25"")"),0.27569444444444446)</f>
        <v>0.2756944444</v>
      </c>
      <c r="J143" s="45">
        <f t="shared" si="2"/>
        <v>517</v>
      </c>
      <c r="K143" s="46"/>
      <c r="L143" s="46" t="s">
        <v>154</v>
      </c>
      <c r="M143" s="52" t="s">
        <v>278</v>
      </c>
      <c r="N143" s="152" t="s">
        <v>146</v>
      </c>
    </row>
    <row r="144">
      <c r="A144" s="118">
        <v>43488.0</v>
      </c>
      <c r="B144" s="70" t="s">
        <v>96</v>
      </c>
      <c r="C144" s="43" t="str">
        <f>VLOOKUP(A144,Table!A:B,2,false)</f>
        <v>P6 W1</v>
      </c>
      <c r="D144" s="43" t="str">
        <f>VLOOKUP(A144,Table!A:D,4,false)</f>
        <v>Period 6</v>
      </c>
      <c r="E144" s="70" t="s">
        <v>93</v>
      </c>
      <c r="F144" s="43">
        <v>0.9166666666666666</v>
      </c>
      <c r="G144" s="148">
        <f>IFERROR(__xludf.DUMMYFUNCTION("IMPORTRANGE(""https://docs.google.com/spreadsheets/d/1TIioSZ1nkrNo7fXNL_Pl8Yn36hHqDPS8O9jJQOqTQgg"", ""Finance Nightly Processing 2019!R26:R26"")"),0.12916666666666668)</f>
        <v>0.1291666667</v>
      </c>
      <c r="H144" s="146">
        <f>IFERROR(__xludf.DUMMYFUNCTION("IMPORTRANGE(""https://docs.google.com/spreadsheets/d/1TIioSZ1nkrNo7fXNL_Pl8Yn36hHqDPS8O9jJQOqTQgg"", ""Finance Nightly Processing 2019!S26:S26"")"),0.15486111111111112)</f>
        <v>0.1548611111</v>
      </c>
      <c r="I144" s="44">
        <f>IFERROR(__xludf.DUMMYFUNCTION("IMPORTRANGE(""https://docs.google.com/spreadsheets/d/1TIioSZ1nkrNo7fXNL_Pl8Yn36hHqDPS8O9jJQOqTQgg"", ""Finance Nightly Processing 2019!W26:W26"")"),0.2722222222222222)</f>
        <v>0.2722222222</v>
      </c>
      <c r="J144" s="45">
        <f t="shared" si="2"/>
        <v>512</v>
      </c>
      <c r="K144" s="46"/>
      <c r="L144" s="46" t="s">
        <v>156</v>
      </c>
    </row>
    <row r="145">
      <c r="A145" s="118">
        <v>43489.0</v>
      </c>
      <c r="B145" s="70" t="s">
        <v>97</v>
      </c>
      <c r="C145" s="43" t="str">
        <f>VLOOKUP(A145,Table!A:B,2,false)</f>
        <v>P6 W1</v>
      </c>
      <c r="D145" s="43" t="str">
        <f>VLOOKUP(A145,Table!A:D,4,false)</f>
        <v>Period 6</v>
      </c>
      <c r="E145" s="70" t="s">
        <v>93</v>
      </c>
      <c r="F145" s="43">
        <v>0.9166666666666666</v>
      </c>
      <c r="G145" s="148">
        <f>IFERROR(__xludf.DUMMYFUNCTION("IMPORTRANGE(""https://docs.google.com/spreadsheets/d/1TIioSZ1nkrNo7fXNL_Pl8Yn36hHqDPS8O9jJQOqTQgg"", ""Finance Nightly Processing 2019!R27:R27"")"),0.08888888888888889)</f>
        <v>0.08888888889</v>
      </c>
      <c r="H145" s="146">
        <f>IFERROR(__xludf.DUMMYFUNCTION("IMPORTRANGE(""https://docs.google.com/spreadsheets/d/1TIioSZ1nkrNo7fXNL_Pl8Yn36hHqDPS8O9jJQOqTQgg"", ""Finance Nightly Processing 2019!S27:S27"")"),0.11319444444444444)</f>
        <v>0.1131944444</v>
      </c>
      <c r="I145" s="44">
        <f>IFERROR(__xludf.DUMMYFUNCTION("IMPORTRANGE(""https://docs.google.com/spreadsheets/d/1TIioSZ1nkrNo7fXNL_Pl8Yn36hHqDPS8O9jJQOqTQgg"", ""Finance Nightly Processing 2019!W27:W27"")"),0.26368055555555553)</f>
        <v>0.2636805556</v>
      </c>
      <c r="J145" s="45">
        <f t="shared" si="2"/>
        <v>499.7</v>
      </c>
      <c r="K145" s="46"/>
      <c r="L145" s="46" t="s">
        <v>157</v>
      </c>
    </row>
    <row r="146">
      <c r="A146" s="118">
        <v>43490.0</v>
      </c>
      <c r="B146" s="70" t="s">
        <v>98</v>
      </c>
      <c r="C146" s="43" t="str">
        <f>VLOOKUP(A146,Table!A:B,2,false)</f>
        <v>P6 W1</v>
      </c>
      <c r="D146" s="43" t="str">
        <f>VLOOKUP(A146,Table!A:D,4,false)</f>
        <v>Period 6</v>
      </c>
      <c r="E146" s="70" t="s">
        <v>93</v>
      </c>
      <c r="F146" s="43">
        <v>0.9166666666666666</v>
      </c>
      <c r="G146" s="148">
        <f>IFERROR(__xludf.DUMMYFUNCTION("IMPORTRANGE(""https://docs.google.com/spreadsheets/d/1TIioSZ1nkrNo7fXNL_Pl8Yn36hHqDPS8O9jJQOqTQgg"", ""Finance Nightly Processing 2019!R28:R28"")"),0.12914351851851852)</f>
        <v>0.1291435185</v>
      </c>
      <c r="H146" s="146">
        <f>IFERROR(__xludf.DUMMYFUNCTION("IMPORTRANGE(""https://docs.google.com/spreadsheets/d/1TIioSZ1nkrNo7fXNL_Pl8Yn36hHqDPS8O9jJQOqTQgg"", ""Finance Nightly Processing 2019!S28:S28"")"),0.16488425925925926)</f>
        <v>0.1648842593</v>
      </c>
      <c r="I146" s="44">
        <f>IFERROR(__xludf.DUMMYFUNCTION("IMPORTRANGE(""https://docs.google.com/spreadsheets/d/1TIioSZ1nkrNo7fXNL_Pl8Yn36hHqDPS8O9jJQOqTQgg"", ""Finance Nightly Processing 2019!W28:W28"")"),0.3013888888888889)</f>
        <v>0.3013888889</v>
      </c>
      <c r="J146" s="45">
        <f t="shared" si="2"/>
        <v>554</v>
      </c>
      <c r="K146" s="46"/>
      <c r="L146" s="46" t="s">
        <v>158</v>
      </c>
      <c r="M146" s="153" t="s">
        <v>279</v>
      </c>
      <c r="N146" s="46" t="s">
        <v>23</v>
      </c>
    </row>
    <row r="147">
      <c r="A147" s="118">
        <v>43491.0</v>
      </c>
      <c r="B147" s="70" t="s">
        <v>99</v>
      </c>
      <c r="C147" s="43" t="str">
        <f>VLOOKUP(A147,Table!A:B,2,false)</f>
        <v>P6 W1</v>
      </c>
      <c r="D147" s="43" t="str">
        <f>VLOOKUP(A147,Table!A:D,4,false)</f>
        <v>Period 6</v>
      </c>
      <c r="E147" s="70" t="s">
        <v>93</v>
      </c>
      <c r="F147" s="43">
        <v>0.9166666666666666</v>
      </c>
      <c r="G147" s="148">
        <f>IFERROR(__xludf.DUMMYFUNCTION("IMPORTRANGE(""https://docs.google.com/spreadsheets/d/1TIioSZ1nkrNo7fXNL_Pl8Yn36hHqDPS8O9jJQOqTQgg"", ""Finance Nightly Processing 2019!R29:R29"")"),0.08541666666666667)</f>
        <v>0.08541666667</v>
      </c>
      <c r="H147" s="146">
        <f>IFERROR(__xludf.DUMMYFUNCTION("IMPORTRANGE(""https://docs.google.com/spreadsheets/d/1TIioSZ1nkrNo7fXNL_Pl8Yn36hHqDPS8O9jJQOqTQgg"", ""Finance Nightly Processing 2019!S29:S29"")"),0.175)</f>
        <v>0.175</v>
      </c>
      <c r="I147" s="44">
        <f>IFERROR(__xludf.DUMMYFUNCTION("IMPORTRANGE(""https://docs.google.com/spreadsheets/d/1TIioSZ1nkrNo7fXNL_Pl8Yn36hHqDPS8O9jJQOqTQgg"", ""Finance Nightly Processing 2019!W29:W29"")"),0.33372685185185186)</f>
        <v>0.3337268519</v>
      </c>
      <c r="J147" s="45">
        <f t="shared" si="2"/>
        <v>600.5666667</v>
      </c>
      <c r="K147" s="46"/>
      <c r="L147" s="46" t="s">
        <v>159</v>
      </c>
      <c r="M147" s="72" t="s">
        <v>280</v>
      </c>
      <c r="N147" s="46" t="s">
        <v>33</v>
      </c>
    </row>
    <row r="148">
      <c r="A148" s="118">
        <v>43492.0</v>
      </c>
      <c r="B148" s="70" t="s">
        <v>100</v>
      </c>
      <c r="C148" s="43" t="str">
        <f>VLOOKUP(A148,Table!A:B,2,false)</f>
        <v>P6 W1</v>
      </c>
      <c r="D148" s="43" t="str">
        <f>VLOOKUP(A148,Table!A:D,4,false)</f>
        <v>Period 6</v>
      </c>
      <c r="E148" s="70" t="s">
        <v>93</v>
      </c>
      <c r="F148" s="43">
        <v>0.9166666666666666</v>
      </c>
      <c r="G148" s="148">
        <f>IFERROR(__xludf.DUMMYFUNCTION("IMPORTRANGE(""https://docs.google.com/spreadsheets/d/1TIioSZ1nkrNo7fXNL_Pl8Yn36hHqDPS8O9jJQOqTQgg"", ""Finance Nightly Processing 2019!R30:R30"")"),0.13326388888888888)</f>
        <v>0.1332638889</v>
      </c>
      <c r="H148" s="146">
        <f>IFERROR(__xludf.DUMMYFUNCTION("IMPORTRANGE(""https://docs.google.com/spreadsheets/d/1TIioSZ1nkrNo7fXNL_Pl8Yn36hHqDPS8O9jJQOqTQgg"", ""Finance Nightly Processing 2019!S30:S30"")"),0.16049768518518517)</f>
        <v>0.1604976852</v>
      </c>
      <c r="I148" s="44">
        <f>IFERROR(__xludf.DUMMYFUNCTION("IMPORTRANGE(""https://docs.google.com/spreadsheets/d/1TIioSZ1nkrNo7fXNL_Pl8Yn36hHqDPS8O9jJQOqTQgg"", ""Finance Nightly Processing 2019!W30:W30"")"),0.2618171296296296)</f>
        <v>0.2618171296</v>
      </c>
      <c r="J148" s="45">
        <f t="shared" si="2"/>
        <v>497.0166667</v>
      </c>
      <c r="K148" s="46"/>
      <c r="L148" s="46" t="s">
        <v>160</v>
      </c>
    </row>
    <row r="149">
      <c r="A149" s="118">
        <v>43493.0</v>
      </c>
      <c r="B149" s="70" t="s">
        <v>92</v>
      </c>
      <c r="C149" s="43" t="str">
        <f>VLOOKUP(A149,Table!A:B,2,false)</f>
        <v>P6 W2</v>
      </c>
      <c r="D149" s="43" t="str">
        <f>VLOOKUP(A149,Table!A:D,4,false)</f>
        <v>Period 6</v>
      </c>
      <c r="E149" s="70" t="s">
        <v>101</v>
      </c>
      <c r="F149" s="43">
        <v>0.9166666666666666</v>
      </c>
      <c r="G149" s="148">
        <f>IFERROR(__xludf.DUMMYFUNCTION("IMPORTRANGE(""https://docs.google.com/spreadsheets/d/1TIioSZ1nkrNo7fXNL_Pl8Yn36hHqDPS8O9jJQOqTQgg"", ""Finance Nightly Processing 2019!R31:R31"")"),0.11458333333333333)</f>
        <v>0.1145833333</v>
      </c>
      <c r="H149" s="146">
        <f>IFERROR(__xludf.DUMMYFUNCTION("IMPORTRANGE(""https://docs.google.com/spreadsheets/d/1TIioSZ1nkrNo7fXNL_Pl8Yn36hHqDPS8O9jJQOqTQgg"", ""Finance Nightly Processing 2019!S31:S31"")"),0.1375)</f>
        <v>0.1375</v>
      </c>
      <c r="I149" s="44">
        <f>IFERROR(__xludf.DUMMYFUNCTION("IMPORTRANGE(""https://docs.google.com/spreadsheets/d/1TIioSZ1nkrNo7fXNL_Pl8Yn36hHqDPS8O9jJQOqTQgg"", ""Finance Nightly Processing 2019!W31:W31"")"),0.26180555555555557)</f>
        <v>0.2618055556</v>
      </c>
      <c r="J149" s="45">
        <f t="shared" si="2"/>
        <v>497</v>
      </c>
      <c r="K149" s="46"/>
      <c r="L149" s="46" t="s">
        <v>152</v>
      </c>
      <c r="M149" s="72" t="s">
        <v>281</v>
      </c>
      <c r="N149" s="46" t="s">
        <v>60</v>
      </c>
    </row>
    <row r="150">
      <c r="A150" s="118">
        <v>43494.0</v>
      </c>
      <c r="B150" s="70" t="s">
        <v>94</v>
      </c>
      <c r="C150" s="43" t="str">
        <f>VLOOKUP(A150,Table!A:B,2,false)</f>
        <v>P6 W2</v>
      </c>
      <c r="D150" s="43" t="str">
        <f>VLOOKUP(A150,Table!A:D,4,false)</f>
        <v>Period 6</v>
      </c>
      <c r="E150" s="70" t="s">
        <v>101</v>
      </c>
      <c r="F150" s="43">
        <v>0.9166666666666666</v>
      </c>
      <c r="G150" s="148">
        <f>IFERROR(__xludf.DUMMYFUNCTION("IMPORTRANGE(""https://docs.google.com/spreadsheets/d/1TIioSZ1nkrNo7fXNL_Pl8Yn36hHqDPS8O9jJQOqTQgg"", ""Finance Nightly Processing 2019!R32:R32"")"),0.09791666666666667)</f>
        <v>0.09791666667</v>
      </c>
      <c r="H150" s="146">
        <f>IFERROR(__xludf.DUMMYFUNCTION("IMPORTRANGE(""https://docs.google.com/spreadsheets/d/1TIioSZ1nkrNo7fXNL_Pl8Yn36hHqDPS8O9jJQOqTQgg"", ""Finance Nightly Processing 2019!S32:S32"")"),0.1284722222222222)</f>
        <v>0.1284722222</v>
      </c>
      <c r="I150" s="44">
        <f>IFERROR(__xludf.DUMMYFUNCTION("IMPORTRANGE(""https://docs.google.com/spreadsheets/d/1TIioSZ1nkrNo7fXNL_Pl8Yn36hHqDPS8O9jJQOqTQgg"", ""Finance Nightly Processing 2019!W32:W32"")"),0.2847222222222222)</f>
        <v>0.2847222222</v>
      </c>
      <c r="J150" s="45">
        <f t="shared" si="2"/>
        <v>530</v>
      </c>
      <c r="K150" s="46"/>
      <c r="L150" s="46" t="s">
        <v>154</v>
      </c>
      <c r="M150" s="46" t="s">
        <v>282</v>
      </c>
    </row>
    <row r="151">
      <c r="A151" s="118">
        <v>43495.0</v>
      </c>
      <c r="B151" s="70" t="s">
        <v>96</v>
      </c>
      <c r="C151" s="43" t="str">
        <f>VLOOKUP(A151,Table!A:B,2,false)</f>
        <v>P6 W2</v>
      </c>
      <c r="D151" s="43" t="str">
        <f>VLOOKUP(A151,Table!A:D,4,false)</f>
        <v>Period 6</v>
      </c>
      <c r="E151" s="70" t="s">
        <v>101</v>
      </c>
      <c r="F151" s="43">
        <v>0.9166666666666666</v>
      </c>
      <c r="G151" s="148">
        <f>IFERROR(__xludf.DUMMYFUNCTION("IMPORTRANGE(""https://docs.google.com/spreadsheets/d/1TIioSZ1nkrNo7fXNL_Pl8Yn36hHqDPS8O9jJQOqTQgg"", ""Finance Nightly Processing 2019!R33:R33"")"),0.11319444444444444)</f>
        <v>0.1131944444</v>
      </c>
      <c r="H151" s="146">
        <f>IFERROR(__xludf.DUMMYFUNCTION("IMPORTRANGE(""https://docs.google.com/spreadsheets/d/1TIioSZ1nkrNo7fXNL_Pl8Yn36hHqDPS8O9jJQOqTQgg"", ""Finance Nightly Processing 2019!S33:S33"")"),0.13541666666666666)</f>
        <v>0.1354166667</v>
      </c>
      <c r="I151" s="44">
        <f>IFERROR(__xludf.DUMMYFUNCTION("IMPORTRANGE(""https://docs.google.com/spreadsheets/d/1TIioSZ1nkrNo7fXNL_Pl8Yn36hHqDPS8O9jJQOqTQgg"", ""Finance Nightly Processing 2019!W33:W33"")"),0.2332986111111111)</f>
        <v>0.2332986111</v>
      </c>
      <c r="J151" s="45">
        <f t="shared" si="2"/>
        <v>455.95</v>
      </c>
      <c r="K151" s="46"/>
      <c r="L151" s="46" t="s">
        <v>156</v>
      </c>
    </row>
    <row r="152">
      <c r="A152" s="118">
        <v>43496.0</v>
      </c>
      <c r="B152" s="70" t="s">
        <v>97</v>
      </c>
      <c r="C152" s="43" t="str">
        <f>VLOOKUP(A152,Table!A:B,2,false)</f>
        <v>P6 W2</v>
      </c>
      <c r="D152" s="43" t="str">
        <f>VLOOKUP(A152,Table!A:D,4,false)</f>
        <v>Period 6</v>
      </c>
      <c r="E152" s="70" t="s">
        <v>101</v>
      </c>
      <c r="F152" s="43">
        <v>0.9166666666666666</v>
      </c>
      <c r="G152" s="148">
        <f>IFERROR(__xludf.DUMMYFUNCTION("IMPORTRANGE(""https://docs.google.com/spreadsheets/d/1TIioSZ1nkrNo7fXNL_Pl8Yn36hHqDPS8O9jJQOqTQgg"", ""Finance Nightly Processing 2019!R34:R34"")"),0.09662037037037037)</f>
        <v>0.09662037037</v>
      </c>
      <c r="H152" s="146">
        <f>IFERROR(__xludf.DUMMYFUNCTION("IMPORTRANGE(""https://docs.google.com/spreadsheets/d/1TIioSZ1nkrNo7fXNL_Pl8Yn36hHqDPS8O9jJQOqTQgg"", ""Finance Nightly Processing 2019!S34:S34"")"),0.11994212962962963)</f>
        <v>0.1199421296</v>
      </c>
      <c r="I152" s="44">
        <f>IFERROR(__xludf.DUMMYFUNCTION("IMPORTRANGE(""https://docs.google.com/spreadsheets/d/1TIioSZ1nkrNo7fXNL_Pl8Yn36hHqDPS8O9jJQOqTQgg"", ""Finance Nightly Processing 2019!W34:W34"")"),0.24055555555555555)</f>
        <v>0.2405555556</v>
      </c>
      <c r="J152" s="45">
        <f t="shared" si="2"/>
        <v>466.4</v>
      </c>
      <c r="K152" s="46"/>
      <c r="L152" s="46" t="s">
        <v>157</v>
      </c>
      <c r="M152" s="46" t="s">
        <v>283</v>
      </c>
    </row>
    <row r="153">
      <c r="A153" s="118">
        <v>43497.0</v>
      </c>
      <c r="B153" s="70" t="s">
        <v>98</v>
      </c>
      <c r="C153" s="43" t="str">
        <f>VLOOKUP(A153,Table!A:B,2,false)</f>
        <v>P6 W2</v>
      </c>
      <c r="D153" s="43" t="str">
        <f>VLOOKUP(A153,Table!A:D,4,false)</f>
        <v>Period 6</v>
      </c>
      <c r="E153" s="70" t="s">
        <v>101</v>
      </c>
      <c r="F153" s="43">
        <v>0.9166666666666666</v>
      </c>
      <c r="G153" s="148">
        <f>IFERROR(__xludf.DUMMYFUNCTION("IMPORTRANGE(""https://docs.google.com/spreadsheets/d/1TIioSZ1nkrNo7fXNL_Pl8Yn36hHqDPS8O9jJQOqTQgg"", ""Finance Nightly Processing 2019!R35:R35"")"),0.08818287037037037)</f>
        <v>0.08818287037</v>
      </c>
      <c r="H153" s="146">
        <f>IFERROR(__xludf.DUMMYFUNCTION("IMPORTRANGE(""https://docs.google.com/spreadsheets/d/1TIioSZ1nkrNo7fXNL_Pl8Yn36hHqDPS8O9jJQOqTQgg"", ""Finance Nightly Processing 2019!S35:S35"")"),0.12341435185185186)</f>
        <v>0.1234143519</v>
      </c>
      <c r="I153" s="44">
        <f>IFERROR(__xludf.DUMMYFUNCTION("IMPORTRANGE(""https://docs.google.com/spreadsheets/d/1TIioSZ1nkrNo7fXNL_Pl8Yn36hHqDPS8O9jJQOqTQgg"", ""Finance Nightly Processing 2019!W35:W35"")"),0.21496527777777777)</f>
        <v>0.2149652778</v>
      </c>
      <c r="J153" s="45">
        <f t="shared" si="2"/>
        <v>429.55</v>
      </c>
      <c r="K153" s="46"/>
      <c r="L153" s="46" t="s">
        <v>158</v>
      </c>
    </row>
    <row r="154">
      <c r="A154" s="118">
        <v>43498.0</v>
      </c>
      <c r="B154" s="70" t="s">
        <v>99</v>
      </c>
      <c r="C154" s="43" t="str">
        <f>VLOOKUP(A154,Table!A:B,2,false)</f>
        <v>P6 W2</v>
      </c>
      <c r="D154" s="43" t="str">
        <f>VLOOKUP(A154,Table!A:D,4,false)</f>
        <v>Period 6</v>
      </c>
      <c r="E154" s="70" t="s">
        <v>101</v>
      </c>
      <c r="F154" s="43">
        <v>0.9166666666666666</v>
      </c>
      <c r="G154" s="148">
        <f>IFERROR(__xludf.DUMMYFUNCTION("IMPORTRANGE(""https://docs.google.com/spreadsheets/d/1TIioSZ1nkrNo7fXNL_Pl8Yn36hHqDPS8O9jJQOqTQgg"", ""Finance Nightly Processing 2019!R36:R36"")"),0.09626157407407407)</f>
        <v>0.09626157407</v>
      </c>
      <c r="H154" s="146">
        <f>IFERROR(__xludf.DUMMYFUNCTION("IMPORTRANGE(""https://docs.google.com/spreadsheets/d/1TIioSZ1nkrNo7fXNL_Pl8Yn36hHqDPS8O9jJQOqTQgg"", ""Finance Nightly Processing 2019!S36:S36"")"),0.11099537037037037)</f>
        <v>0.1109953704</v>
      </c>
      <c r="I154" s="44">
        <f>IFERROR(__xludf.DUMMYFUNCTION("IMPORTRANGE(""https://docs.google.com/spreadsheets/d/1TIioSZ1nkrNo7fXNL_Pl8Yn36hHqDPS8O9jJQOqTQgg"", ""Finance Nightly Processing 2019!W36:W36"")"),0.21458333333333332)</f>
        <v>0.2145833333</v>
      </c>
      <c r="J154" s="45">
        <f t="shared" si="2"/>
        <v>429</v>
      </c>
      <c r="K154" s="46"/>
      <c r="L154" s="46" t="s">
        <v>159</v>
      </c>
    </row>
    <row r="155">
      <c r="A155" s="118">
        <v>43499.0</v>
      </c>
      <c r="B155" s="70" t="s">
        <v>100</v>
      </c>
      <c r="C155" s="43" t="str">
        <f>VLOOKUP(A155,Table!A:B,2,false)</f>
        <v>P6 W2</v>
      </c>
      <c r="D155" s="43" t="str">
        <f>VLOOKUP(A155,Table!A:D,4,false)</f>
        <v>Period 6</v>
      </c>
      <c r="E155" s="70" t="s">
        <v>101</v>
      </c>
      <c r="F155" s="43">
        <v>0.9166666666666666</v>
      </c>
      <c r="G155" s="148">
        <f>IFERROR(__xludf.DUMMYFUNCTION("IMPORTRANGE(""https://docs.google.com/spreadsheets/d/1TIioSZ1nkrNo7fXNL_Pl8Yn36hHqDPS8O9jJQOqTQgg"", ""Finance Nightly Processing 2019!R37:R37"")"),0.13346064814814815)</f>
        <v>0.1334606481</v>
      </c>
      <c r="H155" s="146">
        <f>IFERROR(__xludf.DUMMYFUNCTION("IMPORTRANGE(""https://docs.google.com/spreadsheets/d/1TIioSZ1nkrNo7fXNL_Pl8Yn36hHqDPS8O9jJQOqTQgg"", ""Finance Nightly Processing 2019!S37:S37"")"),0.16712962962962963)</f>
        <v>0.1671296296</v>
      </c>
      <c r="I155" s="44">
        <f>IFERROR(__xludf.DUMMYFUNCTION("IMPORTRANGE(""https://docs.google.com/spreadsheets/d/1TIioSZ1nkrNo7fXNL_Pl8Yn36hHqDPS8O9jJQOqTQgg"", ""Finance Nightly Processing 2019!W37:W37"")"),0.24443287037037037)</f>
        <v>0.2444328704</v>
      </c>
      <c r="J155" s="45">
        <f t="shared" si="2"/>
        <v>471.9833333</v>
      </c>
      <c r="K155" s="46"/>
      <c r="L155" s="46" t="s">
        <v>160</v>
      </c>
      <c r="M155" s="72" t="s">
        <v>284</v>
      </c>
      <c r="N155" s="46" t="s">
        <v>60</v>
      </c>
    </row>
    <row r="156">
      <c r="A156" s="118">
        <v>43500.0</v>
      </c>
      <c r="B156" s="70" t="s">
        <v>92</v>
      </c>
      <c r="C156" s="43" t="str">
        <f>VLOOKUP(A156,Table!A:B,2,false)</f>
        <v>P6 W3</v>
      </c>
      <c r="D156" s="43" t="str">
        <f>VLOOKUP(A156,Table!A:D,4,false)</f>
        <v>Period 6</v>
      </c>
      <c r="E156" s="70" t="s">
        <v>106</v>
      </c>
      <c r="F156" s="43">
        <v>0.9166666666666666</v>
      </c>
      <c r="G156" s="148">
        <f>IFERROR(__xludf.DUMMYFUNCTION("IMPORTRANGE(""https://docs.google.com/spreadsheets/d/1TIioSZ1nkrNo7fXNL_Pl8Yn36hHqDPS8O9jJQOqTQgg"", ""Finance Nightly Processing 2019!R38:R38"")"),0.17291666666666666)</f>
        <v>0.1729166667</v>
      </c>
      <c r="H156" s="146">
        <f>IFERROR(__xludf.DUMMYFUNCTION("IMPORTRANGE(""https://docs.google.com/spreadsheets/d/1TIioSZ1nkrNo7fXNL_Pl8Yn36hHqDPS8O9jJQOqTQgg"", ""Finance Nightly Processing 2019!S38:S38"")"),0.18680555555555556)</f>
        <v>0.1868055556</v>
      </c>
      <c r="I156" s="44">
        <v>0.29444444444444445</v>
      </c>
      <c r="J156" s="45">
        <f t="shared" si="2"/>
        <v>544</v>
      </c>
      <c r="K156" s="46"/>
      <c r="L156" s="46" t="s">
        <v>152</v>
      </c>
      <c r="M156" s="46" t="s">
        <v>285</v>
      </c>
      <c r="N156" s="46" t="s">
        <v>188</v>
      </c>
    </row>
    <row r="157">
      <c r="A157" s="118">
        <v>43501.0</v>
      </c>
      <c r="B157" s="70" t="s">
        <v>94</v>
      </c>
      <c r="C157" s="43" t="str">
        <f>VLOOKUP(A157,Table!A:B,2,false)</f>
        <v>P6 W3</v>
      </c>
      <c r="D157" s="43" t="str">
        <f>VLOOKUP(A157,Table!A:D,4,false)</f>
        <v>Period 6</v>
      </c>
      <c r="E157" s="70" t="s">
        <v>106</v>
      </c>
      <c r="F157" s="43">
        <v>0.9166666666666666</v>
      </c>
      <c r="G157" s="148">
        <f>IFERROR(__xludf.DUMMYFUNCTION("IMPORTRANGE(""https://docs.google.com/spreadsheets/d/1TIioSZ1nkrNo7fXNL_Pl8Yn36hHqDPS8O9jJQOqTQgg"", ""Finance Nightly Processing 2019!R39:R39"")"),0.1951388888888889)</f>
        <v>0.1951388889</v>
      </c>
      <c r="H157" s="146">
        <f>IFERROR(__xludf.DUMMYFUNCTION("IMPORTRANGE(""https://docs.google.com/spreadsheets/d/1TIioSZ1nkrNo7fXNL_Pl8Yn36hHqDPS8O9jJQOqTQgg"", ""Finance Nightly Processing 2019!S39:S39"")"),0.21458333333333332)</f>
        <v>0.2145833333</v>
      </c>
      <c r="I157" s="44">
        <v>0.29583333333333334</v>
      </c>
      <c r="J157" s="45">
        <f t="shared" si="2"/>
        <v>546</v>
      </c>
      <c r="K157" s="46"/>
      <c r="L157" s="46" t="s">
        <v>154</v>
      </c>
      <c r="M157" s="72" t="s">
        <v>286</v>
      </c>
      <c r="N157" s="46" t="s">
        <v>188</v>
      </c>
    </row>
    <row r="158">
      <c r="A158" s="118">
        <v>43502.0</v>
      </c>
      <c r="B158" s="70" t="s">
        <v>96</v>
      </c>
      <c r="C158" s="43" t="str">
        <f>VLOOKUP(A158,Table!A:B,2,false)</f>
        <v>P6 W3</v>
      </c>
      <c r="D158" s="43" t="str">
        <f>VLOOKUP(A158,Table!A:D,4,false)</f>
        <v>Period 6</v>
      </c>
      <c r="E158" s="70" t="s">
        <v>106</v>
      </c>
      <c r="F158" s="43">
        <v>0.9166666666666666</v>
      </c>
      <c r="G158" s="148">
        <f>IFERROR(__xludf.DUMMYFUNCTION("IMPORTRANGE(""https://docs.google.com/spreadsheets/d/1TIioSZ1nkrNo7fXNL_Pl8Yn36hHqDPS8O9jJQOqTQgg"", ""Finance Nightly Processing 2019!R40:R40"")"),0.10902777777777778)</f>
        <v>0.1090277778</v>
      </c>
      <c r="H158" s="146">
        <f>IFERROR(__xludf.DUMMYFUNCTION("IMPORTRANGE(""https://docs.google.com/spreadsheets/d/1TIioSZ1nkrNo7fXNL_Pl8Yn36hHqDPS8O9jJQOqTQgg"", ""Finance Nightly Processing 2019!S40:S40"")"),0.20625)</f>
        <v>0.20625</v>
      </c>
      <c r="I158" s="44">
        <f>IFERROR(__xludf.DUMMYFUNCTION("IMPORTRANGE(""https://docs.google.com/spreadsheets/d/1TIioSZ1nkrNo7fXNL_Pl8Yn36hHqDPS8O9jJQOqTQgg"", ""Finance Nightly Processing 2019!W40:W40"")"),0.29305555555555557)</f>
        <v>0.2930555556</v>
      </c>
      <c r="J158" s="45">
        <f t="shared" si="2"/>
        <v>542</v>
      </c>
      <c r="K158" s="46" t="s">
        <v>287</v>
      </c>
      <c r="L158" s="46" t="s">
        <v>156</v>
      </c>
      <c r="M158" s="72" t="s">
        <v>288</v>
      </c>
      <c r="N158" s="46" t="s">
        <v>36</v>
      </c>
    </row>
    <row r="159">
      <c r="A159" s="118">
        <v>43503.0</v>
      </c>
      <c r="B159" s="70" t="s">
        <v>97</v>
      </c>
      <c r="C159" s="43" t="str">
        <f>VLOOKUP(A159,Table!A:B,2,false)</f>
        <v>P6 W3</v>
      </c>
      <c r="D159" s="43" t="str">
        <f>VLOOKUP(A159,Table!A:D,4,false)</f>
        <v>Period 6</v>
      </c>
      <c r="E159" s="70" t="s">
        <v>106</v>
      </c>
      <c r="F159" s="43">
        <v>0.9166666666666666</v>
      </c>
      <c r="G159" s="148">
        <f>IFERROR(__xludf.DUMMYFUNCTION("IMPORTRANGE(""https://docs.google.com/spreadsheets/d/1TIioSZ1nkrNo7fXNL_Pl8Yn36hHqDPS8O9jJQOqTQgg"", ""Finance Nightly Processing 2019!R41:R41"")"),0.13195601851851851)</f>
        <v>0.1319560185</v>
      </c>
      <c r="H159" s="146">
        <f>IFERROR(__xludf.DUMMYFUNCTION("IMPORTRANGE(""https://docs.google.com/spreadsheets/d/1TIioSZ1nkrNo7fXNL_Pl8Yn36hHqDPS8O9jJQOqTQgg"", ""Finance Nightly Processing 2019!S41:S41"")"),0.1621064814814815)</f>
        <v>0.1621064815</v>
      </c>
      <c r="I159" s="44">
        <f>IFERROR(__xludf.DUMMYFUNCTION("IMPORTRANGE(""https://docs.google.com/spreadsheets/d/1TIioSZ1nkrNo7fXNL_Pl8Yn36hHqDPS8O9jJQOqTQgg"", ""Finance Nightly Processing 2019!W41:W41"")"),0.2618171296296296)</f>
        <v>0.2618171296</v>
      </c>
      <c r="J159" s="45">
        <f t="shared" si="2"/>
        <v>497.0166667</v>
      </c>
      <c r="K159" s="46"/>
      <c r="L159" s="46" t="s">
        <v>157</v>
      </c>
    </row>
    <row r="160">
      <c r="A160" s="118">
        <v>43504.0</v>
      </c>
      <c r="B160" s="70" t="s">
        <v>98</v>
      </c>
      <c r="C160" s="43" t="str">
        <f>VLOOKUP(A160,Table!A:B,2,false)</f>
        <v>P6 W3</v>
      </c>
      <c r="D160" s="43" t="str">
        <f>VLOOKUP(A160,Table!A:D,4,false)</f>
        <v>Period 6</v>
      </c>
      <c r="E160" s="70" t="s">
        <v>106</v>
      </c>
      <c r="F160" s="43">
        <v>0.9166666666666666</v>
      </c>
      <c r="G160" s="148">
        <f>IFERROR(__xludf.DUMMYFUNCTION("IMPORTRANGE(""https://docs.google.com/spreadsheets/d/1TIioSZ1nkrNo7fXNL_Pl8Yn36hHqDPS8O9jJQOqTQgg"", ""Finance Nightly Processing 2019!R42:R42"")"),0.11063657407407407)</f>
        <v>0.1106365741</v>
      </c>
      <c r="H160" s="146">
        <f>IFERROR(__xludf.DUMMYFUNCTION("IMPORTRANGE(""https://docs.google.com/spreadsheets/d/1TIioSZ1nkrNo7fXNL_Pl8Yn36hHqDPS8O9jJQOqTQgg"", ""Finance Nightly Processing 2019!S42:S42"")"),0.12957175925925926)</f>
        <v>0.1295717593</v>
      </c>
      <c r="I160" s="44">
        <f>IFERROR(__xludf.DUMMYFUNCTION("IMPORTRANGE(""https://docs.google.com/spreadsheets/d/1TIioSZ1nkrNo7fXNL_Pl8Yn36hHqDPS8O9jJQOqTQgg"", ""Finance Nightly Processing 2019!W42:W42"")"),0.23604166666666668)</f>
        <v>0.2360416667</v>
      </c>
      <c r="J160" s="45">
        <f t="shared" si="2"/>
        <v>459.9</v>
      </c>
      <c r="K160" s="46"/>
      <c r="L160" s="46" t="s">
        <v>158</v>
      </c>
    </row>
    <row r="161">
      <c r="A161" s="118">
        <v>43505.0</v>
      </c>
      <c r="B161" s="70" t="s">
        <v>99</v>
      </c>
      <c r="C161" s="43" t="str">
        <f>VLOOKUP(A161,Table!A:B,2,false)</f>
        <v>P6 W3</v>
      </c>
      <c r="D161" s="43" t="str">
        <f>VLOOKUP(A161,Table!A:D,4,false)</f>
        <v>Period 6</v>
      </c>
      <c r="E161" s="70" t="s">
        <v>106</v>
      </c>
      <c r="F161" s="43">
        <v>0.9166666666666666</v>
      </c>
      <c r="G161" s="148">
        <f>IFERROR(__xludf.DUMMYFUNCTION("IMPORTRANGE(""https://docs.google.com/spreadsheets/d/1TIioSZ1nkrNo7fXNL_Pl8Yn36hHqDPS8O9jJQOqTQgg"", ""Finance Nightly Processing 2019!R43:R43"")"),0.10679398148148148)</f>
        <v>0.1067939815</v>
      </c>
      <c r="H161" s="146">
        <f>IFERROR(__xludf.DUMMYFUNCTION("IMPORTRANGE(""https://docs.google.com/spreadsheets/d/1TIioSZ1nkrNo7fXNL_Pl8Yn36hHqDPS8O9jJQOqTQgg"", ""Finance Nightly Processing 2019!S43:S43"")"),0.11956018518518519)</f>
        <v>0.1195601852</v>
      </c>
      <c r="I161" s="44">
        <f>IFERROR(__xludf.DUMMYFUNCTION("IMPORTRANGE(""https://docs.google.com/spreadsheets/d/1TIioSZ1nkrNo7fXNL_Pl8Yn36hHqDPS8O9jJQOqTQgg"", ""Finance Nightly Processing 2019!W43:W43"")"),0.23074074074074075)</f>
        <v>0.2307407407</v>
      </c>
      <c r="J161" s="45">
        <f t="shared" si="2"/>
        <v>452.2666667</v>
      </c>
      <c r="K161" s="46"/>
      <c r="L161" s="46" t="s">
        <v>159</v>
      </c>
    </row>
    <row r="162">
      <c r="A162" s="118">
        <v>43506.0</v>
      </c>
      <c r="B162" s="70" t="s">
        <v>100</v>
      </c>
      <c r="C162" s="43" t="str">
        <f>VLOOKUP(A162,Table!A:B,2,false)</f>
        <v>P6 W3</v>
      </c>
      <c r="D162" s="43" t="str">
        <f>VLOOKUP(A162,Table!A:D,4,false)</f>
        <v>Period 6</v>
      </c>
      <c r="E162" s="70" t="s">
        <v>106</v>
      </c>
      <c r="F162" s="43">
        <v>0.9166666666666666</v>
      </c>
      <c r="G162" s="148">
        <f>IFERROR(__xludf.DUMMYFUNCTION("IMPORTRANGE(""https://docs.google.com/spreadsheets/d/1TIioSZ1nkrNo7fXNL_Pl8Yn36hHqDPS8O9jJQOqTQgg"", ""Finance Nightly Processing 2019!R44:R44"")"),0.13755787037037037)</f>
        <v>0.1375578704</v>
      </c>
      <c r="H162" s="146">
        <f>IFERROR(__xludf.DUMMYFUNCTION("IMPORTRANGE(""https://docs.google.com/spreadsheets/d/1TIioSZ1nkrNo7fXNL_Pl8Yn36hHqDPS8O9jJQOqTQgg"", ""Finance Nightly Processing 2019!S44:S44"")"),0.16716435185185186)</f>
        <v>0.1671643519</v>
      </c>
      <c r="I162" s="44">
        <f>IFERROR(__xludf.DUMMYFUNCTION("IMPORTRANGE(""https://docs.google.com/spreadsheets/d/1TIioSZ1nkrNo7fXNL_Pl8Yn36hHqDPS8O9jJQOqTQgg"", ""Finance Nightly Processing 2019!W44:W44"")"),0.24358796296296295)</f>
        <v>0.243587963</v>
      </c>
      <c r="J162" s="45">
        <f t="shared" si="2"/>
        <v>470.7666667</v>
      </c>
      <c r="K162" s="46"/>
      <c r="L162" s="46" t="s">
        <v>160</v>
      </c>
    </row>
    <row r="163">
      <c r="A163" s="118">
        <v>43507.0</v>
      </c>
      <c r="B163" s="70" t="s">
        <v>92</v>
      </c>
      <c r="C163" s="43" t="str">
        <f>VLOOKUP(A163,Table!A:B,2,false)</f>
        <v>P6 W4</v>
      </c>
      <c r="D163" s="43" t="str">
        <f>VLOOKUP(A163,Table!A:D,4,false)</f>
        <v>Period 6</v>
      </c>
      <c r="E163" s="70" t="s">
        <v>110</v>
      </c>
      <c r="F163" s="43">
        <v>0.9166666666666666</v>
      </c>
      <c r="G163" s="148">
        <f>IFERROR(__xludf.DUMMYFUNCTION("IMPORTRANGE(""https://docs.google.com/spreadsheets/d/1TIioSZ1nkrNo7fXNL_Pl8Yn36hHqDPS8O9jJQOqTQgg"", ""Finance Nightly Processing 2019!R45:R45"")"),0.10945601851851852)</f>
        <v>0.1094560185</v>
      </c>
      <c r="H163" s="146">
        <f>IFERROR(__xludf.DUMMYFUNCTION("IMPORTRANGE(""https://docs.google.com/spreadsheets/d/1TIioSZ1nkrNo7fXNL_Pl8Yn36hHqDPS8O9jJQOqTQgg"", ""Finance Nightly Processing 2019!S45:S45"")"),0.13923611111111112)</f>
        <v>0.1392361111</v>
      </c>
      <c r="I163" s="44">
        <f>IFERROR(__xludf.DUMMYFUNCTION("IMPORTRANGE(""https://docs.google.com/spreadsheets/d/1TIioSZ1nkrNo7fXNL_Pl8Yn36hHqDPS8O9jJQOqTQgg"", ""Finance Nightly Processing 2019!W45:W45"")"),0.2375)</f>
        <v>0.2375</v>
      </c>
      <c r="J163" s="45">
        <f t="shared" si="2"/>
        <v>462</v>
      </c>
      <c r="K163" s="46"/>
      <c r="L163" s="46" t="s">
        <v>152</v>
      </c>
    </row>
    <row r="164">
      <c r="A164" s="118">
        <v>43508.0</v>
      </c>
      <c r="B164" s="70" t="s">
        <v>94</v>
      </c>
      <c r="C164" s="43" t="str">
        <f>VLOOKUP(A164,Table!A:B,2,false)</f>
        <v>P6 W4</v>
      </c>
      <c r="D164" s="43" t="str">
        <f>VLOOKUP(A164,Table!A:D,4,false)</f>
        <v>Period 6</v>
      </c>
      <c r="E164" s="70" t="s">
        <v>110</v>
      </c>
      <c r="F164" s="43">
        <v>0.9166666666666666</v>
      </c>
      <c r="G164" s="148">
        <f>IFERROR(__xludf.DUMMYFUNCTION("IMPORTRANGE(""https://docs.google.com/spreadsheets/d/1TIioSZ1nkrNo7fXNL_Pl8Yn36hHqDPS8O9jJQOqTQgg"", ""Finance Nightly Processing 2019!R46:R46"")"),0.08958333333333333)</f>
        <v>0.08958333333</v>
      </c>
      <c r="H164" s="146">
        <f>IFERROR(__xludf.DUMMYFUNCTION("IMPORTRANGE(""https://docs.google.com/spreadsheets/d/1TIioSZ1nkrNo7fXNL_Pl8Yn36hHqDPS8O9jJQOqTQgg"", ""Finance Nightly Processing 2019!S46:S46"")"),0.11944444444444445)</f>
        <v>0.1194444444</v>
      </c>
      <c r="I164" s="44">
        <f>IFERROR(__xludf.DUMMYFUNCTION("IMPORTRANGE(""https://docs.google.com/spreadsheets/d/1TIioSZ1nkrNo7fXNL_Pl8Yn36hHqDPS8O9jJQOqTQgg"", ""Finance Nightly Processing 2019!W46:W46"")"),0.2388888888888889)</f>
        <v>0.2388888889</v>
      </c>
      <c r="J164" s="45">
        <f t="shared" si="2"/>
        <v>464</v>
      </c>
      <c r="K164" s="46"/>
      <c r="L164" s="46" t="s">
        <v>154</v>
      </c>
    </row>
    <row r="165">
      <c r="A165" s="118">
        <v>43509.0</v>
      </c>
      <c r="B165" s="70" t="s">
        <v>96</v>
      </c>
      <c r="C165" s="43" t="str">
        <f>VLOOKUP(A165,Table!A:B,2,false)</f>
        <v>P6 W4</v>
      </c>
      <c r="D165" s="43" t="str">
        <f>VLOOKUP(A165,Table!A:D,4,false)</f>
        <v>Period 6</v>
      </c>
      <c r="E165" s="70" t="s">
        <v>110</v>
      </c>
      <c r="F165" s="43">
        <v>0.9166666666666666</v>
      </c>
      <c r="G165" s="148">
        <f>IFERROR(__xludf.DUMMYFUNCTION("IMPORTRANGE(""https://docs.google.com/spreadsheets/d/1TIioSZ1nkrNo7fXNL_Pl8Yn36hHqDPS8O9jJQOqTQgg"", ""Finance Nightly Processing 2019!R47:R47"")"),0.14583333333333334)</f>
        <v>0.1458333333</v>
      </c>
      <c r="H165" s="146">
        <f>IFERROR(__xludf.DUMMYFUNCTION("IMPORTRANGE(""https://docs.google.com/spreadsheets/d/1TIioSZ1nkrNo7fXNL_Pl8Yn36hHqDPS8O9jJQOqTQgg"", ""Finance Nightly Processing 2019!S47:S47"")"),0.19236111111111112)</f>
        <v>0.1923611111</v>
      </c>
      <c r="I165" s="44">
        <f>IFERROR(__xludf.DUMMYFUNCTION("IMPORTRANGE(""https://docs.google.com/spreadsheets/d/1TIioSZ1nkrNo7fXNL_Pl8Yn36hHqDPS8O9jJQOqTQgg"", ""Finance Nightly Processing 2019!W47:W47"")"),0.27927083333333336)</f>
        <v>0.2792708333</v>
      </c>
      <c r="J165" s="45">
        <f t="shared" si="2"/>
        <v>522.15</v>
      </c>
      <c r="K165" s="46"/>
      <c r="L165" s="46" t="s">
        <v>156</v>
      </c>
    </row>
    <row r="166">
      <c r="A166" s="118">
        <v>43510.0</v>
      </c>
      <c r="B166" s="70" t="s">
        <v>97</v>
      </c>
      <c r="C166" s="43" t="str">
        <f>VLOOKUP(A166,Table!A:B,2,false)</f>
        <v>P6 W4</v>
      </c>
      <c r="D166" s="43" t="str">
        <f>VLOOKUP(A166,Table!A:D,4,false)</f>
        <v>Period 6</v>
      </c>
      <c r="E166" s="70" t="s">
        <v>110</v>
      </c>
      <c r="F166" s="43">
        <v>0.9166666666666666</v>
      </c>
      <c r="G166" s="148">
        <f>IFERROR(__xludf.DUMMYFUNCTION("IMPORTRANGE(""https://docs.google.com/spreadsheets/d/1TIioSZ1nkrNo7fXNL_Pl8Yn36hHqDPS8O9jJQOqTQgg"", ""Finance Nightly Processing 2019!R48:R48"")"),0.10578703703703704)</f>
        <v>0.105787037</v>
      </c>
      <c r="H166" s="146">
        <f>IFERROR(__xludf.DUMMYFUNCTION("IMPORTRANGE(""https://docs.google.com/spreadsheets/d/1TIioSZ1nkrNo7fXNL_Pl8Yn36hHqDPS8O9jJQOqTQgg"", ""Finance Nightly Processing 2019!S48:S48"")"),0.14184027777777777)</f>
        <v>0.1418402778</v>
      </c>
      <c r="I166" s="44">
        <f>IFERROR(__xludf.DUMMYFUNCTION("IMPORTRANGE(""https://docs.google.com/spreadsheets/d/1TIioSZ1nkrNo7fXNL_Pl8Yn36hHqDPS8O9jJQOqTQgg"", ""Finance Nightly Processing 2019!W48:W48"")"),0.254224537037037)</f>
        <v>0.254224537</v>
      </c>
      <c r="J166" s="45">
        <f t="shared" si="2"/>
        <v>486.0833333</v>
      </c>
      <c r="K166" s="46"/>
      <c r="L166" s="46" t="s">
        <v>157</v>
      </c>
    </row>
    <row r="167">
      <c r="A167" s="118">
        <v>43511.0</v>
      </c>
      <c r="B167" s="70" t="s">
        <v>98</v>
      </c>
      <c r="C167" s="43" t="str">
        <f>VLOOKUP(A167,Table!A:B,2,false)</f>
        <v>P6 W4</v>
      </c>
      <c r="D167" s="43" t="str">
        <f>VLOOKUP(A167,Table!A:D,4,false)</f>
        <v>Period 6</v>
      </c>
      <c r="E167" s="70" t="s">
        <v>110</v>
      </c>
      <c r="F167" s="43">
        <v>0.9166666666666666</v>
      </c>
      <c r="G167" s="148">
        <f>IFERROR(__xludf.DUMMYFUNCTION("IMPORTRANGE(""https://docs.google.com/spreadsheets/d/1TIioSZ1nkrNo7fXNL_Pl8Yn36hHqDPS8O9jJQOqTQgg"", ""Finance Nightly Processing 2019!R49:R49"")"),0.09349537037037037)</f>
        <v>0.09349537037</v>
      </c>
      <c r="H167" s="146">
        <f>IFERROR(__xludf.DUMMYFUNCTION("IMPORTRANGE(""https://docs.google.com/spreadsheets/d/1TIioSZ1nkrNo7fXNL_Pl8Yn36hHqDPS8O9jJQOqTQgg"", ""Finance Nightly Processing 2019!S49:S49"")"),0.11233796296296296)</f>
        <v>0.112337963</v>
      </c>
      <c r="I167" s="44">
        <f>IFERROR(__xludf.DUMMYFUNCTION("IMPORTRANGE(""https://docs.google.com/spreadsheets/d/1TIioSZ1nkrNo7fXNL_Pl8Yn36hHqDPS8O9jJQOqTQgg"", ""Finance Nightly Processing 2019!W49:W49"")"),0.24934027777777779)</f>
        <v>0.2493402778</v>
      </c>
      <c r="J167" s="45">
        <f t="shared" si="2"/>
        <v>479.05</v>
      </c>
      <c r="L167" s="46" t="s">
        <v>158</v>
      </c>
    </row>
    <row r="168">
      <c r="A168" s="118">
        <v>43512.0</v>
      </c>
      <c r="B168" s="70" t="s">
        <v>99</v>
      </c>
      <c r="C168" s="43" t="str">
        <f>VLOOKUP(A168,Table!A:B,2,false)</f>
        <v>P6 W4</v>
      </c>
      <c r="D168" s="43" t="str">
        <f>VLOOKUP(A168,Table!A:D,4,false)</f>
        <v>Period 6</v>
      </c>
      <c r="E168" s="70" t="s">
        <v>110</v>
      </c>
      <c r="F168" s="43">
        <v>0.9166666666666666</v>
      </c>
      <c r="G168" s="148">
        <f>IFERROR(__xludf.DUMMYFUNCTION("IMPORTRANGE(""https://docs.google.com/spreadsheets/d/1TIioSZ1nkrNo7fXNL_Pl8Yn36hHqDPS8O9jJQOqTQgg"", ""Finance Nightly Processing 2019!R50:R50"")"),0.14763888888888888)</f>
        <v>0.1476388889</v>
      </c>
      <c r="H168" s="146">
        <f>IFERROR(__xludf.DUMMYFUNCTION("IMPORTRANGE(""https://docs.google.com/spreadsheets/d/1TIioSZ1nkrNo7fXNL_Pl8Yn36hHqDPS8O9jJQOqTQgg"", ""Finance Nightly Processing 2019!S50:S50"")"),0.16650462962962964)</f>
        <v>0.1665046296</v>
      </c>
      <c r="I168" s="44">
        <f>IFERROR(__xludf.DUMMYFUNCTION("IMPORTRANGE(""https://docs.google.com/spreadsheets/d/1TIioSZ1nkrNo7fXNL_Pl8Yn36hHqDPS8O9jJQOqTQgg"", ""Finance Nightly Processing 2019!W50:W50"")"),0.2701851851851852)</f>
        <v>0.2701851852</v>
      </c>
      <c r="J168" s="45">
        <f t="shared" si="2"/>
        <v>509.0666667</v>
      </c>
      <c r="L168" s="46" t="s">
        <v>159</v>
      </c>
      <c r="M168" s="46" t="s">
        <v>289</v>
      </c>
      <c r="N168" s="105" t="s">
        <v>204</v>
      </c>
    </row>
    <row r="169">
      <c r="A169" s="154">
        <v>43513.0</v>
      </c>
      <c r="B169" s="155" t="s">
        <v>100</v>
      </c>
      <c r="C169" s="156" t="str">
        <f>VLOOKUP(A169,Table!A:B,2,false)</f>
        <v>P6 W4</v>
      </c>
      <c r="D169" s="156" t="str">
        <f>VLOOKUP(A169,Table!A:D,4,false)</f>
        <v>Period 6</v>
      </c>
      <c r="E169" s="70" t="s">
        <v>110</v>
      </c>
      <c r="F169" s="156">
        <v>0.9166666666666666</v>
      </c>
      <c r="G169" s="148">
        <f>IFERROR(__xludf.DUMMYFUNCTION("IMPORTRANGE(""https://docs.google.com/spreadsheets/d/1TIioSZ1nkrNo7fXNL_Pl8Yn36hHqDPS8O9jJQOqTQgg"", ""Finance Nightly Processing 2019!R51:R51"")"),0.16944444444444445)</f>
        <v>0.1694444444</v>
      </c>
      <c r="H169" s="146">
        <f>IFERROR(__xludf.DUMMYFUNCTION("IMPORTRANGE(""https://docs.google.com/spreadsheets/d/1TIioSZ1nkrNo7fXNL_Pl8Yn36hHqDPS8O9jJQOqTQgg"", ""Finance Nightly Processing 2019!S51:S51"")"),0.20902777777777778)</f>
        <v>0.2090277778</v>
      </c>
      <c r="I169" s="44">
        <f>IFERROR(__xludf.DUMMYFUNCTION("IMPORTRANGE(""https://docs.google.com/spreadsheets/d/1TIioSZ1nkrNo7fXNL_Pl8Yn36hHqDPS8O9jJQOqTQgg"", ""Finance Nightly Processing 2019!W51:W51"")"),0.275)</f>
        <v>0.275</v>
      </c>
      <c r="J169" s="45">
        <f t="shared" si="2"/>
        <v>516</v>
      </c>
      <c r="L169" s="46" t="s">
        <v>160</v>
      </c>
      <c r="M169" s="72" t="s">
        <v>290</v>
      </c>
      <c r="N169" s="46" t="s">
        <v>146</v>
      </c>
    </row>
    <row r="170">
      <c r="A170" s="118">
        <v>43514.0</v>
      </c>
      <c r="B170" s="70" t="s">
        <v>92</v>
      </c>
      <c r="C170" s="43" t="str">
        <f>VLOOKUP(A170,Table!A:B,2,false)</f>
        <v>P7 W1</v>
      </c>
      <c r="D170" s="43" t="str">
        <f>VLOOKUP(A170,Table!A:D,4,false)</f>
        <v>Period 7</v>
      </c>
      <c r="E170" s="70" t="s">
        <v>93</v>
      </c>
      <c r="F170" s="43">
        <v>0.9166666666666666</v>
      </c>
      <c r="G170" s="148">
        <f>IFERROR(__xludf.DUMMYFUNCTION("IMPORTRANGE(""https://docs.google.com/spreadsheets/d/1TIioSZ1nkrNo7fXNL_Pl8Yn36hHqDPS8O9jJQOqTQgg"", ""Finance Nightly Processing 2019!R52:R52"")"),0.12083333333333333)</f>
        <v>0.1208333333</v>
      </c>
      <c r="H170" s="146">
        <f>IFERROR(__xludf.DUMMYFUNCTION("IMPORTRANGE(""https://docs.google.com/spreadsheets/d/1TIioSZ1nkrNo7fXNL_Pl8Yn36hHqDPS8O9jJQOqTQgg"", ""Finance Nightly Processing 2019!S52:S52"")"),0.16041666666666668)</f>
        <v>0.1604166667</v>
      </c>
      <c r="I170" s="44">
        <f>IFERROR(__xludf.DUMMYFUNCTION("IMPORTRANGE(""https://docs.google.com/spreadsheets/d/1TIioSZ1nkrNo7fXNL_Pl8Yn36hHqDPS8O9jJQOqTQgg"", ""Finance Nightly Processing 2019!W52:W52"")"),0.27847222222222223)</f>
        <v>0.2784722222</v>
      </c>
      <c r="J170" s="45">
        <f t="shared" si="2"/>
        <v>521</v>
      </c>
      <c r="L170" s="46" t="s">
        <v>152</v>
      </c>
      <c r="M170" s="46" t="s">
        <v>291</v>
      </c>
      <c r="N170" s="46" t="s">
        <v>60</v>
      </c>
    </row>
    <row r="171">
      <c r="A171" s="118">
        <v>43515.0</v>
      </c>
      <c r="B171" s="70" t="s">
        <v>94</v>
      </c>
      <c r="C171" s="43" t="str">
        <f>VLOOKUP(A171,Table!A:B,2,false)</f>
        <v>P7 W1</v>
      </c>
      <c r="D171" s="43" t="str">
        <f>VLOOKUP(A171,Table!A:D,4,false)</f>
        <v>Period 7</v>
      </c>
      <c r="E171" s="70" t="s">
        <v>93</v>
      </c>
      <c r="F171" s="43">
        <v>0.9166666666666666</v>
      </c>
      <c r="G171" s="148">
        <f>IFERROR(__xludf.DUMMYFUNCTION("IMPORTRANGE(""https://docs.google.com/spreadsheets/d/1TIioSZ1nkrNo7fXNL_Pl8Yn36hHqDPS8O9jJQOqTQgg"", ""Finance Nightly Processing 2019!R53:R53"")"),0.08680555555555555)</f>
        <v>0.08680555556</v>
      </c>
      <c r="H171" s="146">
        <f>IFERROR(__xludf.DUMMYFUNCTION("IMPORTRANGE(""https://docs.google.com/spreadsheets/d/1TIioSZ1nkrNo7fXNL_Pl8Yn36hHqDPS8O9jJQOqTQgg"", ""Finance Nightly Processing 2019!S53:S53"")"),0.10416666666666667)</f>
        <v>0.1041666667</v>
      </c>
      <c r="I171" s="44">
        <f>IFERROR(__xludf.DUMMYFUNCTION("IMPORTRANGE(""https://docs.google.com/spreadsheets/d/1TIioSZ1nkrNo7fXNL_Pl8Yn36hHqDPS8O9jJQOqTQgg"", ""Finance Nightly Processing 2019!W53:W53"")"),0.24791666666666667)</f>
        <v>0.2479166667</v>
      </c>
      <c r="J171" s="45">
        <f t="shared" si="2"/>
        <v>477</v>
      </c>
      <c r="L171" s="46" t="s">
        <v>154</v>
      </c>
      <c r="M171" s="46" t="s">
        <v>292</v>
      </c>
      <c r="N171" s="46" t="s">
        <v>60</v>
      </c>
    </row>
    <row r="172">
      <c r="A172" s="118">
        <v>43516.0</v>
      </c>
      <c r="B172" s="70" t="s">
        <v>96</v>
      </c>
      <c r="C172" s="43" t="str">
        <f>VLOOKUP(A172,Table!A:B,2,false)</f>
        <v>P7 W1</v>
      </c>
      <c r="D172" s="43" t="str">
        <f>VLOOKUP(A172,Table!A:D,4,false)</f>
        <v>Period 7</v>
      </c>
      <c r="E172" s="70" t="s">
        <v>93</v>
      </c>
      <c r="F172" s="43">
        <v>0.9166666666666666</v>
      </c>
      <c r="G172" s="148">
        <f>IFERROR(__xludf.DUMMYFUNCTION("IMPORTRANGE(""https://docs.google.com/spreadsheets/d/1TIioSZ1nkrNo7fXNL_Pl8Yn36hHqDPS8O9jJQOqTQgg"", ""Finance Nightly Processing 2019!R54:R54"")"),0.10991898148148148)</f>
        <v>0.1099189815</v>
      </c>
      <c r="H172" s="146">
        <f>IFERROR(__xludf.DUMMYFUNCTION("IMPORTRANGE(""https://docs.google.com/spreadsheets/d/1TIioSZ1nkrNo7fXNL_Pl8Yn36hHqDPS8O9jJQOqTQgg"", ""Finance Nightly Processing 2019!S54:S54"")"),0.1487615740740741)</f>
        <v>0.1487615741</v>
      </c>
      <c r="I172" s="44">
        <f>IFERROR(__xludf.DUMMYFUNCTION("IMPORTRANGE(""https://docs.google.com/spreadsheets/d/1TIioSZ1nkrNo7fXNL_Pl8Yn36hHqDPS8O9jJQOqTQgg"", ""Finance Nightly Processing 2019!W54:W54"")"),0.2798611111111111)</f>
        <v>0.2798611111</v>
      </c>
      <c r="J172" s="45">
        <f t="shared" si="2"/>
        <v>523</v>
      </c>
      <c r="L172" s="46" t="s">
        <v>156</v>
      </c>
      <c r="M172" s="72" t="s">
        <v>293</v>
      </c>
      <c r="N172" s="46" t="s">
        <v>56</v>
      </c>
    </row>
    <row r="173">
      <c r="A173" s="118">
        <v>43517.0</v>
      </c>
      <c r="B173" s="70" t="s">
        <v>97</v>
      </c>
      <c r="C173" s="43" t="str">
        <f>VLOOKUP(A173,Table!A:B,2,false)</f>
        <v>P7 W1</v>
      </c>
      <c r="D173" s="43" t="str">
        <f>VLOOKUP(A173,Table!A:D,4,false)</f>
        <v>Period 7</v>
      </c>
      <c r="E173" s="70" t="s">
        <v>93</v>
      </c>
      <c r="F173" s="43">
        <v>0.9166666666666666</v>
      </c>
      <c r="G173" s="148">
        <f>IFERROR(__xludf.DUMMYFUNCTION("IMPORTRANGE(""https://docs.google.com/spreadsheets/d/1TIioSZ1nkrNo7fXNL_Pl8Yn36hHqDPS8O9jJQOqTQgg"", ""Finance Nightly Processing 2019!R55:R55"")"),0.10237268518518519)</f>
        <v>0.1023726852</v>
      </c>
      <c r="H173" s="146">
        <f>IFERROR(__xludf.DUMMYFUNCTION("IMPORTRANGE(""https://docs.google.com/spreadsheets/d/1TIioSZ1nkrNo7fXNL_Pl8Yn36hHqDPS8O9jJQOqTQgg"", ""Finance Nightly Processing 2019!S55:S55"")"),0.1322685185185185)</f>
        <v>0.1322685185</v>
      </c>
      <c r="I173" s="44">
        <f>IFERROR(__xludf.DUMMYFUNCTION("IMPORTRANGE(""https://docs.google.com/spreadsheets/d/1TIioSZ1nkrNo7fXNL_Pl8Yn36hHqDPS8O9jJQOqTQgg"", ""Finance Nightly Processing 2019!W55:W55"")"),0.3875)</f>
        <v>0.3875</v>
      </c>
      <c r="J173" s="45">
        <f t="shared" si="2"/>
        <v>678</v>
      </c>
      <c r="L173" s="46" t="s">
        <v>157</v>
      </c>
      <c r="M173" s="46" t="s">
        <v>294</v>
      </c>
      <c r="N173" s="46" t="s">
        <v>198</v>
      </c>
    </row>
    <row r="174">
      <c r="A174" s="118">
        <v>43518.0</v>
      </c>
      <c r="B174" s="70" t="s">
        <v>98</v>
      </c>
      <c r="C174" s="43" t="str">
        <f>VLOOKUP(A174,Table!A:B,2,false)</f>
        <v>P7 W1</v>
      </c>
      <c r="D174" s="43" t="str">
        <f>VLOOKUP(A174,Table!A:D,4,false)</f>
        <v>Period 7</v>
      </c>
      <c r="E174" s="70" t="s">
        <v>93</v>
      </c>
      <c r="F174" s="43">
        <v>0.9166666666666666</v>
      </c>
      <c r="G174" s="148">
        <f>IFERROR(__xludf.DUMMYFUNCTION("IMPORTRANGE(""https://docs.google.com/spreadsheets/d/1TIioSZ1nkrNo7fXNL_Pl8Yn36hHqDPS8O9jJQOqTQgg"", ""Finance Nightly Processing 2019!R56:R56"")"),0.0882175925925926)</f>
        <v>0.08821759259</v>
      </c>
      <c r="H174" s="146">
        <f>IFERROR(__xludf.DUMMYFUNCTION("IMPORTRANGE(""https://docs.google.com/spreadsheets/d/1TIioSZ1nkrNo7fXNL_Pl8Yn36hHqDPS8O9jJQOqTQgg"", ""Finance Nightly Processing 2019!S56:S56"")"),0.13071759259259258)</f>
        <v>0.1307175926</v>
      </c>
      <c r="I174" s="44">
        <f>IFERROR(__xludf.DUMMYFUNCTION("IMPORTRANGE(""https://docs.google.com/spreadsheets/d/1TIioSZ1nkrNo7fXNL_Pl8Yn36hHqDPS8O9jJQOqTQgg"", ""Finance Nightly Processing 2019!W56:W56"")"),0.23726851851851852)</f>
        <v>0.2372685185</v>
      </c>
      <c r="J174" s="45">
        <f t="shared" si="2"/>
        <v>461.6666667</v>
      </c>
      <c r="L174" s="46" t="s">
        <v>158</v>
      </c>
    </row>
    <row r="175">
      <c r="A175" s="118">
        <v>43519.0</v>
      </c>
      <c r="B175" s="70" t="s">
        <v>99</v>
      </c>
      <c r="C175" s="43" t="str">
        <f>VLOOKUP(A175,Table!A:B,2,false)</f>
        <v>P7 W1</v>
      </c>
      <c r="D175" s="43" t="str">
        <f>VLOOKUP(A175,Table!A:D,4,false)</f>
        <v>Period 7</v>
      </c>
      <c r="E175" s="70" t="s">
        <v>93</v>
      </c>
      <c r="F175" s="43">
        <v>0.9166666666666666</v>
      </c>
      <c r="G175" s="148">
        <f>IFERROR(__xludf.DUMMYFUNCTION("IMPORTRANGE(""https://docs.google.com/spreadsheets/d/1TIioSZ1nkrNo7fXNL_Pl8Yn36hHqDPS8O9jJQOqTQgg"", ""Finance Nightly Processing 2019!R57:R57"")"),0.1090625)</f>
        <v>0.1090625</v>
      </c>
      <c r="H175" s="146">
        <f>IFERROR(__xludf.DUMMYFUNCTION("IMPORTRANGE(""https://docs.google.com/spreadsheets/d/1TIioSZ1nkrNo7fXNL_Pl8Yn36hHqDPS8O9jJQOqTQgg"", ""Finance Nightly Processing 2019!S57:S57"")"),0.21975694444444444)</f>
        <v>0.2197569444</v>
      </c>
      <c r="I175" s="44">
        <f>IFERROR(__xludf.DUMMYFUNCTION("IMPORTRANGE(""https://docs.google.com/spreadsheets/d/1TIioSZ1nkrNo7fXNL_Pl8Yn36hHqDPS8O9jJQOqTQgg"", ""Finance Nightly Processing 2019!W57:W57"")"),0.3104166666666667)</f>
        <v>0.3104166667</v>
      </c>
      <c r="J175" s="45">
        <f t="shared" si="2"/>
        <v>567</v>
      </c>
      <c r="L175" s="46" t="s">
        <v>159</v>
      </c>
      <c r="M175" s="46" t="s">
        <v>212</v>
      </c>
      <c r="N175" s="46" t="s">
        <v>212</v>
      </c>
    </row>
    <row r="176">
      <c r="A176" s="118">
        <v>43520.0</v>
      </c>
      <c r="B176" s="70" t="s">
        <v>100</v>
      </c>
      <c r="C176" s="43" t="str">
        <f>VLOOKUP(A176,Table!A:B,2,false)</f>
        <v>P7 W1</v>
      </c>
      <c r="D176" s="43" t="str">
        <f>VLOOKUP(A176,Table!A:D,4,false)</f>
        <v>Period 7</v>
      </c>
      <c r="E176" s="70" t="s">
        <v>93</v>
      </c>
      <c r="F176" s="43">
        <v>0.9166666666666666</v>
      </c>
      <c r="G176" s="148">
        <f>IFERROR(__xludf.DUMMYFUNCTION("IMPORTRANGE(""https://docs.google.com/spreadsheets/d/1TIioSZ1nkrNo7fXNL_Pl8Yn36hHqDPS8O9jJQOqTQgg"", ""Finance Nightly Processing 2019!R58:R58"")"),0.1326388888888889)</f>
        <v>0.1326388889</v>
      </c>
      <c r="H176" s="146">
        <f>IFERROR(__xludf.DUMMYFUNCTION("IMPORTRANGE(""https://docs.google.com/spreadsheets/d/1TIioSZ1nkrNo7fXNL_Pl8Yn36hHqDPS8O9jJQOqTQgg"", ""Finance Nightly Processing 2019!S58:S58"")"),0.14583333333333334)</f>
        <v>0.1458333333</v>
      </c>
      <c r="I176" s="44">
        <f>IFERROR(__xludf.DUMMYFUNCTION("IMPORTRANGE(""https://docs.google.com/spreadsheets/d/1TIioSZ1nkrNo7fXNL_Pl8Yn36hHqDPS8O9jJQOqTQgg"", ""Finance Nightly Processing 2019!W58:W58"")"),0.24930555555555556)</f>
        <v>0.2493055556</v>
      </c>
      <c r="J176" s="45">
        <f t="shared" si="2"/>
        <v>479</v>
      </c>
      <c r="L176" s="46" t="s">
        <v>160</v>
      </c>
    </row>
    <row r="177">
      <c r="A177" s="118">
        <v>43521.0</v>
      </c>
      <c r="B177" s="70" t="s">
        <v>92</v>
      </c>
      <c r="C177" s="43" t="str">
        <f>VLOOKUP(A177,Table!A:B,2,false)</f>
        <v>P7 W2</v>
      </c>
      <c r="D177" s="43" t="str">
        <f>VLOOKUP(A177,Table!A:D,4,false)</f>
        <v>Period 7</v>
      </c>
      <c r="E177" s="70" t="s">
        <v>101</v>
      </c>
      <c r="F177" s="43">
        <v>0.9166666666666666</v>
      </c>
      <c r="G177" s="148">
        <f>IFERROR(__xludf.DUMMYFUNCTION("IMPORTRANGE(""https://docs.google.com/spreadsheets/d/1TIioSZ1nkrNo7fXNL_Pl8Yn36hHqDPS8O9jJQOqTQgg"", ""Finance Nightly Processing 2019!R59:R59"")"),0.13125)</f>
        <v>0.13125</v>
      </c>
      <c r="H177" s="146">
        <f>IFERROR(__xludf.DUMMYFUNCTION("IMPORTRANGE(""https://docs.google.com/spreadsheets/d/1TIioSZ1nkrNo7fXNL_Pl8Yn36hHqDPS8O9jJQOqTQgg"", ""Finance Nightly Processing 2019!S59:S59"")"),0.15347222222222223)</f>
        <v>0.1534722222</v>
      </c>
      <c r="I177" s="44">
        <f>IFERROR(__xludf.DUMMYFUNCTION("IMPORTRANGE(""https://docs.google.com/spreadsheets/d/1TIioSZ1nkrNo7fXNL_Pl8Yn36hHqDPS8O9jJQOqTQgg"", ""Finance Nightly Processing 2019!W59:W59"")"),0.24375)</f>
        <v>0.24375</v>
      </c>
      <c r="J177" s="45">
        <f t="shared" si="2"/>
        <v>471</v>
      </c>
      <c r="L177" s="46" t="s">
        <v>152</v>
      </c>
    </row>
    <row r="178">
      <c r="A178" s="118">
        <v>43522.0</v>
      </c>
      <c r="B178" s="70" t="s">
        <v>94</v>
      </c>
      <c r="C178" s="43" t="str">
        <f>VLOOKUP(A178,Table!A:B,2,false)</f>
        <v>P7 W2</v>
      </c>
      <c r="D178" s="43" t="str">
        <f>VLOOKUP(A178,Table!A:D,4,false)</f>
        <v>Period 7</v>
      </c>
      <c r="E178" s="70" t="s">
        <v>101</v>
      </c>
      <c r="F178" s="43">
        <v>0.9166666666666666</v>
      </c>
      <c r="G178" s="148">
        <f>IFERROR(__xludf.DUMMYFUNCTION("IMPORTRANGE(""https://docs.google.com/spreadsheets/d/1TIioSZ1nkrNo7fXNL_Pl8Yn36hHqDPS8O9jJQOqTQgg"", ""Finance Nightly Processing 2019!R60:R60"")"),0.08402777777777778)</f>
        <v>0.08402777778</v>
      </c>
      <c r="H178" s="146">
        <f>IFERROR(__xludf.DUMMYFUNCTION("IMPORTRANGE(""https://docs.google.com/spreadsheets/d/1TIioSZ1nkrNo7fXNL_Pl8Yn36hHqDPS8O9jJQOqTQgg"", ""Finance Nightly Processing 2019!S60:S60"")"),0.10347222222222222)</f>
        <v>0.1034722222</v>
      </c>
      <c r="I178" s="44">
        <f>IFERROR(__xludf.DUMMYFUNCTION("IMPORTRANGE(""https://docs.google.com/spreadsheets/d/1TIioSZ1nkrNo7fXNL_Pl8Yn36hHqDPS8O9jJQOqTQgg"", ""Finance Nightly Processing 2019!W60:W60"")"),0.24513888888888888)</f>
        <v>0.2451388889</v>
      </c>
      <c r="J178" s="45">
        <f t="shared" si="2"/>
        <v>473</v>
      </c>
      <c r="L178" s="46" t="s">
        <v>154</v>
      </c>
    </row>
    <row r="179">
      <c r="A179" s="118">
        <v>43523.0</v>
      </c>
      <c r="B179" s="70" t="s">
        <v>96</v>
      </c>
      <c r="C179" s="43" t="str">
        <f>VLOOKUP(A179,Table!A:B,2,false)</f>
        <v>P7 W2</v>
      </c>
      <c r="D179" s="43" t="str">
        <f>VLOOKUP(A179,Table!A:D,4,false)</f>
        <v>Period 7</v>
      </c>
      <c r="E179" s="70" t="s">
        <v>101</v>
      </c>
      <c r="F179" s="43">
        <v>0.9166666666666666</v>
      </c>
      <c r="G179" s="148">
        <f>IFERROR(__xludf.DUMMYFUNCTION("IMPORTRANGE(""https://docs.google.com/spreadsheets/d/1TIioSZ1nkrNo7fXNL_Pl8Yn36hHqDPS8O9jJQOqTQgg"", ""Finance Nightly Processing 2019!R61:R61"")"),0.12916666666666668)</f>
        <v>0.1291666667</v>
      </c>
      <c r="H179" s="146">
        <f>IFERROR(__xludf.DUMMYFUNCTION("IMPORTRANGE(""https://docs.google.com/spreadsheets/d/1TIioSZ1nkrNo7fXNL_Pl8Yn36hHqDPS8O9jJQOqTQgg"", ""Finance Nightly Processing 2019!S61:S61"")"),0.16458333333333333)</f>
        <v>0.1645833333</v>
      </c>
      <c r="I179" s="44">
        <f>IFERROR(__xludf.DUMMYFUNCTION("IMPORTRANGE(""https://docs.google.com/spreadsheets/d/1TIioSZ1nkrNo7fXNL_Pl8Yn36hHqDPS8O9jJQOqTQgg"", ""Finance Nightly Processing 2019!W61:W61"")"),0.3458333333333333)</f>
        <v>0.3458333333</v>
      </c>
      <c r="J179" s="45">
        <f t="shared" si="2"/>
        <v>618</v>
      </c>
      <c r="L179" s="46" t="s">
        <v>156</v>
      </c>
      <c r="N179" s="46" t="s">
        <v>197</v>
      </c>
    </row>
    <row r="180">
      <c r="A180" s="118">
        <v>43524.0</v>
      </c>
      <c r="B180" s="70" t="s">
        <v>97</v>
      </c>
      <c r="C180" s="43" t="str">
        <f>VLOOKUP(A180,Table!A:B,2,false)</f>
        <v>P7 W2</v>
      </c>
      <c r="D180" s="43" t="str">
        <f>VLOOKUP(A180,Table!A:D,4,false)</f>
        <v>Period 7</v>
      </c>
      <c r="E180" s="70" t="s">
        <v>101</v>
      </c>
      <c r="F180" s="43">
        <v>0.9166666666666666</v>
      </c>
      <c r="G180" s="148">
        <f>IFERROR(__xludf.DUMMYFUNCTION("IMPORTRANGE(""https://docs.google.com/spreadsheets/d/1TIioSZ1nkrNo7fXNL_Pl8Yn36hHqDPS8O9jJQOqTQgg"", ""Finance Nightly Processing 2019!R62:R62"")"),0.08751157407407407)</f>
        <v>0.08751157407</v>
      </c>
      <c r="H180" s="146">
        <f>IFERROR(__xludf.DUMMYFUNCTION("IMPORTRANGE(""https://docs.google.com/spreadsheets/d/1TIioSZ1nkrNo7fXNL_Pl8Yn36hHqDPS8O9jJQOqTQgg"", ""Finance Nightly Processing 2019!S62:S62"")"),0.16739583333333333)</f>
        <v>0.1673958333</v>
      </c>
      <c r="I180" s="44">
        <f>IFERROR(__xludf.DUMMYFUNCTION("IMPORTRANGE(""https://docs.google.com/spreadsheets/d/1TIioSZ1nkrNo7fXNL_Pl8Yn36hHqDPS8O9jJQOqTQgg"", ""Finance Nightly Processing 2019!W62:W62"")"),0.2114814814814815)</f>
        <v>0.2114814815</v>
      </c>
      <c r="J180" s="45">
        <f t="shared" si="2"/>
        <v>424.5333333</v>
      </c>
      <c r="L180" s="46" t="s">
        <v>157</v>
      </c>
    </row>
    <row r="181">
      <c r="A181" s="118">
        <v>43525.0</v>
      </c>
      <c r="B181" s="70" t="s">
        <v>98</v>
      </c>
      <c r="C181" s="43" t="str">
        <f>VLOOKUP(A181,Table!A:B,2,false)</f>
        <v>P7 W2</v>
      </c>
      <c r="D181" s="43" t="str">
        <f>VLOOKUP(A181,Table!A:D,4,false)</f>
        <v>Period 7</v>
      </c>
      <c r="E181" s="70" t="s">
        <v>101</v>
      </c>
      <c r="F181" s="43">
        <v>0.9166666666666666</v>
      </c>
      <c r="G181" s="148">
        <f>IFERROR(__xludf.DUMMYFUNCTION("IMPORTRANGE(""https://docs.google.com/spreadsheets/d/1TIioSZ1nkrNo7fXNL_Pl8Yn36hHqDPS8O9jJQOqTQgg"", ""Finance Nightly Processing 2019!R63:R63"")"),0.10347222222222222)</f>
        <v>0.1034722222</v>
      </c>
      <c r="H181" s="146">
        <f>IFERROR(__xludf.DUMMYFUNCTION("IMPORTRANGE(""https://docs.google.com/spreadsheets/d/1TIioSZ1nkrNo7fXNL_Pl8Yn36hHqDPS8O9jJQOqTQgg"", ""Finance Nightly Processing 2019!S63:S63"")"),0.12222222222222222)</f>
        <v>0.1222222222</v>
      </c>
      <c r="I181" s="44">
        <f>IFERROR(__xludf.DUMMYFUNCTION("IMPORTRANGE(""https://docs.google.com/spreadsheets/d/1TIioSZ1nkrNo7fXNL_Pl8Yn36hHqDPS8O9jJQOqTQgg"", ""Finance Nightly Processing 2019!W63:W63"")"),0.21458333333333332)</f>
        <v>0.2145833333</v>
      </c>
      <c r="J181" s="45">
        <f t="shared" si="2"/>
        <v>429</v>
      </c>
      <c r="L181" s="46" t="s">
        <v>158</v>
      </c>
    </row>
    <row r="182">
      <c r="A182" s="118">
        <v>43526.0</v>
      </c>
      <c r="B182" s="70" t="s">
        <v>99</v>
      </c>
      <c r="C182" s="43" t="str">
        <f>VLOOKUP(A182,Table!A:B,2,false)</f>
        <v>P7 W2</v>
      </c>
      <c r="D182" s="43" t="str">
        <f>VLOOKUP(A182,Table!A:D,4,false)</f>
        <v>Period 7</v>
      </c>
      <c r="E182" s="70" t="s">
        <v>101</v>
      </c>
      <c r="F182" s="43">
        <v>0.9166666666666666</v>
      </c>
      <c r="G182" s="148">
        <f>IFERROR(__xludf.DUMMYFUNCTION("IMPORTRANGE(""https://docs.google.com/spreadsheets/d/1TIioSZ1nkrNo7fXNL_Pl8Yn36hHqDPS8O9jJQOqTQgg"", ""Finance Nightly Processing 2019!R64:R64"")"),0.11875)</f>
        <v>0.11875</v>
      </c>
      <c r="H182" s="146">
        <f>IFERROR(__xludf.DUMMYFUNCTION("IMPORTRANGE(""https://docs.google.com/spreadsheets/d/1TIioSZ1nkrNo7fXNL_Pl8Yn36hHqDPS8O9jJQOqTQgg"", ""Finance Nightly Processing 2019!S64:S64"")"),0.13541666666666666)</f>
        <v>0.1354166667</v>
      </c>
      <c r="I182" s="44">
        <f>IFERROR(__xludf.DUMMYFUNCTION("IMPORTRANGE(""https://docs.google.com/spreadsheets/d/1TIioSZ1nkrNo7fXNL_Pl8Yn36hHqDPS8O9jJQOqTQgg"", ""Finance Nightly Processing 2019!W64:W64"")"),0.21736111111111112)</f>
        <v>0.2173611111</v>
      </c>
      <c r="J182" s="45">
        <f t="shared" si="2"/>
        <v>433</v>
      </c>
      <c r="L182" s="46" t="s">
        <v>159</v>
      </c>
    </row>
    <row r="183">
      <c r="A183" s="118">
        <v>43527.0</v>
      </c>
      <c r="B183" s="70" t="s">
        <v>100</v>
      </c>
      <c r="C183" s="43" t="str">
        <f>VLOOKUP(A183,Table!A:B,2,false)</f>
        <v>P7 W2</v>
      </c>
      <c r="D183" s="43" t="str">
        <f>VLOOKUP(A183,Table!A:D,4,false)</f>
        <v>Period 7</v>
      </c>
      <c r="E183" s="70" t="s">
        <v>101</v>
      </c>
      <c r="F183" s="43">
        <v>0.9166666666666666</v>
      </c>
      <c r="G183" s="148">
        <f>IFERROR(__xludf.DUMMYFUNCTION("IMPORTRANGE(""https://docs.google.com/spreadsheets/d/1TIioSZ1nkrNo7fXNL_Pl8Yn36hHqDPS8O9jJQOqTQgg"", ""Finance Nightly Processing 2019!R65:R65"")"),0.1375)</f>
        <v>0.1375</v>
      </c>
      <c r="H183" s="146">
        <f>IFERROR(__xludf.DUMMYFUNCTION("IMPORTRANGE(""https://docs.google.com/spreadsheets/d/1TIioSZ1nkrNo7fXNL_Pl8Yn36hHqDPS8O9jJQOqTQgg"", ""Finance Nightly Processing 2019!S65:S65"")"),0.16111111111111112)</f>
        <v>0.1611111111</v>
      </c>
      <c r="I183" s="44">
        <f>IFERROR(__xludf.DUMMYFUNCTION("IMPORTRANGE(""https://docs.google.com/spreadsheets/d/1TIioSZ1nkrNo7fXNL_Pl8Yn36hHqDPS8O9jJQOqTQgg"", ""Finance Nightly Processing 2019!W65:W65"")"),0.23472222222222222)</f>
        <v>0.2347222222</v>
      </c>
      <c r="J183" s="45">
        <f t="shared" si="2"/>
        <v>458</v>
      </c>
      <c r="L183" s="46" t="s">
        <v>160</v>
      </c>
    </row>
    <row r="184">
      <c r="A184" s="118">
        <v>43528.0</v>
      </c>
      <c r="B184" s="70" t="s">
        <v>92</v>
      </c>
      <c r="C184" s="43" t="str">
        <f>VLOOKUP(A184,Table!A:B,2,false)</f>
        <v>P7 W3</v>
      </c>
      <c r="D184" s="43" t="str">
        <f>VLOOKUP(A184,Table!A:D,4,false)</f>
        <v>Period 7</v>
      </c>
      <c r="E184" s="70" t="s">
        <v>106</v>
      </c>
      <c r="F184" s="43">
        <v>0.9166666666666666</v>
      </c>
      <c r="G184" s="148">
        <f>IFERROR(__xludf.DUMMYFUNCTION("IMPORTRANGE(""https://docs.google.com/spreadsheets/d/1TIioSZ1nkrNo7fXNL_Pl8Yn36hHqDPS8O9jJQOqTQgg"", ""Finance Nightly Processing 2019!R66:R66"")"),0.08541666666666667)</f>
        <v>0.08541666667</v>
      </c>
      <c r="H184" s="146">
        <f>IFERROR(__xludf.DUMMYFUNCTION("IMPORTRANGE(""https://docs.google.com/spreadsheets/d/1TIioSZ1nkrNo7fXNL_Pl8Yn36hHqDPS8O9jJQOqTQgg"", ""Finance Nightly Processing 2019!S66:S66"")"),0.11180555555555556)</f>
        <v>0.1118055556</v>
      </c>
      <c r="I184" s="44">
        <f>IFERROR(__xludf.DUMMYFUNCTION("IMPORTRANGE(""https://docs.google.com/spreadsheets/d/1TIioSZ1nkrNo7fXNL_Pl8Yn36hHqDPS8O9jJQOqTQgg"", ""Finance Nightly Processing 2019!W66:W66"")"),0.2361111111111111)</f>
        <v>0.2361111111</v>
      </c>
      <c r="J184" s="45">
        <f t="shared" si="2"/>
        <v>460</v>
      </c>
      <c r="L184" s="46" t="s">
        <v>152</v>
      </c>
    </row>
    <row r="185">
      <c r="A185" s="118">
        <v>43529.0</v>
      </c>
      <c r="B185" s="70" t="s">
        <v>94</v>
      </c>
      <c r="C185" s="43" t="str">
        <f>VLOOKUP(A185,Table!A:B,2,false)</f>
        <v>P7 W3</v>
      </c>
      <c r="D185" s="43" t="str">
        <f>VLOOKUP(A185,Table!A:D,4,false)</f>
        <v>Period 7</v>
      </c>
      <c r="E185" s="70" t="s">
        <v>106</v>
      </c>
      <c r="F185" s="43">
        <v>0.9166666666666666</v>
      </c>
      <c r="G185" s="148">
        <f>IFERROR(__xludf.DUMMYFUNCTION("IMPORTRANGE(""https://docs.google.com/spreadsheets/d/1TIioSZ1nkrNo7fXNL_Pl8Yn36hHqDPS8O9jJQOqTQgg"", ""Finance Nightly Processing 2019!R67:R67"")"),0.09583333333333334)</f>
        <v>0.09583333333</v>
      </c>
      <c r="H185" s="146">
        <f>IFERROR(__xludf.DUMMYFUNCTION("IMPORTRANGE(""https://docs.google.com/spreadsheets/d/1TIioSZ1nkrNo7fXNL_Pl8Yn36hHqDPS8O9jJQOqTQgg"", ""Finance Nightly Processing 2019!S67:S67"")"),0.11458333333333333)</f>
        <v>0.1145833333</v>
      </c>
      <c r="I185" s="44">
        <f>IFERROR(__xludf.DUMMYFUNCTION("IMPORTRANGE(""https://docs.google.com/spreadsheets/d/1TIioSZ1nkrNo7fXNL_Pl8Yn36hHqDPS8O9jJQOqTQgg"", ""Finance Nightly Processing 2019!W67:W67"")"),0.21805555555555556)</f>
        <v>0.2180555556</v>
      </c>
      <c r="J185" s="45">
        <f t="shared" si="2"/>
        <v>434</v>
      </c>
      <c r="L185" s="46" t="s">
        <v>154</v>
      </c>
    </row>
    <row r="186">
      <c r="A186" s="118">
        <v>43530.0</v>
      </c>
      <c r="B186" s="70" t="s">
        <v>96</v>
      </c>
      <c r="C186" s="43" t="str">
        <f>VLOOKUP(A186,Table!A:B,2,false)</f>
        <v>P7 W3</v>
      </c>
      <c r="D186" s="43" t="str">
        <f>VLOOKUP(A186,Table!A:D,4,false)</f>
        <v>Period 7</v>
      </c>
      <c r="E186" s="70" t="s">
        <v>106</v>
      </c>
      <c r="F186" s="43">
        <v>0.9166666666666666</v>
      </c>
      <c r="G186" s="148">
        <f>IFERROR(__xludf.DUMMYFUNCTION("IMPORTRANGE(""https://docs.google.com/spreadsheets/d/1TIioSZ1nkrNo7fXNL_Pl8Yn36hHqDPS8O9jJQOqTQgg"", ""Finance Nightly Processing 2019!R68:R68"")"),0.09097222222222222)</f>
        <v>0.09097222222</v>
      </c>
      <c r="H186" s="146">
        <f>IFERROR(__xludf.DUMMYFUNCTION("IMPORTRANGE(""https://docs.google.com/spreadsheets/d/1TIioSZ1nkrNo7fXNL_Pl8Yn36hHqDPS8O9jJQOqTQgg"", ""Finance Nightly Processing 2019!S68:S68"")"),0.12291666666666666)</f>
        <v>0.1229166667</v>
      </c>
      <c r="I186" s="44">
        <f>IFERROR(__xludf.DUMMYFUNCTION("IMPORTRANGE(""https://docs.google.com/spreadsheets/d/1TIioSZ1nkrNo7fXNL_Pl8Yn36hHqDPS8O9jJQOqTQgg"", ""Finance Nightly Processing 2019!W68:W68"")"),0.205625)</f>
        <v>0.205625</v>
      </c>
      <c r="J186" s="45">
        <f t="shared" si="2"/>
        <v>416.1</v>
      </c>
      <c r="L186" s="46" t="s">
        <v>156</v>
      </c>
    </row>
    <row r="187">
      <c r="A187" s="118">
        <v>43531.0</v>
      </c>
      <c r="B187" s="70" t="s">
        <v>97</v>
      </c>
      <c r="C187" s="43" t="str">
        <f>VLOOKUP(A187,Table!A:B,2,false)</f>
        <v>P7 W3</v>
      </c>
      <c r="D187" s="43" t="str">
        <f>VLOOKUP(A187,Table!A:D,4,false)</f>
        <v>Period 7</v>
      </c>
      <c r="E187" s="70" t="s">
        <v>106</v>
      </c>
      <c r="F187" s="43">
        <v>0.9166666666666666</v>
      </c>
      <c r="G187" s="148">
        <f>IFERROR(__xludf.DUMMYFUNCTION("IMPORTRANGE(""https://docs.google.com/spreadsheets/d/1TIioSZ1nkrNo7fXNL_Pl8Yn36hHqDPS8O9jJQOqTQgg"", ""Finance Nightly Processing 2019!R69:R69"")"),0.08591435185185185)</f>
        <v>0.08591435185</v>
      </c>
      <c r="H187" s="146">
        <f>IFERROR(__xludf.DUMMYFUNCTION("IMPORTRANGE(""https://docs.google.com/spreadsheets/d/1TIioSZ1nkrNo7fXNL_Pl8Yn36hHqDPS8O9jJQOqTQgg"", ""Finance Nightly Processing 2019!S69:S69"")"),0.1297685185185185)</f>
        <v>0.1297685185</v>
      </c>
      <c r="I187" s="44">
        <f>IFERROR(__xludf.DUMMYFUNCTION("IMPORTRANGE(""https://docs.google.com/spreadsheets/d/1TIioSZ1nkrNo7fXNL_Pl8Yn36hHqDPS8O9jJQOqTQgg"", ""Finance Nightly Processing 2019!W69:W69"")"),0.21693287037037037)</f>
        <v>0.2169328704</v>
      </c>
      <c r="J187" s="45">
        <f t="shared" si="2"/>
        <v>432.3833333</v>
      </c>
      <c r="L187" s="46" t="s">
        <v>157</v>
      </c>
    </row>
    <row r="188">
      <c r="A188" s="118">
        <v>43532.0</v>
      </c>
      <c r="B188" s="70" t="s">
        <v>98</v>
      </c>
      <c r="C188" s="43" t="str">
        <f>VLOOKUP(A188,Table!A:B,2,false)</f>
        <v>P7 W3</v>
      </c>
      <c r="D188" s="43" t="str">
        <f>VLOOKUP(A188,Table!A:D,4,false)</f>
        <v>Period 7</v>
      </c>
      <c r="E188" s="70" t="s">
        <v>106</v>
      </c>
      <c r="F188" s="43">
        <v>0.9166666666666666</v>
      </c>
      <c r="G188" s="148">
        <f>IFERROR(__xludf.DUMMYFUNCTION("IMPORTRANGE(""https://docs.google.com/spreadsheets/d/1TIioSZ1nkrNo7fXNL_Pl8Yn36hHqDPS8O9jJQOqTQgg"", ""Finance Nightly Processing 2019!R70:R70"")"),0.09282407407407407)</f>
        <v>0.09282407407</v>
      </c>
      <c r="H188" s="146">
        <f>IFERROR(__xludf.DUMMYFUNCTION("IMPORTRANGE(""https://docs.google.com/spreadsheets/d/1TIioSZ1nkrNo7fXNL_Pl8Yn36hHqDPS8O9jJQOqTQgg"", ""Finance Nightly Processing 2019!S70:S70"")"),0.10962962962962963)</f>
        <v>0.1096296296</v>
      </c>
      <c r="I188" s="44">
        <f>IFERROR(__xludf.DUMMYFUNCTION("IMPORTRANGE(""https://docs.google.com/spreadsheets/d/1TIioSZ1nkrNo7fXNL_Pl8Yn36hHqDPS8O9jJQOqTQgg"", ""Finance Nightly Processing 2019!W70:W70"")"),0.19371527777777778)</f>
        <v>0.1937152778</v>
      </c>
      <c r="J188" s="45">
        <f t="shared" si="2"/>
        <v>398.95</v>
      </c>
      <c r="L188" s="46" t="s">
        <v>158</v>
      </c>
    </row>
    <row r="189">
      <c r="A189" s="118">
        <v>43533.0</v>
      </c>
      <c r="B189" s="70" t="s">
        <v>99</v>
      </c>
      <c r="C189" s="43" t="str">
        <f>VLOOKUP(A189,Table!A:B,2,false)</f>
        <v>P7 W3</v>
      </c>
      <c r="D189" s="43" t="str">
        <f>VLOOKUP(A189,Table!A:D,4,false)</f>
        <v>Period 7</v>
      </c>
      <c r="E189" s="70" t="s">
        <v>106</v>
      </c>
      <c r="F189" s="43">
        <v>0.9166666666666666</v>
      </c>
      <c r="G189" s="148">
        <f>IFERROR(__xludf.DUMMYFUNCTION("IMPORTRANGE(""https://docs.google.com/spreadsheets/d/1TIioSZ1nkrNo7fXNL_Pl8Yn36hHqDPS8O9jJQOqTQgg"", ""Finance Nightly Processing 2019!R71:R71"")"),0.16824074074074075)</f>
        <v>0.1682407407</v>
      </c>
      <c r="H189" s="146">
        <f>IFERROR(__xludf.DUMMYFUNCTION("IMPORTRANGE(""https://docs.google.com/spreadsheets/d/1TIioSZ1nkrNo7fXNL_Pl8Yn36hHqDPS8O9jJQOqTQgg"", ""Finance Nightly Processing 2019!S71:S71"")"),0.1830324074074074)</f>
        <v>0.1830324074</v>
      </c>
      <c r="I189" s="44">
        <f>IFERROR(__xludf.DUMMYFUNCTION("IMPORTRANGE(""https://docs.google.com/spreadsheets/d/1TIioSZ1nkrNo7fXNL_Pl8Yn36hHqDPS8O9jJQOqTQgg"", ""Finance Nightly Processing 2019!W71:W71"")"),0.26037037037037036)</f>
        <v>0.2603703704</v>
      </c>
      <c r="J189" s="45">
        <f t="shared" si="2"/>
        <v>494.9333333</v>
      </c>
      <c r="L189" s="46" t="s">
        <v>159</v>
      </c>
      <c r="M189" s="46" t="s">
        <v>295</v>
      </c>
      <c r="N189" s="46" t="s">
        <v>201</v>
      </c>
    </row>
    <row r="190">
      <c r="A190" s="118">
        <v>43534.0</v>
      </c>
      <c r="B190" s="70" t="s">
        <v>100</v>
      </c>
      <c r="C190" s="43" t="str">
        <f>VLOOKUP(A190,Table!A:B,2,false)</f>
        <v>P7 W3</v>
      </c>
      <c r="D190" s="43" t="str">
        <f>VLOOKUP(A190,Table!A:D,4,false)</f>
        <v>Period 7</v>
      </c>
      <c r="E190" s="70" t="s">
        <v>106</v>
      </c>
      <c r="F190" s="43">
        <v>0.9166666666666666</v>
      </c>
      <c r="G190" s="148">
        <f>IFERROR(__xludf.DUMMYFUNCTION("IMPORTRANGE(""https://docs.google.com/spreadsheets/d/1TIioSZ1nkrNo7fXNL_Pl8Yn36hHqDPS8O9jJQOqTQgg"", ""Finance Nightly Processing 2019!R72:R72"")"),0.13402777777777777)</f>
        <v>0.1340277778</v>
      </c>
      <c r="H190" s="146">
        <f>IFERROR(__xludf.DUMMYFUNCTION("IMPORTRANGE(""https://docs.google.com/spreadsheets/d/1TIioSZ1nkrNo7fXNL_Pl8Yn36hHqDPS8O9jJQOqTQgg"", ""Finance Nightly Processing 2019!S72:S72"")"),0.18680555555555556)</f>
        <v>0.1868055556</v>
      </c>
      <c r="I190" s="44">
        <f>IFERROR(__xludf.DUMMYFUNCTION("IMPORTRANGE(""https://docs.google.com/spreadsheets/d/1TIioSZ1nkrNo7fXNL_Pl8Yn36hHqDPS8O9jJQOqTQgg"", ""Finance Nightly Processing 2019!W72:W72"")"),0.24097222222222223)</f>
        <v>0.2409722222</v>
      </c>
      <c r="J190" s="45">
        <f t="shared" si="2"/>
        <v>467</v>
      </c>
      <c r="L190" s="46" t="s">
        <v>160</v>
      </c>
    </row>
    <row r="191">
      <c r="A191" s="118">
        <v>43535.0</v>
      </c>
      <c r="B191" s="70" t="s">
        <v>92</v>
      </c>
      <c r="C191" s="43" t="str">
        <f>VLOOKUP(A191,Table!A:B,2,false)</f>
        <v>P7 W4</v>
      </c>
      <c r="D191" s="43" t="str">
        <f>VLOOKUP(A191,Table!A:D,4,false)</f>
        <v>Period 7</v>
      </c>
      <c r="E191" s="70" t="s">
        <v>110</v>
      </c>
      <c r="F191" s="43">
        <v>0.9166666666666666</v>
      </c>
      <c r="G191" s="148">
        <f>IFERROR(__xludf.DUMMYFUNCTION("IMPORTRANGE(""https://docs.google.com/spreadsheets/d/1TIioSZ1nkrNo7fXNL_Pl8Yn36hHqDPS8O9jJQOqTQgg"", ""Finance Nightly Processing 2019!R73:R73"")"),0.12361111111111112)</f>
        <v>0.1236111111</v>
      </c>
      <c r="H191" s="146">
        <f>IFERROR(__xludf.DUMMYFUNCTION("IMPORTRANGE(""https://docs.google.com/spreadsheets/d/1TIioSZ1nkrNo7fXNL_Pl8Yn36hHqDPS8O9jJQOqTQgg"", ""Finance Nightly Processing 2019!S73:S73"")"),0.15763888888888888)</f>
        <v>0.1576388889</v>
      </c>
      <c r="I191" s="44">
        <f>IFERROR(__xludf.DUMMYFUNCTION("IMPORTRANGE(""https://docs.google.com/spreadsheets/d/1TIioSZ1nkrNo7fXNL_Pl8Yn36hHqDPS8O9jJQOqTQgg"", ""Finance Nightly Processing 2019!W73:W73"")"),0.23194444444444445)</f>
        <v>0.2319444444</v>
      </c>
      <c r="J191" s="45">
        <f t="shared" si="2"/>
        <v>454</v>
      </c>
      <c r="L191" s="46" t="s">
        <v>152</v>
      </c>
    </row>
    <row r="192">
      <c r="A192" s="118">
        <v>43536.0</v>
      </c>
      <c r="B192" s="70" t="s">
        <v>94</v>
      </c>
      <c r="C192" s="43" t="str">
        <f>VLOOKUP(A192,Table!A:B,2,false)</f>
        <v>P7 W4</v>
      </c>
      <c r="D192" s="43" t="str">
        <f>VLOOKUP(A192,Table!A:D,4,false)</f>
        <v>Period 7</v>
      </c>
      <c r="E192" s="70" t="s">
        <v>110</v>
      </c>
      <c r="F192" s="43">
        <v>0.9166666666666666</v>
      </c>
      <c r="G192" s="148">
        <f>IFERROR(__xludf.DUMMYFUNCTION("IMPORTRANGE(""https://docs.google.com/spreadsheets/d/1TIioSZ1nkrNo7fXNL_Pl8Yn36hHqDPS8O9jJQOqTQgg"", ""Finance Nightly Processing 2019!R74:R74"")"),0.2701388888888889)</f>
        <v>0.2701388889</v>
      </c>
      <c r="H192" s="146">
        <f>IFERROR(__xludf.DUMMYFUNCTION("IMPORTRANGE(""https://docs.google.com/spreadsheets/d/1TIioSZ1nkrNo7fXNL_Pl8Yn36hHqDPS8O9jJQOqTQgg"", ""Finance Nightly Processing 2019!S74:S74"")"),0.3055555555555556)</f>
        <v>0.3055555556</v>
      </c>
      <c r="I192" s="44">
        <f>IFERROR(__xludf.DUMMYFUNCTION("IMPORTRANGE(""https://docs.google.com/spreadsheets/d/1TIioSZ1nkrNo7fXNL_Pl8Yn36hHqDPS8O9jJQOqTQgg"", ""Finance Nightly Processing 2019!W74:W74"")"),0.3770833333333333)</f>
        <v>0.3770833333</v>
      </c>
      <c r="J192" s="45">
        <f t="shared" si="2"/>
        <v>663</v>
      </c>
      <c r="L192" s="46" t="s">
        <v>154</v>
      </c>
      <c r="M192" s="46" t="s">
        <v>296</v>
      </c>
      <c r="N192" s="46" t="s">
        <v>58</v>
      </c>
    </row>
    <row r="193">
      <c r="A193" s="118">
        <v>43537.0</v>
      </c>
      <c r="B193" s="70" t="s">
        <v>96</v>
      </c>
      <c r="C193" s="43" t="str">
        <f>VLOOKUP(A193,Table!A:B,2,false)</f>
        <v>P7 W4</v>
      </c>
      <c r="D193" s="43" t="str">
        <f>VLOOKUP(A193,Table!A:D,4,false)</f>
        <v>Period 7</v>
      </c>
      <c r="E193" s="70" t="s">
        <v>110</v>
      </c>
      <c r="F193" s="43">
        <v>0.9166666666666666</v>
      </c>
      <c r="G193" s="148">
        <f>IFERROR(__xludf.DUMMYFUNCTION("IMPORTRANGE(""https://docs.google.com/spreadsheets/d/1TIioSZ1nkrNo7fXNL_Pl8Yn36hHqDPS8O9jJQOqTQgg"", ""Finance Nightly Processing 2019!R75:R75"")"),0.12569444444444444)</f>
        <v>0.1256944444</v>
      </c>
      <c r="H193" s="146">
        <f>IFERROR(__xludf.DUMMYFUNCTION("IMPORTRANGE(""https://docs.google.com/spreadsheets/d/1TIioSZ1nkrNo7fXNL_Pl8Yn36hHqDPS8O9jJQOqTQgg"", ""Finance Nightly Processing 2019!S75:S75"")"),0.2361111111111111)</f>
        <v>0.2361111111</v>
      </c>
      <c r="I193" s="44">
        <f>IFERROR(__xludf.DUMMYFUNCTION("IMPORTRANGE(""https://docs.google.com/spreadsheets/d/1TIioSZ1nkrNo7fXNL_Pl8Yn36hHqDPS8O9jJQOqTQgg"", ""Finance Nightly Processing 2019!W75:W75"")"),0.3548611111111111)</f>
        <v>0.3548611111</v>
      </c>
      <c r="J193" s="45">
        <f t="shared" si="2"/>
        <v>631</v>
      </c>
      <c r="L193" s="46" t="s">
        <v>156</v>
      </c>
    </row>
    <row r="194">
      <c r="A194" s="118">
        <v>43538.0</v>
      </c>
      <c r="B194" s="70" t="s">
        <v>97</v>
      </c>
      <c r="C194" s="43" t="str">
        <f>VLOOKUP(A194,Table!A:B,2,false)</f>
        <v>P7 W4</v>
      </c>
      <c r="D194" s="43" t="str">
        <f>VLOOKUP(A194,Table!A:D,4,false)</f>
        <v>Period 7</v>
      </c>
      <c r="E194" s="70" t="s">
        <v>110</v>
      </c>
      <c r="F194" s="43">
        <v>0.9166666666666666</v>
      </c>
      <c r="G194" s="148">
        <f>IFERROR(__xludf.DUMMYFUNCTION("IMPORTRANGE(""https://docs.google.com/spreadsheets/d/1TIioSZ1nkrNo7fXNL_Pl8Yn36hHqDPS8O9jJQOqTQgg"", ""Finance Nightly Processing 2019!R76:R76"")"),0.12638888888888888)</f>
        <v>0.1263888889</v>
      </c>
      <c r="H194" s="146">
        <f>IFERROR(__xludf.DUMMYFUNCTION("IMPORTRANGE(""https://docs.google.com/spreadsheets/d/1TIioSZ1nkrNo7fXNL_Pl8Yn36hHqDPS8O9jJQOqTQgg"", ""Finance Nightly Processing 2019!S76:S76"")"),0.21805555555555556)</f>
        <v>0.2180555556</v>
      </c>
      <c r="I194" s="44">
        <f>IFERROR(__xludf.DUMMYFUNCTION("IMPORTRANGE(""https://docs.google.com/spreadsheets/d/1TIioSZ1nkrNo7fXNL_Pl8Yn36hHqDPS8O9jJQOqTQgg"", ""Finance Nightly Processing 2019!W76:W76"")"),0.30694444444444446)</f>
        <v>0.3069444444</v>
      </c>
      <c r="J194" s="45">
        <f t="shared" si="2"/>
        <v>562</v>
      </c>
      <c r="L194" s="46" t="s">
        <v>157</v>
      </c>
    </row>
    <row r="195">
      <c r="A195" s="118">
        <v>43539.0</v>
      </c>
      <c r="B195" s="70" t="s">
        <v>98</v>
      </c>
      <c r="C195" s="43" t="str">
        <f>VLOOKUP(A195,Table!A:B,2,false)</f>
        <v>P7 W4</v>
      </c>
      <c r="D195" s="43" t="str">
        <f>VLOOKUP(A195,Table!A:D,4,false)</f>
        <v>Period 7</v>
      </c>
      <c r="E195" s="70" t="s">
        <v>110</v>
      </c>
      <c r="F195" s="43">
        <v>0.9166666666666666</v>
      </c>
      <c r="G195" s="148">
        <f>IFERROR(__xludf.DUMMYFUNCTION("IMPORTRANGE(""https://docs.google.com/spreadsheets/d/1TIioSZ1nkrNo7fXNL_Pl8Yn36hHqDPS8O9jJQOqTQgg"", ""Finance Nightly Processing 2019!R77:R77"")"),0.11631944444444445)</f>
        <v>0.1163194444</v>
      </c>
      <c r="H195" s="146">
        <f>IFERROR(__xludf.DUMMYFUNCTION("IMPORTRANGE(""https://docs.google.com/spreadsheets/d/1TIioSZ1nkrNo7fXNL_Pl8Yn36hHqDPS8O9jJQOqTQgg"", ""Finance Nightly Processing 2019!S77:S77"")"),0.13734953703703703)</f>
        <v>0.137349537</v>
      </c>
      <c r="I195" s="44">
        <f>IFERROR(__xludf.DUMMYFUNCTION("IMPORTRANGE(""https://docs.google.com/spreadsheets/d/1TIioSZ1nkrNo7fXNL_Pl8Yn36hHqDPS8O9jJQOqTQgg"", ""Finance Nightly Processing 2019!W77:W77"")"),0.22197916666666667)</f>
        <v>0.2219791667</v>
      </c>
      <c r="J195" s="45">
        <f t="shared" si="2"/>
        <v>439.65</v>
      </c>
      <c r="L195" s="46" t="s">
        <v>158</v>
      </c>
    </row>
    <row r="196">
      <c r="A196" s="118">
        <v>43540.0</v>
      </c>
      <c r="B196" s="70" t="s">
        <v>99</v>
      </c>
      <c r="C196" s="43" t="str">
        <f>VLOOKUP(A196,Table!A:B,2,false)</f>
        <v>P7 W4</v>
      </c>
      <c r="D196" s="43" t="str">
        <f>VLOOKUP(A196,Table!A:D,4,false)</f>
        <v>Period 7</v>
      </c>
      <c r="E196" s="70" t="s">
        <v>110</v>
      </c>
      <c r="F196" s="43">
        <v>0.9166666666666666</v>
      </c>
      <c r="G196" s="148">
        <f>IFERROR(__xludf.DUMMYFUNCTION("IMPORTRANGE(""https://docs.google.com/spreadsheets/d/1TIioSZ1nkrNo7fXNL_Pl8Yn36hHqDPS8O9jJQOqTQgg"", ""Finance Nightly Processing 2019!R78:R78"")"),0.14606481481481481)</f>
        <v>0.1460648148</v>
      </c>
      <c r="H196" s="146">
        <f>IFERROR(__xludf.DUMMYFUNCTION("IMPORTRANGE(""https://docs.google.com/spreadsheets/d/1TIioSZ1nkrNo7fXNL_Pl8Yn36hHqDPS8O9jJQOqTQgg"", ""Finance Nightly Processing 2019!S78:S78"")"),0.16501157407407407)</f>
        <v>0.1650115741</v>
      </c>
      <c r="I196" s="44">
        <f>IFERROR(__xludf.DUMMYFUNCTION("IMPORTRANGE(""https://docs.google.com/spreadsheets/d/1TIioSZ1nkrNo7fXNL_Pl8Yn36hHqDPS8O9jJQOqTQgg"", ""Finance Nightly Processing 2019!W78:W78"")"),0.23125)</f>
        <v>0.23125</v>
      </c>
      <c r="J196" s="45">
        <f t="shared" si="2"/>
        <v>453</v>
      </c>
      <c r="L196" s="46" t="s">
        <v>159</v>
      </c>
    </row>
    <row r="197">
      <c r="A197" s="118">
        <v>43541.0</v>
      </c>
      <c r="B197" s="70" t="s">
        <v>100</v>
      </c>
      <c r="C197" s="43" t="str">
        <f>VLOOKUP(A197,Table!A:B,2,false)</f>
        <v>P7 W4</v>
      </c>
      <c r="D197" s="43" t="str">
        <f>VLOOKUP(A197,Table!A:D,4,false)</f>
        <v>Period 7</v>
      </c>
      <c r="E197" s="70" t="s">
        <v>110</v>
      </c>
      <c r="F197" s="43">
        <v>0.9166666666666666</v>
      </c>
      <c r="G197" s="148">
        <f>IFERROR(__xludf.DUMMYFUNCTION("IMPORTRANGE(""https://docs.google.com/spreadsheets/d/1TIioSZ1nkrNo7fXNL_Pl8Yn36hHqDPS8O9jJQOqTQgg"", ""Finance Nightly Processing 2019!R79:R79"")"),0.175)</f>
        <v>0.175</v>
      </c>
      <c r="H197" s="146">
        <f>IFERROR(__xludf.DUMMYFUNCTION("IMPORTRANGE(""https://docs.google.com/spreadsheets/d/1TIioSZ1nkrNo7fXNL_Pl8Yn36hHqDPS8O9jJQOqTQgg"", ""Finance Nightly Processing 2019!S79:S79"")"),0.20208333333333334)</f>
        <v>0.2020833333</v>
      </c>
      <c r="I197" s="44">
        <f>IFERROR(__xludf.DUMMYFUNCTION("IMPORTRANGE(""https://docs.google.com/spreadsheets/d/1TIioSZ1nkrNo7fXNL_Pl8Yn36hHqDPS8O9jJQOqTQgg"", ""Finance Nightly Processing 2019!W79:W79"")"),0.26944444444444443)</f>
        <v>0.2694444444</v>
      </c>
      <c r="J197" s="45">
        <f t="shared" si="2"/>
        <v>508</v>
      </c>
      <c r="L197" s="46" t="s">
        <v>160</v>
      </c>
    </row>
    <row r="198">
      <c r="A198" s="157">
        <v>43542.0</v>
      </c>
      <c r="B198" s="79" t="s">
        <v>92</v>
      </c>
      <c r="C198" s="54" t="str">
        <f>VLOOKUP(A198,Table!A:B,2,false)</f>
        <v>P8 W1</v>
      </c>
      <c r="D198" s="54" t="str">
        <f>VLOOKUP(A198,Table!A:D,4,false)</f>
        <v>Period 8</v>
      </c>
      <c r="E198" s="70" t="s">
        <v>93</v>
      </c>
      <c r="F198" s="54">
        <v>0.9166666666666666</v>
      </c>
      <c r="G198" s="148">
        <f>IFERROR(__xludf.DUMMYFUNCTION("IMPORTRANGE(""https://docs.google.com/spreadsheets/d/1TIioSZ1nkrNo7fXNL_Pl8Yn36hHqDPS8O9jJQOqTQgg"", ""Finance Nightly Processing 2019!R80:R80"")"),0.13125)</f>
        <v>0.13125</v>
      </c>
      <c r="H198" s="146">
        <f>IFERROR(__xludf.DUMMYFUNCTION("IMPORTRANGE(""https://docs.google.com/spreadsheets/d/1TIioSZ1nkrNo7fXNL_Pl8Yn36hHqDPS8O9jJQOqTQgg"", ""Finance Nightly Processing 2019!S80:S80"")"),0.15694444444444444)</f>
        <v>0.1569444444</v>
      </c>
      <c r="I198" s="44">
        <f>IFERROR(__xludf.DUMMYFUNCTION("IMPORTRANGE(""https://docs.google.com/spreadsheets/d/1TIioSZ1nkrNo7fXNL_Pl8Yn36hHqDPS8O9jJQOqTQgg"", ""Finance Nightly Processing 2019!W80:W80"")"),0.22847222222222222)</f>
        <v>0.2284722222</v>
      </c>
      <c r="J198" s="45">
        <f t="shared" si="2"/>
        <v>449</v>
      </c>
      <c r="L198" s="46" t="s">
        <v>152</v>
      </c>
    </row>
    <row r="199">
      <c r="A199" s="118">
        <v>43543.0</v>
      </c>
      <c r="B199" s="70" t="s">
        <v>94</v>
      </c>
      <c r="C199" s="43" t="str">
        <f>VLOOKUP(A199,Table!A:B,2,false)</f>
        <v>P8 W1</v>
      </c>
      <c r="D199" s="43" t="str">
        <f>VLOOKUP(A199,Table!A:D,4,false)</f>
        <v>Period 8</v>
      </c>
      <c r="E199" s="70" t="s">
        <v>93</v>
      </c>
      <c r="F199" s="43">
        <v>0.9166666666666666</v>
      </c>
      <c r="G199" s="148">
        <f>IFERROR(__xludf.DUMMYFUNCTION("IMPORTRANGE(""https://docs.google.com/spreadsheets/d/1TIioSZ1nkrNo7fXNL_Pl8Yn36hHqDPS8O9jJQOqTQgg"", ""Finance Nightly Processing 2019!R81:R81"")"),0.12291666666666666)</f>
        <v>0.1229166667</v>
      </c>
      <c r="H199" s="146">
        <f>IFERROR(__xludf.DUMMYFUNCTION("IMPORTRANGE(""https://docs.google.com/spreadsheets/d/1TIioSZ1nkrNo7fXNL_Pl8Yn36hHqDPS8O9jJQOqTQgg"", ""Finance Nightly Processing 2019!S81:S81"")"),0.14444444444444443)</f>
        <v>0.1444444444</v>
      </c>
      <c r="I199" s="44">
        <f>IFERROR(__xludf.DUMMYFUNCTION("IMPORTRANGE(""https://docs.google.com/spreadsheets/d/1TIioSZ1nkrNo7fXNL_Pl8Yn36hHqDPS8O9jJQOqTQgg"", ""Finance Nightly Processing 2019!W81:W81"")"),0.22708333333333333)</f>
        <v>0.2270833333</v>
      </c>
      <c r="J199" s="45">
        <f t="shared" si="2"/>
        <v>447</v>
      </c>
      <c r="L199" s="46" t="s">
        <v>154</v>
      </c>
    </row>
    <row r="200">
      <c r="A200" s="118">
        <v>43544.0</v>
      </c>
      <c r="B200" s="70" t="s">
        <v>96</v>
      </c>
      <c r="C200" s="43" t="str">
        <f>VLOOKUP(A200,Table!A:B,2,false)</f>
        <v>P8 W1</v>
      </c>
      <c r="D200" s="43" t="str">
        <f>VLOOKUP(A200,Table!A:D,4,false)</f>
        <v>Period 8</v>
      </c>
      <c r="E200" s="70" t="s">
        <v>93</v>
      </c>
      <c r="F200" s="43">
        <v>0.9166666666666666</v>
      </c>
      <c r="G200" s="148">
        <f>IFERROR(__xludf.DUMMYFUNCTION("IMPORTRANGE(""https://docs.google.com/spreadsheets/d/1TIioSZ1nkrNo7fXNL_Pl8Yn36hHqDPS8O9jJQOqTQgg"", ""Finance Nightly Processing 2019!R82:R82"")"),0.125)</f>
        <v>0.125</v>
      </c>
      <c r="H200" s="146">
        <f>IFERROR(__xludf.DUMMYFUNCTION("IMPORTRANGE(""https://docs.google.com/spreadsheets/d/1TIioSZ1nkrNo7fXNL_Pl8Yn36hHqDPS8O9jJQOqTQgg"", ""Finance Nightly Processing 2019!S82:S82"")"),0.16111111111111112)</f>
        <v>0.1611111111</v>
      </c>
      <c r="I200" s="44">
        <f>IFERROR(__xludf.DUMMYFUNCTION("IMPORTRANGE(""https://docs.google.com/spreadsheets/d/1TIioSZ1nkrNo7fXNL_Pl8Yn36hHqDPS8O9jJQOqTQgg"", ""Finance Nightly Processing 2019!W82:W82"")"),0.25440972222222225)</f>
        <v>0.2544097222</v>
      </c>
      <c r="J200" s="45">
        <f t="shared" si="2"/>
        <v>486.35</v>
      </c>
      <c r="L200" s="46" t="s">
        <v>156</v>
      </c>
    </row>
    <row r="201">
      <c r="A201" s="118">
        <v>43545.0</v>
      </c>
      <c r="B201" s="70" t="s">
        <v>97</v>
      </c>
      <c r="C201" s="43" t="str">
        <f>VLOOKUP(A201,Table!A:B,2,false)</f>
        <v>P8 W1</v>
      </c>
      <c r="D201" s="43" t="str">
        <f>VLOOKUP(A201,Table!A:D,4,false)</f>
        <v>Period 8</v>
      </c>
      <c r="E201" s="70" t="s">
        <v>93</v>
      </c>
      <c r="F201" s="43">
        <v>0.9166666666666666</v>
      </c>
      <c r="G201" s="148">
        <f>IFERROR(__xludf.DUMMYFUNCTION("IMPORTRANGE(""https://docs.google.com/spreadsheets/d/1TIioSZ1nkrNo7fXNL_Pl8Yn36hHqDPS8O9jJQOqTQgg"", ""Finance Nightly Processing 2019!R83:R83"")"),0.11193287037037038)</f>
        <v>0.1119328704</v>
      </c>
      <c r="H201" s="146">
        <f>IFERROR(__xludf.DUMMYFUNCTION("IMPORTRANGE(""https://docs.google.com/spreadsheets/d/1TIioSZ1nkrNo7fXNL_Pl8Yn36hHqDPS8O9jJQOqTQgg"", ""Finance Nightly Processing 2019!S83:S83"")"),0.14152777777777778)</f>
        <v>0.1415277778</v>
      </c>
      <c r="I201" s="44">
        <f>IFERROR(__xludf.DUMMYFUNCTION("IMPORTRANGE(""https://docs.google.com/spreadsheets/d/1TIioSZ1nkrNo7fXNL_Pl8Yn36hHqDPS8O9jJQOqTQgg"", ""Finance Nightly Processing 2019!W83:W83"")"),0.2279050925925926)</f>
        <v>0.2279050926</v>
      </c>
      <c r="J201" s="45">
        <f t="shared" si="2"/>
        <v>448.1833333</v>
      </c>
      <c r="L201" s="46" t="s">
        <v>157</v>
      </c>
    </row>
    <row r="202">
      <c r="A202" s="118">
        <v>43546.0</v>
      </c>
      <c r="B202" s="70" t="s">
        <v>98</v>
      </c>
      <c r="C202" s="43" t="str">
        <f>VLOOKUP(A202,Table!A:B,2,false)</f>
        <v>P8 W1</v>
      </c>
      <c r="D202" s="43" t="str">
        <f>VLOOKUP(A202,Table!A:D,4,false)</f>
        <v>Period 8</v>
      </c>
      <c r="E202" s="70" t="s">
        <v>93</v>
      </c>
      <c r="F202" s="43">
        <v>0.9166666666666666</v>
      </c>
      <c r="G202" s="148">
        <f>IFERROR(__xludf.DUMMYFUNCTION("IMPORTRANGE(""https://docs.google.com/spreadsheets/d/1TIioSZ1nkrNo7fXNL_Pl8Yn36hHqDPS8O9jJQOqTQgg"", ""Finance Nightly Processing 2019!R84:R84"")"),0.11125)</f>
        <v>0.11125</v>
      </c>
      <c r="H202" s="146">
        <f>IFERROR(__xludf.DUMMYFUNCTION("IMPORTRANGE(""https://docs.google.com/spreadsheets/d/1TIioSZ1nkrNo7fXNL_Pl8Yn36hHqDPS8O9jJQOqTQgg"", ""Finance Nightly Processing 2019!S84:S84"")"),0.13671296296296295)</f>
        <v>0.136712963</v>
      </c>
      <c r="I202" s="44">
        <f>IFERROR(__xludf.DUMMYFUNCTION("IMPORTRANGE(""https://docs.google.com/spreadsheets/d/1TIioSZ1nkrNo7fXNL_Pl8Yn36hHqDPS8O9jJQOqTQgg"", ""Finance Nightly Processing 2019!W84:W84"")"),0.21528935185185186)</f>
        <v>0.2152893519</v>
      </c>
      <c r="J202" s="45">
        <f t="shared" si="2"/>
        <v>430.0166667</v>
      </c>
      <c r="L202" s="46" t="s">
        <v>158</v>
      </c>
    </row>
    <row r="203">
      <c r="A203" s="118">
        <v>43547.0</v>
      </c>
      <c r="B203" s="70" t="s">
        <v>99</v>
      </c>
      <c r="C203" s="43" t="str">
        <f>VLOOKUP(A203,Table!A:B,2,false)</f>
        <v>P8 W1</v>
      </c>
      <c r="D203" s="43" t="str">
        <f>VLOOKUP(A203,Table!A:D,4,false)</f>
        <v>Period 8</v>
      </c>
      <c r="E203" s="70" t="s">
        <v>93</v>
      </c>
      <c r="F203" s="43">
        <v>0.9166666666666666</v>
      </c>
      <c r="G203" s="148">
        <f>IFERROR(__xludf.DUMMYFUNCTION("IMPORTRANGE(""https://docs.google.com/spreadsheets/d/1TIioSZ1nkrNo7fXNL_Pl8Yn36hHqDPS8O9jJQOqTQgg"", ""Finance Nightly Processing 2019!R85:R85"")"),0.11252314814814815)</f>
        <v>0.1125231481</v>
      </c>
      <c r="H203" s="146">
        <f>IFERROR(__xludf.DUMMYFUNCTION("IMPORTRANGE(""https://docs.google.com/spreadsheets/d/1TIioSZ1nkrNo7fXNL_Pl8Yn36hHqDPS8O9jJQOqTQgg"", ""Finance Nightly Processing 2019!S85:S85"")"),0.12331018518518519)</f>
        <v>0.1233101852</v>
      </c>
      <c r="I203" s="44">
        <f>IFERROR(__xludf.DUMMYFUNCTION("IMPORTRANGE(""https://docs.google.com/spreadsheets/d/1TIioSZ1nkrNo7fXNL_Pl8Yn36hHqDPS8O9jJQOqTQgg"", ""Finance Nightly Processing 2019!W85:W85"")"),0.21180555555555555)</f>
        <v>0.2118055556</v>
      </c>
      <c r="J203" s="45">
        <f t="shared" si="2"/>
        <v>425</v>
      </c>
      <c r="L203" s="46" t="s">
        <v>159</v>
      </c>
    </row>
    <row r="204">
      <c r="A204" s="118">
        <v>43548.0</v>
      </c>
      <c r="B204" s="70" t="s">
        <v>100</v>
      </c>
      <c r="C204" s="43" t="str">
        <f>VLOOKUP(A204,Table!A:B,2,false)</f>
        <v>P8 W1</v>
      </c>
      <c r="D204" s="43" t="str">
        <f>VLOOKUP(A204,Table!A:D,4,false)</f>
        <v>Period 8</v>
      </c>
      <c r="E204" s="70" t="s">
        <v>93</v>
      </c>
      <c r="F204" s="43">
        <v>0.9166666666666666</v>
      </c>
      <c r="G204" s="148">
        <f>IFERROR(__xludf.DUMMYFUNCTION("IMPORTRANGE(""https://docs.google.com/spreadsheets/d/1TIioSZ1nkrNo7fXNL_Pl8Yn36hHqDPS8O9jJQOqTQgg"", ""Finance Nightly Processing 2019!R86:R86"")"),0.13958333333333334)</f>
        <v>0.1395833333</v>
      </c>
      <c r="H204" s="146">
        <f>IFERROR(__xludf.DUMMYFUNCTION("IMPORTRANGE(""https://docs.google.com/spreadsheets/d/1TIioSZ1nkrNo7fXNL_Pl8Yn36hHqDPS8O9jJQOqTQgg"", ""Finance Nightly Processing 2019!S86:S86"")"),0.16319444444444445)</f>
        <v>0.1631944444</v>
      </c>
      <c r="I204" s="44">
        <f>IFERROR(__xludf.DUMMYFUNCTION("IMPORTRANGE(""https://docs.google.com/spreadsheets/d/1TIioSZ1nkrNo7fXNL_Pl8Yn36hHqDPS8O9jJQOqTQgg"", ""Finance Nightly Processing 2019!W86:W86"")"),0.24027777777777778)</f>
        <v>0.2402777778</v>
      </c>
      <c r="J204" s="45">
        <f t="shared" si="2"/>
        <v>466</v>
      </c>
      <c r="L204" s="46" t="s">
        <v>160</v>
      </c>
    </row>
    <row r="205">
      <c r="A205" s="118">
        <v>43549.0</v>
      </c>
      <c r="B205" s="70" t="s">
        <v>92</v>
      </c>
      <c r="C205" s="43" t="str">
        <f>VLOOKUP(A205,Table!A:B,2,false)</f>
        <v>P8 W2</v>
      </c>
      <c r="D205" s="43" t="str">
        <f>VLOOKUP(A205,Table!A:D,4,false)</f>
        <v>Period 8</v>
      </c>
      <c r="E205" s="70" t="s">
        <v>101</v>
      </c>
      <c r="F205" s="43">
        <v>0.9166666666666666</v>
      </c>
      <c r="G205" s="148">
        <f>IFERROR(__xludf.DUMMYFUNCTION("IMPORTRANGE(""https://docs.google.com/spreadsheets/d/1TIioSZ1nkrNo7fXNL_Pl8Yn36hHqDPS8O9jJQOqTQgg"", ""Finance Nightly Processing 2019!R87:R87"")"),0.11319444444444444)</f>
        <v>0.1131944444</v>
      </c>
      <c r="H205" s="146">
        <f>IFERROR(__xludf.DUMMYFUNCTION("IMPORTRANGE(""https://docs.google.com/spreadsheets/d/1TIioSZ1nkrNo7fXNL_Pl8Yn36hHqDPS8O9jJQOqTQgg"", ""Finance Nightly Processing 2019!S87:S87"")"),0.13680555555555557)</f>
        <v>0.1368055556</v>
      </c>
      <c r="I205" s="44">
        <f>IFERROR(__xludf.DUMMYFUNCTION("IMPORTRANGE(""https://docs.google.com/spreadsheets/d/1TIioSZ1nkrNo7fXNL_Pl8Yn36hHqDPS8O9jJQOqTQgg"", ""Finance Nightly Processing 2019!W87:W87"")"),0.225)</f>
        <v>0.225</v>
      </c>
      <c r="J205" s="45">
        <f t="shared" si="2"/>
        <v>444</v>
      </c>
      <c r="L205" s="46" t="s">
        <v>152</v>
      </c>
    </row>
    <row r="206">
      <c r="A206" s="118">
        <v>43550.0</v>
      </c>
      <c r="B206" s="70" t="s">
        <v>94</v>
      </c>
      <c r="C206" s="43" t="str">
        <f>VLOOKUP(A206,Table!A:B,2,false)</f>
        <v>P8 W2</v>
      </c>
      <c r="D206" s="43" t="str">
        <f>VLOOKUP(A206,Table!A:D,4,false)</f>
        <v>Period 8</v>
      </c>
      <c r="E206" s="70" t="s">
        <v>101</v>
      </c>
      <c r="F206" s="43">
        <v>0.9166666666666666</v>
      </c>
      <c r="G206" s="148">
        <f>IFERROR(__xludf.DUMMYFUNCTION("IMPORTRANGE(""https://docs.google.com/spreadsheets/d/1TIioSZ1nkrNo7fXNL_Pl8Yn36hHqDPS8O9jJQOqTQgg"", ""Finance Nightly Processing 2019!R88:R88"")"),0.13194444444444445)</f>
        <v>0.1319444444</v>
      </c>
      <c r="H206" s="146">
        <f>IFERROR(__xludf.DUMMYFUNCTION("IMPORTRANGE(""https://docs.google.com/spreadsheets/d/1TIioSZ1nkrNo7fXNL_Pl8Yn36hHqDPS8O9jJQOqTQgg"", ""Finance Nightly Processing 2019!S88:S88"")"),0.16041666666666668)</f>
        <v>0.1604166667</v>
      </c>
      <c r="I206" s="44">
        <f>IFERROR(__xludf.DUMMYFUNCTION("IMPORTRANGE(""https://docs.google.com/spreadsheets/d/1TIioSZ1nkrNo7fXNL_Pl8Yn36hHqDPS8O9jJQOqTQgg"", ""Finance Nightly Processing 2019!W88:W88"")"),0.23819444444444443)</f>
        <v>0.2381944444</v>
      </c>
      <c r="J206" s="45">
        <f t="shared" si="2"/>
        <v>463</v>
      </c>
      <c r="L206" s="46" t="s">
        <v>154</v>
      </c>
    </row>
    <row r="207">
      <c r="A207" s="118">
        <v>43551.0</v>
      </c>
      <c r="B207" s="70" t="s">
        <v>96</v>
      </c>
      <c r="C207" s="43" t="str">
        <f>VLOOKUP(A207,Table!A:B,2,false)</f>
        <v>P8 W2</v>
      </c>
      <c r="D207" s="43" t="str">
        <f>VLOOKUP(A207,Table!A:D,4,false)</f>
        <v>Period 8</v>
      </c>
      <c r="E207" s="70" t="s">
        <v>101</v>
      </c>
      <c r="F207" s="43">
        <v>0.9166666666666666</v>
      </c>
      <c r="G207" s="148">
        <f>IFERROR(__xludf.DUMMYFUNCTION("IMPORTRANGE(""https://docs.google.com/spreadsheets/d/1TIioSZ1nkrNo7fXNL_Pl8Yn36hHqDPS8O9jJQOqTQgg"", ""Finance Nightly Processing 2019!R89:R89"")"),0.125)</f>
        <v>0.125</v>
      </c>
      <c r="H207" s="146">
        <f>IFERROR(__xludf.DUMMYFUNCTION("IMPORTRANGE(""https://docs.google.com/spreadsheets/d/1TIioSZ1nkrNo7fXNL_Pl8Yn36hHqDPS8O9jJQOqTQgg"", ""Finance Nightly Processing 2019!S89:S89"")"),0.1486111111111111)</f>
        <v>0.1486111111</v>
      </c>
      <c r="I207" s="44">
        <f>IFERROR(__xludf.DUMMYFUNCTION("IMPORTRANGE(""https://docs.google.com/spreadsheets/d/1TIioSZ1nkrNo7fXNL_Pl8Yn36hHqDPS8O9jJQOqTQgg"", ""Finance Nightly Processing 2019!W89:W89"")"),0.2263888888888889)</f>
        <v>0.2263888889</v>
      </c>
      <c r="J207" s="45">
        <f t="shared" si="2"/>
        <v>446</v>
      </c>
      <c r="L207" s="46" t="s">
        <v>156</v>
      </c>
    </row>
    <row r="208">
      <c r="A208" s="118">
        <v>43552.0</v>
      </c>
      <c r="B208" s="70" t="s">
        <v>97</v>
      </c>
      <c r="C208" s="43" t="str">
        <f>VLOOKUP(A208,Table!A:B,2,false)</f>
        <v>P8 W2</v>
      </c>
      <c r="D208" s="43" t="str">
        <f>VLOOKUP(A208,Table!A:D,4,false)</f>
        <v>Period 8</v>
      </c>
      <c r="E208" s="70" t="s">
        <v>101</v>
      </c>
      <c r="F208" s="43">
        <v>0.9166666666666666</v>
      </c>
      <c r="G208" s="148">
        <f>IFERROR(__xludf.DUMMYFUNCTION("IMPORTRANGE(""https://docs.google.com/spreadsheets/d/1TIioSZ1nkrNo7fXNL_Pl8Yn36hHqDPS8O9jJQOqTQgg"", ""Finance Nightly Processing 2019!R90:R90"")"),0.12708333333333333)</f>
        <v>0.1270833333</v>
      </c>
      <c r="H208" s="146">
        <f>IFERROR(__xludf.DUMMYFUNCTION("IMPORTRANGE(""https://docs.google.com/spreadsheets/d/1TIioSZ1nkrNo7fXNL_Pl8Yn36hHqDPS8O9jJQOqTQgg"", ""Finance Nightly Processing 2019!S90:S90"")"),0.175)</f>
        <v>0.175</v>
      </c>
      <c r="I208" s="44">
        <f>IFERROR(__xludf.DUMMYFUNCTION("IMPORTRANGE(""https://docs.google.com/spreadsheets/d/1TIioSZ1nkrNo7fXNL_Pl8Yn36hHqDPS8O9jJQOqTQgg"", ""Finance Nightly Processing 2019!W90:W90"")"),0.2298611111111111)</f>
        <v>0.2298611111</v>
      </c>
      <c r="J208" s="45">
        <f t="shared" si="2"/>
        <v>451</v>
      </c>
      <c r="L208" s="46" t="s">
        <v>157</v>
      </c>
    </row>
    <row r="209">
      <c r="A209" s="118">
        <v>43553.0</v>
      </c>
      <c r="B209" s="70" t="s">
        <v>98</v>
      </c>
      <c r="C209" s="43" t="str">
        <f>VLOOKUP(A209,Table!A:B,2,false)</f>
        <v>P8 W2</v>
      </c>
      <c r="D209" s="43" t="str">
        <f>VLOOKUP(A209,Table!A:D,4,false)</f>
        <v>Period 8</v>
      </c>
      <c r="E209" s="70" t="s">
        <v>101</v>
      </c>
      <c r="F209" s="43">
        <v>0.9166666666666666</v>
      </c>
      <c r="G209" s="148">
        <f>IFERROR(__xludf.DUMMYFUNCTION("IMPORTRANGE(""https://docs.google.com/spreadsheets/d/1TIioSZ1nkrNo7fXNL_Pl8Yn36hHqDPS8O9jJQOqTQgg"", ""Finance Nightly Processing 2019!R91:R91"")"),0.11130787037037038)</f>
        <v>0.1113078704</v>
      </c>
      <c r="H209" s="146">
        <f>IFERROR(__xludf.DUMMYFUNCTION("IMPORTRANGE(""https://docs.google.com/spreadsheets/d/1TIioSZ1nkrNo7fXNL_Pl8Yn36hHqDPS8O9jJQOqTQgg"", ""Finance Nightly Processing 2019!S91:S91"")"),0.13027777777777777)</f>
        <v>0.1302777778</v>
      </c>
      <c r="I209" s="44">
        <f>IFERROR(__xludf.DUMMYFUNCTION("IMPORTRANGE(""https://docs.google.com/spreadsheets/d/1TIioSZ1nkrNo7fXNL_Pl8Yn36hHqDPS8O9jJQOqTQgg"", ""Finance Nightly Processing 2019!W91:W91"")"),0.2183101851851852)</f>
        <v>0.2183101852</v>
      </c>
      <c r="J209" s="45">
        <f t="shared" si="2"/>
        <v>434.3666667</v>
      </c>
      <c r="L209" s="46" t="s">
        <v>158</v>
      </c>
    </row>
    <row r="210">
      <c r="A210" s="118">
        <v>43554.0</v>
      </c>
      <c r="B210" s="70" t="s">
        <v>99</v>
      </c>
      <c r="C210" s="43" t="str">
        <f>VLOOKUP(A210,Table!A:B,2,false)</f>
        <v>P8 W2</v>
      </c>
      <c r="D210" s="43" t="str">
        <f>VLOOKUP(A210,Table!A:D,4,false)</f>
        <v>Period 8</v>
      </c>
      <c r="E210" s="70" t="s">
        <v>101</v>
      </c>
      <c r="F210" s="43">
        <v>0.9166666666666666</v>
      </c>
      <c r="G210" s="148">
        <f>IFERROR(__xludf.DUMMYFUNCTION("IMPORTRANGE(""https://docs.google.com/spreadsheets/d/1TIioSZ1nkrNo7fXNL_Pl8Yn36hHqDPS8O9jJQOqTQgg"", ""Finance Nightly Processing 2019!R92:R92"")"),0.1112962962962963)</f>
        <v>0.1112962963</v>
      </c>
      <c r="H210" s="146">
        <f>IFERROR(__xludf.DUMMYFUNCTION("IMPORTRANGE(""https://docs.google.com/spreadsheets/d/1TIioSZ1nkrNo7fXNL_Pl8Yn36hHqDPS8O9jJQOqTQgg"", ""Finance Nightly Processing 2019!S92:S92"")"),0.12846064814814814)</f>
        <v>0.1284606481</v>
      </c>
      <c r="I210" s="44">
        <f>IFERROR(__xludf.DUMMYFUNCTION("IMPORTRANGE(""https://docs.google.com/spreadsheets/d/1TIioSZ1nkrNo7fXNL_Pl8Yn36hHqDPS8O9jJQOqTQgg"", ""Finance Nightly Processing 2019!W92:W92"")"),0.2427314814814815)</f>
        <v>0.2427314815</v>
      </c>
      <c r="J210" s="45">
        <f t="shared" si="2"/>
        <v>469.5333333</v>
      </c>
      <c r="L210" s="46" t="s">
        <v>159</v>
      </c>
    </row>
    <row r="211">
      <c r="A211" s="118">
        <v>43555.0</v>
      </c>
      <c r="B211" s="70" t="s">
        <v>100</v>
      </c>
      <c r="C211" s="43" t="str">
        <f>VLOOKUP(A211,Table!A:B,2,false)</f>
        <v>P8 W2</v>
      </c>
      <c r="D211" s="43" t="str">
        <f>VLOOKUP(A211,Table!A:D,4,false)</f>
        <v>Period 8</v>
      </c>
      <c r="E211" s="70" t="s">
        <v>101</v>
      </c>
      <c r="F211" s="43">
        <v>0.9166666666666666</v>
      </c>
      <c r="G211" s="148">
        <f>IFERROR(__xludf.DUMMYFUNCTION("IMPORTRANGE(""https://docs.google.com/spreadsheets/d/1TIioSZ1nkrNo7fXNL_Pl8Yn36hHqDPS8O9jJQOqTQgg"", ""Finance Nightly Processing 2019!R93:R93"")"),0.15791666666666668)</f>
        <v>0.1579166667</v>
      </c>
      <c r="H211" s="146">
        <f>IFERROR(__xludf.DUMMYFUNCTION("IMPORTRANGE(""https://docs.google.com/spreadsheets/d/1TIioSZ1nkrNo7fXNL_Pl8Yn36hHqDPS8O9jJQOqTQgg"", ""Finance Nightly Processing 2019!S93:S93"")"),0.18354166666666666)</f>
        <v>0.1835416667</v>
      </c>
      <c r="I211" s="44">
        <f>IFERROR(__xludf.DUMMYFUNCTION("IMPORTRANGE(""https://docs.google.com/spreadsheets/d/1TIioSZ1nkrNo7fXNL_Pl8Yn36hHqDPS8O9jJQOqTQgg"", ""Finance Nightly Processing 2019!W93:W93"")"),0.2505787037037037)</f>
        <v>0.2505787037</v>
      </c>
      <c r="J211" s="45">
        <f t="shared" si="2"/>
        <v>480.8333333</v>
      </c>
      <c r="K211" s="46" t="s">
        <v>287</v>
      </c>
      <c r="L211" s="46" t="s">
        <v>160</v>
      </c>
      <c r="M211" s="46" t="s">
        <v>297</v>
      </c>
      <c r="N211" s="46" t="s">
        <v>146</v>
      </c>
    </row>
    <row r="212">
      <c r="A212" s="118">
        <v>43556.0</v>
      </c>
      <c r="B212" s="70" t="s">
        <v>92</v>
      </c>
      <c r="C212" s="43" t="str">
        <f>VLOOKUP(A212,Table!A:B,2,false)</f>
        <v>P8 W3</v>
      </c>
      <c r="D212" s="43" t="str">
        <f>VLOOKUP(A212,Table!A:D,4,false)</f>
        <v>Period 8</v>
      </c>
      <c r="E212" s="70" t="s">
        <v>106</v>
      </c>
      <c r="F212" s="43">
        <v>0.9166666666666666</v>
      </c>
      <c r="G212" s="148">
        <f>IFERROR(__xludf.DUMMYFUNCTION("IMPORTRANGE(""https://docs.google.com/spreadsheets/d/1TIioSZ1nkrNo7fXNL_Pl8Yn36hHqDPS8O9jJQOqTQgg"", ""Finance Nightly Processing 2019!R94:R94"")"),0.21666666666666667)</f>
        <v>0.2166666667</v>
      </c>
      <c r="H212" s="146">
        <f>IFERROR(__xludf.DUMMYFUNCTION("IMPORTRANGE(""https://docs.google.com/spreadsheets/d/1TIioSZ1nkrNo7fXNL_Pl8Yn36hHqDPS8O9jJQOqTQgg"", ""Finance Nightly Processing 2019!S94:S94"")"),0.2423611111111111)</f>
        <v>0.2423611111</v>
      </c>
      <c r="I212" s="44">
        <f>IFERROR(__xludf.DUMMYFUNCTION("IMPORTRANGE(""https://docs.google.com/spreadsheets/d/1TIioSZ1nkrNo7fXNL_Pl8Yn36hHqDPS8O9jJQOqTQgg"", ""Finance Nightly Processing 2019!W94:W94"")"),0.3111111111111111)</f>
        <v>0.3111111111</v>
      </c>
      <c r="J212" s="45">
        <f t="shared" si="2"/>
        <v>568</v>
      </c>
      <c r="L212" s="46" t="s">
        <v>152</v>
      </c>
      <c r="M212" s="46" t="s">
        <v>298</v>
      </c>
      <c r="N212" s="46" t="s">
        <v>146</v>
      </c>
    </row>
    <row r="213">
      <c r="A213" s="118">
        <v>43557.0</v>
      </c>
      <c r="B213" s="70" t="s">
        <v>94</v>
      </c>
      <c r="C213" s="43" t="str">
        <f>VLOOKUP(A213,Table!A:B,2,false)</f>
        <v>P8 W3</v>
      </c>
      <c r="D213" s="43" t="str">
        <f>VLOOKUP(A213,Table!A:D,4,false)</f>
        <v>Period 8</v>
      </c>
      <c r="E213" s="70" t="s">
        <v>106</v>
      </c>
      <c r="F213" s="43">
        <v>0.9166666666666666</v>
      </c>
      <c r="G213" s="148">
        <f>IFERROR(__xludf.DUMMYFUNCTION("IMPORTRANGE(""https://docs.google.com/spreadsheets/d/1TIioSZ1nkrNo7fXNL_Pl8Yn36hHqDPS8O9jJQOqTQgg"", ""Finance Nightly Processing 2019!R95:R95"")"),0.1361111111111111)</f>
        <v>0.1361111111</v>
      </c>
      <c r="H213" s="146">
        <f>IFERROR(__xludf.DUMMYFUNCTION("IMPORTRANGE(""https://docs.google.com/spreadsheets/d/1TIioSZ1nkrNo7fXNL_Pl8Yn36hHqDPS8O9jJQOqTQgg"", ""Finance Nightly Processing 2019!S95:S95"")"),0.15694444444444444)</f>
        <v>0.1569444444</v>
      </c>
      <c r="I213" s="44">
        <v>0.24375</v>
      </c>
      <c r="J213" s="45">
        <f t="shared" si="2"/>
        <v>471</v>
      </c>
      <c r="L213" s="46" t="s">
        <v>154</v>
      </c>
    </row>
    <row r="214">
      <c r="A214" s="118">
        <v>43558.0</v>
      </c>
      <c r="B214" s="70" t="s">
        <v>96</v>
      </c>
      <c r="C214" s="43" t="str">
        <f>VLOOKUP(A214,Table!A:B,2,false)</f>
        <v>P8 W3</v>
      </c>
      <c r="D214" s="43" t="str">
        <f>VLOOKUP(A214,Table!A:D,4,false)</f>
        <v>Period 8</v>
      </c>
      <c r="E214" s="70" t="s">
        <v>106</v>
      </c>
      <c r="F214" s="43">
        <v>0.9166666666666666</v>
      </c>
      <c r="G214" s="148">
        <f>IFERROR(__xludf.DUMMYFUNCTION("IMPORTRANGE(""https://docs.google.com/spreadsheets/d/1TIioSZ1nkrNo7fXNL_Pl8Yn36hHqDPS8O9jJQOqTQgg"", ""Finance Nightly Processing 2019!R96:R96"")"),0.13402777777777777)</f>
        <v>0.1340277778</v>
      </c>
      <c r="H214" s="146">
        <f>IFERROR(__xludf.DUMMYFUNCTION("IMPORTRANGE(""https://docs.google.com/spreadsheets/d/1TIioSZ1nkrNo7fXNL_Pl8Yn36hHqDPS8O9jJQOqTQgg"", ""Finance Nightly Processing 2019!S96:S96"")"),0.1638888888888889)</f>
        <v>0.1638888889</v>
      </c>
      <c r="I214" s="44">
        <v>0.24166666666666667</v>
      </c>
      <c r="J214" s="45">
        <f t="shared" si="2"/>
        <v>468</v>
      </c>
      <c r="L214" s="46" t="s">
        <v>156</v>
      </c>
    </row>
    <row r="215">
      <c r="A215" s="118">
        <v>43559.0</v>
      </c>
      <c r="B215" s="70" t="s">
        <v>97</v>
      </c>
      <c r="C215" s="43" t="str">
        <f>VLOOKUP(A215,Table!A:B,2,false)</f>
        <v>P8 W3</v>
      </c>
      <c r="D215" s="43" t="str">
        <f>VLOOKUP(A215,Table!A:D,4,false)</f>
        <v>Period 8</v>
      </c>
      <c r="E215" s="70" t="s">
        <v>106</v>
      </c>
      <c r="F215" s="43">
        <v>0.9166666666666666</v>
      </c>
      <c r="G215" s="148">
        <f>IFERROR(__xludf.DUMMYFUNCTION("IMPORTRANGE(""https://docs.google.com/spreadsheets/d/1TIioSZ1nkrNo7fXNL_Pl8Yn36hHqDPS8O9jJQOqTQgg"", ""Finance Nightly Processing 2019!R97:R97"")"),0.13194444444444445)</f>
        <v>0.1319444444</v>
      </c>
      <c r="H215" s="146">
        <f>IFERROR(__xludf.DUMMYFUNCTION("IMPORTRANGE(""https://docs.google.com/spreadsheets/d/1TIioSZ1nkrNo7fXNL_Pl8Yn36hHqDPS8O9jJQOqTQgg"", ""Finance Nightly Processing 2019!S97:S97"")"),0.14652777777777778)</f>
        <v>0.1465277778</v>
      </c>
      <c r="I215" s="44">
        <f>IFERROR(__xludf.DUMMYFUNCTION("IMPORTRANGE(""https://docs.google.com/spreadsheets/d/1TIioSZ1nkrNo7fXNL_Pl8Yn36hHqDPS8O9jJQOqTQgg"", ""Finance Nightly Processing 2019!W97:W97"")"),0.2326388888888889)</f>
        <v>0.2326388889</v>
      </c>
      <c r="J215" s="45">
        <f t="shared" si="2"/>
        <v>455</v>
      </c>
      <c r="L215" s="46" t="s">
        <v>157</v>
      </c>
    </row>
    <row r="216">
      <c r="A216" s="118">
        <v>43560.0</v>
      </c>
      <c r="B216" s="70" t="s">
        <v>98</v>
      </c>
      <c r="C216" s="43" t="str">
        <f>VLOOKUP(A216,Table!A:B,2,false)</f>
        <v>P8 W3</v>
      </c>
      <c r="D216" s="43" t="str">
        <f>VLOOKUP(A216,Table!A:D,4,false)</f>
        <v>Period 8</v>
      </c>
      <c r="E216" s="70" t="s">
        <v>106</v>
      </c>
      <c r="F216" s="43">
        <v>0.9166666666666666</v>
      </c>
      <c r="G216" s="148">
        <f>IFERROR(__xludf.DUMMYFUNCTION("IMPORTRANGE(""https://docs.google.com/spreadsheets/d/1TIioSZ1nkrNo7fXNL_Pl8Yn36hHqDPS8O9jJQOqTQgg"", ""Finance Nightly Processing 2019!R98:R98"")"),0.12236111111111111)</f>
        <v>0.1223611111</v>
      </c>
      <c r="H216" s="146">
        <f>IFERROR(__xludf.DUMMYFUNCTION("IMPORTRANGE(""https://docs.google.com/spreadsheets/d/1TIioSZ1nkrNo7fXNL_Pl8Yn36hHqDPS8O9jJQOqTQgg"", ""Finance Nightly Processing 2019!S98:S98"")"),0.15582175925925926)</f>
        <v>0.1558217593</v>
      </c>
      <c r="I216" s="44">
        <f>IFERROR(__xludf.DUMMYFUNCTION("IMPORTRANGE(""https://docs.google.com/spreadsheets/d/1TIioSZ1nkrNo7fXNL_Pl8Yn36hHqDPS8O9jJQOqTQgg"", ""Finance Nightly Processing 2019!W98:W98"")"),0.2378472222222222)</f>
        <v>0.2378472222</v>
      </c>
      <c r="J216" s="45">
        <f t="shared" si="2"/>
        <v>462.5</v>
      </c>
      <c r="L216" s="46" t="s">
        <v>158</v>
      </c>
    </row>
    <row r="217">
      <c r="A217" s="118">
        <v>43561.0</v>
      </c>
      <c r="B217" s="70" t="s">
        <v>99</v>
      </c>
      <c r="C217" s="43" t="str">
        <f>VLOOKUP(A217,Table!A:B,2,false)</f>
        <v>P8 W3</v>
      </c>
      <c r="D217" s="43" t="str">
        <f>VLOOKUP(A217,Table!A:D,4,false)</f>
        <v>Period 8</v>
      </c>
      <c r="E217" s="70" t="s">
        <v>106</v>
      </c>
      <c r="F217" s="43">
        <v>0.9166666666666666</v>
      </c>
      <c r="G217" s="148">
        <f>IFERROR(__xludf.DUMMYFUNCTION("IMPORTRANGE(""https://docs.google.com/spreadsheets/d/1TIioSZ1nkrNo7fXNL_Pl8Yn36hHqDPS8O9jJQOqTQgg"", ""Finance Nightly Processing 2019!R99:R99"")"),0.1338425925925926)</f>
        <v>0.1338425926</v>
      </c>
      <c r="H217" s="146">
        <f>IFERROR(__xludf.DUMMYFUNCTION("IMPORTRANGE(""https://docs.google.com/spreadsheets/d/1TIioSZ1nkrNo7fXNL_Pl8Yn36hHqDPS8O9jJQOqTQgg"", ""Finance Nightly Processing 2019!S99:S99"")"),0.15083333333333335)</f>
        <v>0.1508333333</v>
      </c>
      <c r="I217" s="44">
        <f>IFERROR(__xludf.DUMMYFUNCTION("IMPORTRANGE(""https://docs.google.com/spreadsheets/d/1TIioSZ1nkrNo7fXNL_Pl8Yn36hHqDPS8O9jJQOqTQgg"", ""Finance Nightly Processing 2019!W99:W99"")"),0.2423611111111111)</f>
        <v>0.2423611111</v>
      </c>
      <c r="J217" s="45">
        <f t="shared" si="2"/>
        <v>469</v>
      </c>
      <c r="L217" s="46" t="s">
        <v>159</v>
      </c>
    </row>
    <row r="218">
      <c r="A218" s="118">
        <v>43562.0</v>
      </c>
      <c r="B218" s="70" t="s">
        <v>100</v>
      </c>
      <c r="C218" s="43" t="str">
        <f>VLOOKUP(A218,Table!A:B,2,false)</f>
        <v>P8 W3</v>
      </c>
      <c r="D218" s="43" t="str">
        <f>VLOOKUP(A218,Table!A:D,4,false)</f>
        <v>Period 8</v>
      </c>
      <c r="E218" s="70" t="s">
        <v>106</v>
      </c>
      <c r="F218" s="43">
        <v>0.9166666666666666</v>
      </c>
      <c r="G218" s="148">
        <f>IFERROR(__xludf.DUMMYFUNCTION("IMPORTRANGE(""https://docs.google.com/spreadsheets/d/1TIioSZ1nkrNo7fXNL_Pl8Yn36hHqDPS8O9jJQOqTQgg"", ""Finance Nightly Processing 2019!R100:R100"")"),0.16041666666666668)</f>
        <v>0.1604166667</v>
      </c>
      <c r="H218" s="146">
        <f>IFERROR(__xludf.DUMMYFUNCTION("IMPORTRANGE(""https://docs.google.com/spreadsheets/d/1TIioSZ1nkrNo7fXNL_Pl8Yn36hHqDPS8O9jJQOqTQgg"", ""Finance Nightly Processing 2019!S100:S100"")"),0.26875)</f>
        <v>0.26875</v>
      </c>
      <c r="I218" s="44">
        <f>IFERROR(__xludf.DUMMYFUNCTION("IMPORTRANGE(""https://docs.google.com/spreadsheets/d/1TIioSZ1nkrNo7fXNL_Pl8Yn36hHqDPS8O9jJQOqTQgg"", ""Finance Nightly Processing 2019!W100:W100"")"),0.32709490740740743)</f>
        <v>0.3270949074</v>
      </c>
      <c r="J218" s="45">
        <f t="shared" si="2"/>
        <v>591.0166667</v>
      </c>
      <c r="L218" s="46" t="s">
        <v>160</v>
      </c>
    </row>
    <row r="219">
      <c r="A219" s="118">
        <v>43563.0</v>
      </c>
      <c r="B219" s="70" t="s">
        <v>92</v>
      </c>
      <c r="C219" s="43" t="str">
        <f>VLOOKUP(A219,Table!A:B,2,false)</f>
        <v>P8 W4</v>
      </c>
      <c r="D219" s="43" t="str">
        <f>VLOOKUP(A219,Table!A:D,4,false)</f>
        <v>Period 8</v>
      </c>
      <c r="E219" s="70" t="s">
        <v>110</v>
      </c>
      <c r="F219" s="43">
        <v>0.9166666666666666</v>
      </c>
      <c r="G219" s="148">
        <f>IFERROR(__xludf.DUMMYFUNCTION("IMPORTRANGE(""https://docs.google.com/spreadsheets/d/1TIioSZ1nkrNo7fXNL_Pl8Yn36hHqDPS8O9jJQOqTQgg"", ""Finance Nightly Processing 2019!R101:R101"")"),0.12291666666666666)</f>
        <v>0.1229166667</v>
      </c>
      <c r="H219" s="146">
        <f>IFERROR(__xludf.DUMMYFUNCTION("IMPORTRANGE(""https://docs.google.com/spreadsheets/d/1TIioSZ1nkrNo7fXNL_Pl8Yn36hHqDPS8O9jJQOqTQgg"", ""Finance Nightly Processing 2019!S101:S101"")"),0.1527777777777778)</f>
        <v>0.1527777778</v>
      </c>
      <c r="I219" s="44">
        <f>IFERROR(__xludf.DUMMYFUNCTION("IMPORTRANGE(""https://docs.google.com/spreadsheets/d/1TIioSZ1nkrNo7fXNL_Pl8Yn36hHqDPS8O9jJQOqTQgg"", ""Finance Nightly Processing 2019!W101:W101"")"),0.22777777777777777)</f>
        <v>0.2277777778</v>
      </c>
      <c r="J219" s="45">
        <f t="shared" si="2"/>
        <v>448</v>
      </c>
      <c r="L219" s="46" t="s">
        <v>152</v>
      </c>
    </row>
    <row r="220">
      <c r="A220" s="118">
        <v>43564.0</v>
      </c>
      <c r="B220" s="70" t="s">
        <v>94</v>
      </c>
      <c r="C220" s="43" t="str">
        <f>VLOOKUP(A220,Table!A:B,2,false)</f>
        <v>P8 W4</v>
      </c>
      <c r="D220" s="43" t="str">
        <f>VLOOKUP(A220,Table!A:D,4,false)</f>
        <v>Period 8</v>
      </c>
      <c r="E220" s="70" t="s">
        <v>110</v>
      </c>
      <c r="F220" s="43">
        <v>0.9166666666666666</v>
      </c>
      <c r="G220" s="148">
        <f>IFERROR(__xludf.DUMMYFUNCTION("IMPORTRANGE(""https://docs.google.com/spreadsheets/d/1TIioSZ1nkrNo7fXNL_Pl8Yn36hHqDPS8O9jJQOqTQgg"", ""Finance Nightly Processing 2019!R102:R102"")"),0.1111111111111111)</f>
        <v>0.1111111111</v>
      </c>
      <c r="H220" s="146">
        <f>IFERROR(__xludf.DUMMYFUNCTION("IMPORTRANGE(""https://docs.google.com/spreadsheets/d/1TIioSZ1nkrNo7fXNL_Pl8Yn36hHqDPS8O9jJQOqTQgg"", ""Finance Nightly Processing 2019!S102:S102"")"),0.14305555555555555)</f>
        <v>0.1430555556</v>
      </c>
      <c r="I220" s="44">
        <f>IFERROR(__xludf.DUMMYFUNCTION("IMPORTRANGE(""https://docs.google.com/spreadsheets/d/1TIioSZ1nkrNo7fXNL_Pl8Yn36hHqDPS8O9jJQOqTQgg"", ""Finance Nightly Processing 2019!W102:W102"")"),0.22430555555555556)</f>
        <v>0.2243055556</v>
      </c>
      <c r="J220" s="45">
        <f t="shared" si="2"/>
        <v>443</v>
      </c>
      <c r="L220" s="46" t="s">
        <v>154</v>
      </c>
    </row>
    <row r="221">
      <c r="A221" s="118">
        <v>43565.0</v>
      </c>
      <c r="B221" s="70" t="s">
        <v>96</v>
      </c>
      <c r="C221" s="43" t="str">
        <f>VLOOKUP(A221,Table!A:B,2,false)</f>
        <v>P8 W4</v>
      </c>
      <c r="D221" s="43" t="str">
        <f>VLOOKUP(A221,Table!A:D,4,false)</f>
        <v>Period 8</v>
      </c>
      <c r="E221" s="70" t="s">
        <v>110</v>
      </c>
      <c r="F221" s="43">
        <v>0.9166666666666666</v>
      </c>
      <c r="G221" s="148">
        <f>IFERROR(__xludf.DUMMYFUNCTION("IMPORTRANGE(""https://docs.google.com/spreadsheets/d/1TIioSZ1nkrNo7fXNL_Pl8Yn36hHqDPS8O9jJQOqTQgg"", ""Finance Nightly Processing 2019!R103:R103"")"),0.12569444444444444)</f>
        <v>0.1256944444</v>
      </c>
      <c r="H221" s="146">
        <f>IFERROR(__xludf.DUMMYFUNCTION("IMPORTRANGE(""https://docs.google.com/spreadsheets/d/1TIioSZ1nkrNo7fXNL_Pl8Yn36hHqDPS8O9jJQOqTQgg"", ""Finance Nightly Processing 2019!S103:S103"")"),0.15138888888888888)</f>
        <v>0.1513888889</v>
      </c>
      <c r="I221" s="44">
        <f>IFERROR(__xludf.DUMMYFUNCTION("IMPORTRANGE(""https://docs.google.com/spreadsheets/d/1TIioSZ1nkrNo7fXNL_Pl8Yn36hHqDPS8O9jJQOqTQgg"", ""Finance Nightly Processing 2019!W103:W103"")"),0.22569444444444445)</f>
        <v>0.2256944444</v>
      </c>
      <c r="J221" s="45">
        <f t="shared" si="2"/>
        <v>445</v>
      </c>
      <c r="L221" s="46" t="s">
        <v>156</v>
      </c>
    </row>
    <row r="222">
      <c r="A222" s="118">
        <v>43566.0</v>
      </c>
      <c r="B222" s="70" t="s">
        <v>97</v>
      </c>
      <c r="C222" s="43" t="str">
        <f>VLOOKUP(A222,Table!A:B,2,false)</f>
        <v>P8 W4</v>
      </c>
      <c r="D222" s="43" t="str">
        <f>VLOOKUP(A222,Table!A:D,4,false)</f>
        <v>Period 8</v>
      </c>
      <c r="E222" s="70" t="s">
        <v>110</v>
      </c>
      <c r="F222" s="43">
        <v>0.9166666666666666</v>
      </c>
      <c r="G222" s="148">
        <f>IFERROR(__xludf.DUMMYFUNCTION("IMPORTRANGE(""https://docs.google.com/spreadsheets/d/1TIioSZ1nkrNo7fXNL_Pl8Yn36hHqDPS8O9jJQOqTQgg"", ""Finance Nightly Processing 2019!R104:R104"")"),0.15208333333333332)</f>
        <v>0.1520833333</v>
      </c>
      <c r="H222" s="146">
        <f>IFERROR(__xludf.DUMMYFUNCTION("IMPORTRANGE(""https://docs.google.com/spreadsheets/d/1TIioSZ1nkrNo7fXNL_Pl8Yn36hHqDPS8O9jJQOqTQgg"", ""Finance Nightly Processing 2019!S104:S104"")"),0.1798611111111111)</f>
        <v>0.1798611111</v>
      </c>
      <c r="I222" s="44">
        <f>IFERROR(__xludf.DUMMYFUNCTION("IMPORTRANGE(""https://docs.google.com/spreadsheets/d/1TIioSZ1nkrNo7fXNL_Pl8Yn36hHqDPS8O9jJQOqTQgg"", ""Finance Nightly Processing 2019!W104:W104"")"),0.25972222222222224)</f>
        <v>0.2597222222</v>
      </c>
      <c r="J222" s="45">
        <f t="shared" si="2"/>
        <v>494</v>
      </c>
      <c r="L222" s="46" t="s">
        <v>157</v>
      </c>
      <c r="M222" s="158" t="s">
        <v>299</v>
      </c>
      <c r="N222" s="46" t="s">
        <v>146</v>
      </c>
    </row>
    <row r="223">
      <c r="A223" s="118">
        <v>43567.0</v>
      </c>
      <c r="B223" s="70" t="s">
        <v>98</v>
      </c>
      <c r="C223" s="43" t="str">
        <f>VLOOKUP(A223,Table!A:B,2,false)</f>
        <v>P8 W4</v>
      </c>
      <c r="D223" s="43" t="str">
        <f>VLOOKUP(A223,Table!A:D,4,false)</f>
        <v>Period 8</v>
      </c>
      <c r="E223" s="70" t="s">
        <v>110</v>
      </c>
      <c r="F223" s="43">
        <v>0.9166666666666666</v>
      </c>
      <c r="G223" s="148">
        <f>IFERROR(__xludf.DUMMYFUNCTION("IMPORTRANGE(""https://docs.google.com/spreadsheets/d/1TIioSZ1nkrNo7fXNL_Pl8Yn36hHqDPS8O9jJQOqTQgg"", ""Finance Nightly Processing 2019!R105:R105"")"),0.13712962962962963)</f>
        <v>0.1371296296</v>
      </c>
      <c r="H223" s="146">
        <f>IFERROR(__xludf.DUMMYFUNCTION("IMPORTRANGE(""https://docs.google.com/spreadsheets/d/1TIioSZ1nkrNo7fXNL_Pl8Yn36hHqDPS8O9jJQOqTQgg"", ""Finance Nightly Processing 2019!S105:S105"")"),0.15633101851851852)</f>
        <v>0.1563310185</v>
      </c>
      <c r="I223" s="44">
        <f>IFERROR(__xludf.DUMMYFUNCTION("IMPORTRANGE(""https://docs.google.com/spreadsheets/d/1TIioSZ1nkrNo7fXNL_Pl8Yn36hHqDPS8O9jJQOqTQgg"", ""Finance Nightly Processing 2019!W105:W105"")"),0.24471064814814814)</f>
        <v>0.2447106481</v>
      </c>
      <c r="J223" s="45">
        <f t="shared" si="2"/>
        <v>472.3833333</v>
      </c>
      <c r="L223" s="46" t="s">
        <v>158</v>
      </c>
    </row>
    <row r="224">
      <c r="A224" s="118">
        <v>43568.0</v>
      </c>
      <c r="B224" s="70" t="s">
        <v>99</v>
      </c>
      <c r="C224" s="43" t="str">
        <f>VLOOKUP(A224,Table!A:B,2,false)</f>
        <v>P8 W4</v>
      </c>
      <c r="D224" s="43" t="str">
        <f>VLOOKUP(A224,Table!A:D,4,false)</f>
        <v>Period 8</v>
      </c>
      <c r="E224" s="70" t="s">
        <v>110</v>
      </c>
      <c r="F224" s="43">
        <v>0.9166666666666666</v>
      </c>
      <c r="G224" s="148">
        <f>IFERROR(__xludf.DUMMYFUNCTION("IMPORTRANGE(""https://docs.google.com/spreadsheets/d/1TIioSZ1nkrNo7fXNL_Pl8Yn36hHqDPS8O9jJQOqTQgg"", ""Finance Nightly Processing 2019!R106:R106"")"),0.1477662037037037)</f>
        <v>0.1477662037</v>
      </c>
      <c r="H224" s="146">
        <f>IFERROR(__xludf.DUMMYFUNCTION("IMPORTRANGE(""https://docs.google.com/spreadsheets/d/1TIioSZ1nkrNo7fXNL_Pl8Yn36hHqDPS8O9jJQOqTQgg"", ""Finance Nightly Processing 2019!S106:S106"")"),0.16670138888888889)</f>
        <v>0.1667013889</v>
      </c>
      <c r="I224" s="44">
        <f>IFERROR(__xludf.DUMMYFUNCTION("IMPORTRANGE(""https://docs.google.com/spreadsheets/d/1TIioSZ1nkrNo7fXNL_Pl8Yn36hHqDPS8O9jJQOqTQgg"", ""Finance Nightly Processing 2019!W106:W106"")"),0.2316087962962963)</f>
        <v>0.2316087963</v>
      </c>
      <c r="J224" s="45">
        <f t="shared" si="2"/>
        <v>453.5166667</v>
      </c>
      <c r="L224" s="46" t="s">
        <v>159</v>
      </c>
    </row>
    <row r="225">
      <c r="A225" s="118">
        <v>43569.0</v>
      </c>
      <c r="B225" s="70" t="s">
        <v>100</v>
      </c>
      <c r="C225" s="43" t="str">
        <f>VLOOKUP(A225,Table!A:B,2,false)</f>
        <v>P8 W4</v>
      </c>
      <c r="D225" s="43" t="str">
        <f>VLOOKUP(A225,Table!A:D,4,false)</f>
        <v>Period 8</v>
      </c>
      <c r="E225" s="70" t="s">
        <v>110</v>
      </c>
      <c r="F225" s="43">
        <v>0.9166666666666666</v>
      </c>
      <c r="G225" s="148">
        <f>IFERROR(__xludf.DUMMYFUNCTION("IMPORTRANGE(""https://docs.google.com/spreadsheets/d/1TIioSZ1nkrNo7fXNL_Pl8Yn36hHqDPS8O9jJQOqTQgg"", ""Finance Nightly Processing 2019!R107:R107"")"),0.18819444444444444)</f>
        <v>0.1881944444</v>
      </c>
      <c r="H225" s="146">
        <f>IFERROR(__xludf.DUMMYFUNCTION("IMPORTRANGE(""https://docs.google.com/spreadsheets/d/1TIioSZ1nkrNo7fXNL_Pl8Yn36hHqDPS8O9jJQOqTQgg"", ""Finance Nightly Processing 2019!S107:S107"")"),0.21388888888888888)</f>
        <v>0.2138888889</v>
      </c>
      <c r="I225" s="44">
        <f>IFERROR(__xludf.DUMMYFUNCTION("IMPORTRANGE(""https://docs.google.com/spreadsheets/d/1TIioSZ1nkrNo7fXNL_Pl8Yn36hHqDPS8O9jJQOqTQgg"", ""Finance Nightly Processing 2019!W107:W107"")"),0.29195601851851855)</f>
        <v>0.2919560185</v>
      </c>
      <c r="J225" s="45">
        <f t="shared" si="2"/>
        <v>540.4166667</v>
      </c>
      <c r="L225" s="46" t="s">
        <v>160</v>
      </c>
      <c r="M225" s="72" t="s">
        <v>300</v>
      </c>
      <c r="N225" s="46" t="s">
        <v>146</v>
      </c>
    </row>
    <row r="226">
      <c r="A226" s="157">
        <v>43570.0</v>
      </c>
      <c r="B226" s="79" t="s">
        <v>92</v>
      </c>
      <c r="C226" s="54" t="str">
        <f>VLOOKUP(A226,Table!A:B,2,false)</f>
        <v>P9 W1</v>
      </c>
      <c r="D226" s="54" t="str">
        <f>VLOOKUP(A226,Table!A:D,4,false)</f>
        <v>Period 9</v>
      </c>
      <c r="E226" s="70" t="s">
        <v>93</v>
      </c>
      <c r="F226" s="54">
        <v>0.9166666666666666</v>
      </c>
      <c r="G226" s="148">
        <f>IFERROR(__xludf.DUMMYFUNCTION("IMPORTRANGE(""https://docs.google.com/spreadsheets/d/1TIioSZ1nkrNo7fXNL_Pl8Yn36hHqDPS8O9jJQOqTQgg"", ""Finance Nightly Processing 2019!R108:R108"")"),0.15208333333333332)</f>
        <v>0.1520833333</v>
      </c>
      <c r="H226" s="146">
        <f>IFERROR(__xludf.DUMMYFUNCTION("IMPORTRANGE(""https://docs.google.com/spreadsheets/d/1TIioSZ1nkrNo7fXNL_Pl8Yn36hHqDPS8O9jJQOqTQgg"", ""Finance Nightly Processing 2019!S108:S108"")"),0.17777777777777778)</f>
        <v>0.1777777778</v>
      </c>
      <c r="I226" s="44">
        <f>IFERROR(__xludf.DUMMYFUNCTION("IMPORTRANGE(""https://docs.google.com/spreadsheets/d/1TIioSZ1nkrNo7fXNL_Pl8Yn36hHqDPS8O9jJQOqTQgg"", ""Finance Nightly Processing 2019!W108:W108"")"),0.25277777777777777)</f>
        <v>0.2527777778</v>
      </c>
      <c r="J226" s="45">
        <f t="shared" si="2"/>
        <v>484</v>
      </c>
      <c r="L226" s="46" t="s">
        <v>152</v>
      </c>
    </row>
    <row r="227">
      <c r="A227" s="118">
        <v>43571.0</v>
      </c>
      <c r="B227" s="70" t="s">
        <v>94</v>
      </c>
      <c r="C227" s="43" t="str">
        <f>VLOOKUP(A227,Table!A:B,2,false)</f>
        <v>P9 W1</v>
      </c>
      <c r="D227" s="43" t="str">
        <f>VLOOKUP(A227,Table!A:D,4,false)</f>
        <v>Period 9</v>
      </c>
      <c r="E227" s="70" t="s">
        <v>93</v>
      </c>
      <c r="F227" s="43">
        <v>0.9166666666666666</v>
      </c>
      <c r="G227" s="148">
        <f>IFERROR(__xludf.DUMMYFUNCTION("IMPORTRANGE(""https://docs.google.com/spreadsheets/d/1TIioSZ1nkrNo7fXNL_Pl8Yn36hHqDPS8O9jJQOqTQgg"", ""Finance Nightly Processing 2019!R109:R109"")"),0.14375)</f>
        <v>0.14375</v>
      </c>
      <c r="H227" s="146">
        <f>IFERROR(__xludf.DUMMYFUNCTION("IMPORTRANGE(""https://docs.google.com/spreadsheets/d/1TIioSZ1nkrNo7fXNL_Pl8Yn36hHqDPS8O9jJQOqTQgg"", ""Finance Nightly Processing 2019!S109:S109"")"),0.17777777777777778)</f>
        <v>0.1777777778</v>
      </c>
      <c r="I227" s="44">
        <f>IFERROR(__xludf.DUMMYFUNCTION("IMPORTRANGE(""https://docs.google.com/spreadsheets/d/1TIioSZ1nkrNo7fXNL_Pl8Yn36hHqDPS8O9jJQOqTQgg"", ""Finance Nightly Processing 2019!W109:W109"")"),0.33819444444444446)</f>
        <v>0.3381944444</v>
      </c>
      <c r="J227" s="45">
        <f t="shared" si="2"/>
        <v>607</v>
      </c>
      <c r="L227" s="46" t="s">
        <v>154</v>
      </c>
      <c r="M227" s="72" t="s">
        <v>301</v>
      </c>
      <c r="N227" s="46" t="s">
        <v>37</v>
      </c>
    </row>
    <row r="228">
      <c r="A228" s="118">
        <v>43572.0</v>
      </c>
      <c r="B228" s="70" t="s">
        <v>96</v>
      </c>
      <c r="C228" s="43" t="str">
        <f>VLOOKUP(A228,Table!A:B,2,false)</f>
        <v>P9 W1</v>
      </c>
      <c r="D228" s="43" t="str">
        <f>VLOOKUP(A228,Table!A:D,4,false)</f>
        <v>Period 9</v>
      </c>
      <c r="E228" s="70" t="s">
        <v>93</v>
      </c>
      <c r="F228" s="43">
        <v>0.9166666666666666</v>
      </c>
      <c r="G228" s="148">
        <f>IFERROR(__xludf.DUMMYFUNCTION("IMPORTRANGE(""https://docs.google.com/spreadsheets/d/1TIioSZ1nkrNo7fXNL_Pl8Yn36hHqDPS8O9jJQOqTQgg"", ""Finance Nightly Processing 2019!R110:R110"")"),0.12916666666666668)</f>
        <v>0.1291666667</v>
      </c>
      <c r="H228" s="146">
        <f>IFERROR(__xludf.DUMMYFUNCTION("IMPORTRANGE(""https://docs.google.com/spreadsheets/d/1TIioSZ1nkrNo7fXNL_Pl8Yn36hHqDPS8O9jJQOqTQgg"", ""Finance Nightly Processing 2019!S110:S110"")"),0.15347222222222223)</f>
        <v>0.1534722222</v>
      </c>
      <c r="I228" s="44">
        <f>IFERROR(__xludf.DUMMYFUNCTION("IMPORTRANGE(""https://docs.google.com/spreadsheets/d/1TIioSZ1nkrNo7fXNL_Pl8Yn36hHqDPS8O9jJQOqTQgg"", ""Finance Nightly Processing 2019!W110:W110"")"),0.475)</f>
        <v>0.475</v>
      </c>
      <c r="J228" s="45">
        <f t="shared" si="2"/>
        <v>804</v>
      </c>
      <c r="L228" s="46" t="s">
        <v>156</v>
      </c>
      <c r="M228" s="72" t="s">
        <v>302</v>
      </c>
      <c r="N228" s="46" t="s">
        <v>23</v>
      </c>
    </row>
    <row r="229">
      <c r="A229" s="118">
        <v>43573.0</v>
      </c>
      <c r="B229" s="70" t="s">
        <v>97</v>
      </c>
      <c r="C229" s="43" t="str">
        <f>VLOOKUP(A229,Table!A:B,2,false)</f>
        <v>P9 W1</v>
      </c>
      <c r="D229" s="43" t="str">
        <f>VLOOKUP(A229,Table!A:D,4,false)</f>
        <v>Period 9</v>
      </c>
      <c r="E229" s="70" t="s">
        <v>93</v>
      </c>
      <c r="F229" s="43">
        <v>0.9166666666666666</v>
      </c>
      <c r="G229" s="148">
        <f>IFERROR(__xludf.DUMMYFUNCTION("IMPORTRANGE(""https://docs.google.com/spreadsheets/d/1TIioSZ1nkrNo7fXNL_Pl8Yn36hHqDPS8O9jJQOqTQgg"", ""Finance Nightly Processing 2019!R111:R111"")"),0.1269675925925926)</f>
        <v>0.1269675926</v>
      </c>
      <c r="H229" s="146">
        <f>IFERROR(__xludf.DUMMYFUNCTION("IMPORTRANGE(""https://docs.google.com/spreadsheets/d/1TIioSZ1nkrNo7fXNL_Pl8Yn36hHqDPS8O9jJQOqTQgg"", ""Finance Nightly Processing 2019!S111:S111"")"),0.15363425925925925)</f>
        <v>0.1536342593</v>
      </c>
      <c r="I229" s="44">
        <f>IFERROR(__xludf.DUMMYFUNCTION("IMPORTRANGE(""https://docs.google.com/spreadsheets/d/1TIioSZ1nkrNo7fXNL_Pl8Yn36hHqDPS8O9jJQOqTQgg"", ""Finance Nightly Processing 2019!W111:W111"")"),0.23371527777777779)</f>
        <v>0.2337152778</v>
      </c>
      <c r="J229" s="45">
        <f t="shared" si="2"/>
        <v>456.55</v>
      </c>
      <c r="L229" s="46" t="s">
        <v>157</v>
      </c>
    </row>
    <row r="230">
      <c r="A230" s="118">
        <v>43574.0</v>
      </c>
      <c r="B230" s="70" t="s">
        <v>98</v>
      </c>
      <c r="C230" s="43" t="str">
        <f>VLOOKUP(A230,Table!A:B,2,false)</f>
        <v>P9 W1</v>
      </c>
      <c r="D230" s="43" t="str">
        <f>VLOOKUP(A230,Table!A:D,4,false)</f>
        <v>Period 9</v>
      </c>
      <c r="E230" s="70" t="s">
        <v>93</v>
      </c>
      <c r="F230" s="43">
        <v>0.9166666666666666</v>
      </c>
      <c r="G230" s="148">
        <f>IFERROR(__xludf.DUMMYFUNCTION("IMPORTRANGE(""https://docs.google.com/spreadsheets/d/1TIioSZ1nkrNo7fXNL_Pl8Yn36hHqDPS8O9jJQOqTQgg"", ""Finance Nightly Processing 2019!R112:R112"")"),0.11424768518518519)</f>
        <v>0.1142476852</v>
      </c>
      <c r="H230" s="146">
        <f>IFERROR(__xludf.DUMMYFUNCTION("IMPORTRANGE(""https://docs.google.com/spreadsheets/d/1TIioSZ1nkrNo7fXNL_Pl8Yn36hHqDPS8O9jJQOqTQgg"", ""Finance Nightly Processing 2019!S112:S112"")"),0.13371527777777778)</f>
        <v>0.1337152778</v>
      </c>
      <c r="I230" s="44">
        <f>IFERROR(__xludf.DUMMYFUNCTION("IMPORTRANGE(""https://docs.google.com/spreadsheets/d/1TIioSZ1nkrNo7fXNL_Pl8Yn36hHqDPS8O9jJQOqTQgg"", ""Finance Nightly Processing 2019!W112:W112"")"),0.21876157407407407)</f>
        <v>0.2187615741</v>
      </c>
      <c r="J230" s="45">
        <f t="shared" si="2"/>
        <v>435.0166667</v>
      </c>
      <c r="L230" s="46" t="s">
        <v>158</v>
      </c>
    </row>
    <row r="231">
      <c r="A231" s="118">
        <v>43575.0</v>
      </c>
      <c r="B231" s="70" t="s">
        <v>99</v>
      </c>
      <c r="C231" s="43" t="str">
        <f>VLOOKUP(A231,Table!A:B,2,false)</f>
        <v>P9 W1</v>
      </c>
      <c r="D231" s="43" t="str">
        <f>VLOOKUP(A231,Table!A:D,4,false)</f>
        <v>Period 9</v>
      </c>
      <c r="E231" s="70" t="s">
        <v>93</v>
      </c>
      <c r="F231" s="43">
        <v>0.9166666666666666</v>
      </c>
      <c r="G231" s="148">
        <f>IFERROR(__xludf.DUMMYFUNCTION("IMPORTRANGE(""https://docs.google.com/spreadsheets/d/1TIioSZ1nkrNo7fXNL_Pl8Yn36hHqDPS8O9jJQOqTQgg"", ""Finance Nightly Processing 2019!R113:R113"")"),0.13055555555555556)</f>
        <v>0.1305555556</v>
      </c>
      <c r="H231" s="146">
        <f>IFERROR(__xludf.DUMMYFUNCTION("IMPORTRANGE(""https://docs.google.com/spreadsheets/d/1TIioSZ1nkrNo7fXNL_Pl8Yn36hHqDPS8O9jJQOqTQgg"", ""Finance Nightly Processing 2019!S113:S113"")"),0.14305555555555555)</f>
        <v>0.1430555556</v>
      </c>
      <c r="I231" s="44">
        <f>IFERROR(__xludf.DUMMYFUNCTION("IMPORTRANGE(""https://docs.google.com/spreadsheets/d/1TIioSZ1nkrNo7fXNL_Pl8Yn36hHqDPS8O9jJQOqTQgg"", ""Finance Nightly Processing 2019!W113:W113"")"),0.32222222222222224)</f>
        <v>0.3222222222</v>
      </c>
      <c r="J231" s="45">
        <f t="shared" si="2"/>
        <v>584</v>
      </c>
      <c r="L231" s="46" t="s">
        <v>159</v>
      </c>
      <c r="M231" s="72" t="s">
        <v>303</v>
      </c>
      <c r="N231" s="46" t="s">
        <v>23</v>
      </c>
    </row>
    <row r="232">
      <c r="A232" s="118">
        <v>43576.0</v>
      </c>
      <c r="B232" s="70" t="s">
        <v>100</v>
      </c>
      <c r="C232" s="43" t="str">
        <f>VLOOKUP(A232,Table!A:B,2,false)</f>
        <v>P9 W1</v>
      </c>
      <c r="D232" s="43" t="str">
        <f>VLOOKUP(A232,Table!A:D,4,false)</f>
        <v>Period 9</v>
      </c>
      <c r="E232" s="70" t="s">
        <v>93</v>
      </c>
      <c r="F232" s="43">
        <v>0.9166666666666666</v>
      </c>
      <c r="G232" s="148">
        <f>IFERROR(__xludf.DUMMYFUNCTION("IMPORTRANGE(""https://docs.google.com/spreadsheets/d/1TIioSZ1nkrNo7fXNL_Pl8Yn36hHqDPS8O9jJQOqTQgg"", ""Finance Nightly Processing 2019!R114:R114"")"),0.14846064814814816)</f>
        <v>0.1484606481</v>
      </c>
      <c r="H232" s="146">
        <f>IFERROR(__xludf.DUMMYFUNCTION("IMPORTRANGE(""https://docs.google.com/spreadsheets/d/1TIioSZ1nkrNo7fXNL_Pl8Yn36hHqDPS8O9jJQOqTQgg"", ""Finance Nightly Processing 2019!S114:S114"")"),0.17408564814814814)</f>
        <v>0.1740856481</v>
      </c>
      <c r="I232" s="44">
        <f>IFERROR(__xludf.DUMMYFUNCTION("IMPORTRANGE(""https://docs.google.com/spreadsheets/d/1TIioSZ1nkrNo7fXNL_Pl8Yn36hHqDPS8O9jJQOqTQgg"", ""Finance Nightly Processing 2019!W114:W114"")"),0.24305555555555555)</f>
        <v>0.2430555556</v>
      </c>
      <c r="J232" s="45">
        <f t="shared" si="2"/>
        <v>470</v>
      </c>
      <c r="L232" s="46" t="s">
        <v>160</v>
      </c>
    </row>
    <row r="233">
      <c r="A233" s="118">
        <v>43577.0</v>
      </c>
      <c r="B233" s="70" t="s">
        <v>92</v>
      </c>
      <c r="C233" s="43" t="str">
        <f>VLOOKUP(A233,Table!A:B,2,false)</f>
        <v>P9 W2</v>
      </c>
      <c r="D233" s="43" t="str">
        <f>VLOOKUP(A233,Table!A:D,4,false)</f>
        <v>Period 9</v>
      </c>
      <c r="E233" s="70" t="s">
        <v>101</v>
      </c>
      <c r="F233" s="43">
        <v>0.9166666666666666</v>
      </c>
      <c r="G233" s="148">
        <f>IFERROR(__xludf.DUMMYFUNCTION("IMPORTRANGE(""https://docs.google.com/spreadsheets/d/1TIioSZ1nkrNo7fXNL_Pl8Yn36hHqDPS8O9jJQOqTQgg"", ""Finance Nightly Processing 2019!R115:R115"")"),0.12708333333333333)</f>
        <v>0.1270833333</v>
      </c>
      <c r="H233" s="146">
        <f>IFERROR(__xludf.DUMMYFUNCTION("IMPORTRANGE(""https://docs.google.com/spreadsheets/d/1TIioSZ1nkrNo7fXNL_Pl8Yn36hHqDPS8O9jJQOqTQgg"", ""Finance Nightly Processing 2019!S115:S115"")"),0.15)</f>
        <v>0.15</v>
      </c>
      <c r="I233" s="44">
        <f>IFERROR(__xludf.DUMMYFUNCTION("IMPORTRANGE(""https://docs.google.com/spreadsheets/d/1TIioSZ1nkrNo7fXNL_Pl8Yn36hHqDPS8O9jJQOqTQgg"", ""Finance Nightly Processing 2019!W115:W115"")"),0.2263888888888889)</f>
        <v>0.2263888889</v>
      </c>
      <c r="J233" s="45">
        <f t="shared" si="2"/>
        <v>446</v>
      </c>
      <c r="L233" s="46" t="s">
        <v>152</v>
      </c>
    </row>
    <row r="234">
      <c r="A234" s="118">
        <v>43578.0</v>
      </c>
      <c r="B234" s="70" t="s">
        <v>94</v>
      </c>
      <c r="C234" s="43" t="str">
        <f>VLOOKUP(A234,Table!A:B,2,false)</f>
        <v>P9 W2</v>
      </c>
      <c r="D234" s="43" t="str">
        <f>VLOOKUP(A234,Table!A:D,4,false)</f>
        <v>Period 9</v>
      </c>
      <c r="E234" s="70" t="s">
        <v>101</v>
      </c>
      <c r="F234" s="43">
        <v>0.9166666666666666</v>
      </c>
      <c r="G234" s="148">
        <f>IFERROR(__xludf.DUMMYFUNCTION("IMPORTRANGE(""https://docs.google.com/spreadsheets/d/1TIioSZ1nkrNo7fXNL_Pl8Yn36hHqDPS8O9jJQOqTQgg"", ""Finance Nightly Processing 2019!R116:R116"")"),0.11458333333333333)</f>
        <v>0.1145833333</v>
      </c>
      <c r="H234" s="146">
        <f>IFERROR(__xludf.DUMMYFUNCTION("IMPORTRANGE(""https://docs.google.com/spreadsheets/d/1TIioSZ1nkrNo7fXNL_Pl8Yn36hHqDPS8O9jJQOqTQgg"", ""Finance Nightly Processing 2019!S116:S116"")"),0.1388888888888889)</f>
        <v>0.1388888889</v>
      </c>
      <c r="I234" s="44">
        <f>IFERROR(__xludf.DUMMYFUNCTION("IMPORTRANGE(""https://docs.google.com/spreadsheets/d/1TIioSZ1nkrNo7fXNL_Pl8Yn36hHqDPS8O9jJQOqTQgg"", ""Finance Nightly Processing 2019!W116:W116"")"),0.225)</f>
        <v>0.225</v>
      </c>
      <c r="J234" s="45">
        <f t="shared" si="2"/>
        <v>444</v>
      </c>
      <c r="L234" s="46" t="s">
        <v>154</v>
      </c>
    </row>
    <row r="235">
      <c r="A235" s="118">
        <v>43579.0</v>
      </c>
      <c r="B235" s="70" t="s">
        <v>96</v>
      </c>
      <c r="C235" s="43" t="str">
        <f>VLOOKUP(A235,Table!A:B,2,false)</f>
        <v>P9 W2</v>
      </c>
      <c r="D235" s="43" t="str">
        <f>VLOOKUP(A235,Table!A:D,4,false)</f>
        <v>Period 9</v>
      </c>
      <c r="E235" s="70" t="s">
        <v>101</v>
      </c>
      <c r="F235" s="43">
        <v>0.9166666666666666</v>
      </c>
      <c r="G235" s="148">
        <f>IFERROR(__xludf.DUMMYFUNCTION("IMPORTRANGE(""https://docs.google.com/spreadsheets/d/1TIioSZ1nkrNo7fXNL_Pl8Yn36hHqDPS8O9jJQOqTQgg"", ""Finance Nightly Processing 2019!R117:R117"")"),0.12986111111111112)</f>
        <v>0.1298611111</v>
      </c>
      <c r="H235" s="146">
        <f>IFERROR(__xludf.DUMMYFUNCTION("IMPORTRANGE(""https://docs.google.com/spreadsheets/d/1TIioSZ1nkrNo7fXNL_Pl8Yn36hHqDPS8O9jJQOqTQgg"", ""Finance Nightly Processing 2019!S117:S117"")"),0.15694444444444444)</f>
        <v>0.1569444444</v>
      </c>
      <c r="I235" s="44">
        <f>IFERROR(__xludf.DUMMYFUNCTION("IMPORTRANGE(""https://docs.google.com/spreadsheets/d/1TIioSZ1nkrNo7fXNL_Pl8Yn36hHqDPS8O9jJQOqTQgg"", ""Finance Nightly Processing 2019!W117:W117"")"),0.23472222222222222)</f>
        <v>0.2347222222</v>
      </c>
      <c r="J235" s="45">
        <f t="shared" si="2"/>
        <v>458</v>
      </c>
      <c r="L235" s="46" t="s">
        <v>156</v>
      </c>
    </row>
    <row r="236">
      <c r="A236" s="118">
        <v>43580.0</v>
      </c>
      <c r="B236" s="70" t="s">
        <v>97</v>
      </c>
      <c r="C236" s="43" t="str">
        <f>VLOOKUP(A236,Table!A:B,2,false)</f>
        <v>P9 W2</v>
      </c>
      <c r="D236" s="43" t="str">
        <f>VLOOKUP(A236,Table!A:D,4,false)</f>
        <v>Period 9</v>
      </c>
      <c r="E236" s="70" t="s">
        <v>101</v>
      </c>
      <c r="F236" s="43">
        <v>0.9166666666666666</v>
      </c>
      <c r="G236" s="148">
        <f>IFERROR(__xludf.DUMMYFUNCTION("IMPORTRANGE(""https://docs.google.com/spreadsheets/d/1TIioSZ1nkrNo7fXNL_Pl8Yn36hHqDPS8O9jJQOqTQgg"", ""Finance Nightly Processing 2019!R118:R118"")"),0.125)</f>
        <v>0.125</v>
      </c>
      <c r="H236" s="146">
        <f>IFERROR(__xludf.DUMMYFUNCTION("IMPORTRANGE(""https://docs.google.com/spreadsheets/d/1TIioSZ1nkrNo7fXNL_Pl8Yn36hHqDPS8O9jJQOqTQgg"", ""Finance Nightly Processing 2019!S118:S118"")"),0.17777777777777778)</f>
        <v>0.1777777778</v>
      </c>
      <c r="I236" s="44">
        <f>IFERROR(__xludf.DUMMYFUNCTION("IMPORTRANGE(""https://docs.google.com/spreadsheets/d/1TIioSZ1nkrNo7fXNL_Pl8Yn36hHqDPS8O9jJQOqTQgg"", ""Finance Nightly Processing 2019!W118:W118"")"),0.22994212962962962)</f>
        <v>0.2299421296</v>
      </c>
      <c r="J236" s="45">
        <f t="shared" si="2"/>
        <v>451.1166667</v>
      </c>
      <c r="L236" s="46" t="s">
        <v>157</v>
      </c>
    </row>
    <row r="237">
      <c r="A237" s="118">
        <v>43581.0</v>
      </c>
      <c r="B237" s="70" t="s">
        <v>98</v>
      </c>
      <c r="C237" s="43" t="str">
        <f>VLOOKUP(A237,Table!A:B,2,false)</f>
        <v>P9 W2</v>
      </c>
      <c r="D237" s="43" t="str">
        <f>VLOOKUP(A237,Table!A:D,4,false)</f>
        <v>Period 9</v>
      </c>
      <c r="E237" s="70" t="s">
        <v>101</v>
      </c>
      <c r="F237" s="43">
        <v>0.9166666666666666</v>
      </c>
      <c r="G237" s="148">
        <f>IFERROR(__xludf.DUMMYFUNCTION("IMPORTRANGE(""https://docs.google.com/spreadsheets/d/1TIioSZ1nkrNo7fXNL_Pl8Yn36hHqDPS8O9jJQOqTQgg"", ""Finance Nightly Processing 2019!R119:R119"")"),0.11581018518518518)</f>
        <v>0.1158101852</v>
      </c>
      <c r="H237" s="146">
        <f>IFERROR(__xludf.DUMMYFUNCTION("IMPORTRANGE(""https://docs.google.com/spreadsheets/d/1TIioSZ1nkrNo7fXNL_Pl8Yn36hHqDPS8O9jJQOqTQgg"", ""Finance Nightly Processing 2019!S119:S119"")"),0.1451851851851852)</f>
        <v>0.1451851852</v>
      </c>
      <c r="I237" s="44">
        <f>IFERROR(__xludf.DUMMYFUNCTION("IMPORTRANGE(""https://docs.google.com/spreadsheets/d/1TIioSZ1nkrNo7fXNL_Pl8Yn36hHqDPS8O9jJQOqTQgg"", ""Finance Nightly Processing 2019!W119:W119"")"),0.23358796296296297)</f>
        <v>0.233587963</v>
      </c>
      <c r="J237" s="45">
        <f t="shared" si="2"/>
        <v>456.3666667</v>
      </c>
      <c r="L237" s="46" t="s">
        <v>158</v>
      </c>
    </row>
    <row r="238">
      <c r="A238" s="118">
        <v>43582.0</v>
      </c>
      <c r="B238" s="70" t="s">
        <v>99</v>
      </c>
      <c r="C238" s="43" t="str">
        <f>VLOOKUP(A238,Table!A:B,2,false)</f>
        <v>P9 W2</v>
      </c>
      <c r="D238" s="43" t="str">
        <f>VLOOKUP(A238,Table!A:D,4,false)</f>
        <v>Period 9</v>
      </c>
      <c r="E238" s="70" t="s">
        <v>101</v>
      </c>
      <c r="F238" s="43">
        <v>0.9166666666666666</v>
      </c>
      <c r="G238" s="148">
        <f>IFERROR(__xludf.DUMMYFUNCTION("IMPORTRANGE(""https://docs.google.com/spreadsheets/d/1TIioSZ1nkrNo7fXNL_Pl8Yn36hHqDPS8O9jJQOqTQgg"", ""Finance Nightly Processing 2019!R120:R120"")"),0.12916666666666668)</f>
        <v>0.1291666667</v>
      </c>
      <c r="H238" s="146">
        <f>IFERROR(__xludf.DUMMYFUNCTION("IMPORTRANGE(""https://docs.google.com/spreadsheets/d/1TIioSZ1nkrNo7fXNL_Pl8Yn36hHqDPS8O9jJQOqTQgg"", ""Finance Nightly Processing 2019!S120:S120"")"),0.1486111111111111)</f>
        <v>0.1486111111</v>
      </c>
      <c r="I238" s="44">
        <f>IFERROR(__xludf.DUMMYFUNCTION("IMPORTRANGE(""https://docs.google.com/spreadsheets/d/1TIioSZ1nkrNo7fXNL_Pl8Yn36hHqDPS8O9jJQOqTQgg"", ""Finance Nightly Processing 2019!W120:W120"")"),0.23125)</f>
        <v>0.23125</v>
      </c>
      <c r="J238" s="45">
        <f t="shared" si="2"/>
        <v>453</v>
      </c>
      <c r="L238" s="46" t="s">
        <v>159</v>
      </c>
    </row>
    <row r="239">
      <c r="A239" s="118">
        <v>43583.0</v>
      </c>
      <c r="B239" s="70" t="s">
        <v>100</v>
      </c>
      <c r="C239" s="43" t="str">
        <f>VLOOKUP(A239,Table!A:B,2,false)</f>
        <v>P9 W2</v>
      </c>
      <c r="D239" s="43" t="str">
        <f>VLOOKUP(A239,Table!A:D,4,false)</f>
        <v>Period 9</v>
      </c>
      <c r="E239" s="70" t="s">
        <v>101</v>
      </c>
      <c r="F239" s="43">
        <v>0.9166666666666666</v>
      </c>
      <c r="G239" s="148">
        <f>IFERROR(__xludf.DUMMYFUNCTION("IMPORTRANGE(""https://docs.google.com/spreadsheets/d/1TIioSZ1nkrNo7fXNL_Pl8Yn36hHqDPS8O9jJQOqTQgg"", ""Finance Nightly Processing 2019!R121:R121"")"),0.15416666666666667)</f>
        <v>0.1541666667</v>
      </c>
      <c r="H239" s="146">
        <f>IFERROR(__xludf.DUMMYFUNCTION("IMPORTRANGE(""https://docs.google.com/spreadsheets/d/1TIioSZ1nkrNo7fXNL_Pl8Yn36hHqDPS8O9jJQOqTQgg"", ""Finance Nightly Processing 2019!S121:S121"")"),0.17916666666666667)</f>
        <v>0.1791666667</v>
      </c>
      <c r="I239" s="44">
        <f>IFERROR(__xludf.DUMMYFUNCTION("IMPORTRANGE(""https://docs.google.com/spreadsheets/d/1TIioSZ1nkrNo7fXNL_Pl8Yn36hHqDPS8O9jJQOqTQgg"", ""Finance Nightly Processing 2019!W121:W121"")"),0.24861111111111112)</f>
        <v>0.2486111111</v>
      </c>
      <c r="J239" s="45">
        <f t="shared" si="2"/>
        <v>478</v>
      </c>
      <c r="L239" s="46" t="s">
        <v>160</v>
      </c>
    </row>
    <row r="240">
      <c r="A240" s="118">
        <v>43584.0</v>
      </c>
      <c r="B240" s="70" t="s">
        <v>92</v>
      </c>
      <c r="C240" s="43" t="str">
        <f>VLOOKUP(A240,Table!A:B,2,false)</f>
        <v>P9 W3</v>
      </c>
      <c r="D240" s="43" t="str">
        <f>VLOOKUP(A240,Table!A:D,4,false)</f>
        <v>Period 9</v>
      </c>
      <c r="E240" s="70" t="s">
        <v>106</v>
      </c>
      <c r="F240" s="43">
        <v>0.9166666666666666</v>
      </c>
      <c r="G240" s="148">
        <f>IFERROR(__xludf.DUMMYFUNCTION("IMPORTRANGE(""https://docs.google.com/spreadsheets/d/1TIioSZ1nkrNo7fXNL_Pl8Yn36hHqDPS8O9jJQOqTQgg"", ""Finance Nightly Processing 2019!R122:R122"")"),0.11666666666666667)</f>
        <v>0.1166666667</v>
      </c>
      <c r="H240" s="146">
        <f>IFERROR(__xludf.DUMMYFUNCTION("IMPORTRANGE(""https://docs.google.com/spreadsheets/d/1TIioSZ1nkrNo7fXNL_Pl8Yn36hHqDPS8O9jJQOqTQgg"", ""Finance Nightly Processing 2019!S122:S122"")"),0.1423611111111111)</f>
        <v>0.1423611111</v>
      </c>
      <c r="I240" s="44">
        <f>IFERROR(__xludf.DUMMYFUNCTION("IMPORTRANGE(""https://docs.google.com/spreadsheets/d/1TIioSZ1nkrNo7fXNL_Pl8Yn36hHqDPS8O9jJQOqTQgg"", ""Finance Nightly Processing 2019!W122:W122"")"),0.24166666666666667)</f>
        <v>0.2416666667</v>
      </c>
      <c r="J240" s="45">
        <f t="shared" si="2"/>
        <v>468</v>
      </c>
      <c r="L240" s="46" t="s">
        <v>152</v>
      </c>
      <c r="M240" s="72" t="s">
        <v>304</v>
      </c>
      <c r="N240" s="46" t="s">
        <v>37</v>
      </c>
    </row>
    <row r="241">
      <c r="A241" s="118">
        <v>43585.0</v>
      </c>
      <c r="B241" s="70" t="s">
        <v>94</v>
      </c>
      <c r="C241" s="43" t="str">
        <f>VLOOKUP(A241,Table!A:B,2,false)</f>
        <v>P9 W3</v>
      </c>
      <c r="D241" s="43" t="str">
        <f>VLOOKUP(A241,Table!A:D,4,false)</f>
        <v>Period 9</v>
      </c>
      <c r="E241" s="70" t="s">
        <v>106</v>
      </c>
      <c r="F241" s="43">
        <v>0.9166666666666666</v>
      </c>
      <c r="G241" s="148">
        <f>IFERROR(__xludf.DUMMYFUNCTION("IMPORTRANGE(""https://docs.google.com/spreadsheets/d/1TIioSZ1nkrNo7fXNL_Pl8Yn36hHqDPS8O9jJQOqTQgg"", ""Finance Nightly Processing 2019!R123:R123"")"),0.1326388888888889)</f>
        <v>0.1326388889</v>
      </c>
      <c r="H241" s="146">
        <f>IFERROR(__xludf.DUMMYFUNCTION("IMPORTRANGE(""https://docs.google.com/spreadsheets/d/1TIioSZ1nkrNo7fXNL_Pl8Yn36hHqDPS8O9jJQOqTQgg"", ""Finance Nightly Processing 2019!S123:S123"")"),0.15625)</f>
        <v>0.15625</v>
      </c>
      <c r="I241" s="44">
        <f>IFERROR(__xludf.DUMMYFUNCTION("IMPORTRANGE(""https://docs.google.com/spreadsheets/d/1TIioSZ1nkrNo7fXNL_Pl8Yn36hHqDPS8O9jJQOqTQgg"", ""Finance Nightly Processing 2019!W123:W123"")"),0.25555555555555554)</f>
        <v>0.2555555556</v>
      </c>
      <c r="J241" s="45">
        <f t="shared" si="2"/>
        <v>488</v>
      </c>
      <c r="L241" s="46" t="s">
        <v>154</v>
      </c>
      <c r="M241" s="72" t="s">
        <v>305</v>
      </c>
      <c r="N241" s="46" t="s">
        <v>37</v>
      </c>
    </row>
    <row r="242">
      <c r="A242" s="118">
        <v>43586.0</v>
      </c>
      <c r="B242" s="70" t="s">
        <v>96</v>
      </c>
      <c r="C242" s="43" t="str">
        <f>VLOOKUP(A242,Table!A:B,2,false)</f>
        <v>P9 W3</v>
      </c>
      <c r="D242" s="43" t="str">
        <f>VLOOKUP(A242,Table!A:D,4,false)</f>
        <v>Period 9</v>
      </c>
      <c r="E242" s="70" t="s">
        <v>106</v>
      </c>
      <c r="F242" s="43">
        <v>0.9166666666666666</v>
      </c>
      <c r="G242" s="148">
        <f>IFERROR(__xludf.DUMMYFUNCTION("IMPORTRANGE(""https://docs.google.com/spreadsheets/d/1TIioSZ1nkrNo7fXNL_Pl8Yn36hHqDPS8O9jJQOqTQgg"", ""Finance Nightly Processing 2019!R124:R124"")"),0.11666666666666667)</f>
        <v>0.1166666667</v>
      </c>
      <c r="H242" s="146">
        <f>IFERROR(__xludf.DUMMYFUNCTION("IMPORTRANGE(""https://docs.google.com/spreadsheets/d/1TIioSZ1nkrNo7fXNL_Pl8Yn36hHqDPS8O9jJQOqTQgg"", ""Finance Nightly Processing 2019!S124:S124"")"),0.15069444444444444)</f>
        <v>0.1506944444</v>
      </c>
      <c r="I242" s="44">
        <f>IFERROR(__xludf.DUMMYFUNCTION("IMPORTRANGE(""https://docs.google.com/spreadsheets/d/1TIioSZ1nkrNo7fXNL_Pl8Yn36hHqDPS8O9jJQOqTQgg"", ""Finance Nightly Processing 2019!W124:W124"")"),0.2375)</f>
        <v>0.2375</v>
      </c>
      <c r="J242" s="45">
        <f t="shared" si="2"/>
        <v>462</v>
      </c>
      <c r="L242" s="46" t="s">
        <v>156</v>
      </c>
    </row>
    <row r="243">
      <c r="A243" s="118">
        <v>43587.0</v>
      </c>
      <c r="B243" s="70" t="s">
        <v>97</v>
      </c>
      <c r="C243" s="43" t="str">
        <f>VLOOKUP(A243,Table!A:B,2,false)</f>
        <v>P9 W3</v>
      </c>
      <c r="D243" s="43" t="str">
        <f>VLOOKUP(A243,Table!A:D,4,false)</f>
        <v>Period 9</v>
      </c>
      <c r="E243" s="70" t="s">
        <v>106</v>
      </c>
      <c r="F243" s="43">
        <v>0.9166666666666666</v>
      </c>
      <c r="G243" s="148">
        <f>IFERROR(__xludf.DUMMYFUNCTION("IMPORTRANGE(""https://docs.google.com/spreadsheets/d/1TIioSZ1nkrNo7fXNL_Pl8Yn36hHqDPS8O9jJQOqTQgg"", ""Finance Nightly Processing 2019!R125:R125"")"),0.11527777777777778)</f>
        <v>0.1152777778</v>
      </c>
      <c r="H243" s="146">
        <f>IFERROR(__xludf.DUMMYFUNCTION("IMPORTRANGE(""https://docs.google.com/spreadsheets/d/1TIioSZ1nkrNo7fXNL_Pl8Yn36hHqDPS8O9jJQOqTQgg"", ""Finance Nightly Processing 2019!S125:S125"")"),0.14027777777777778)</f>
        <v>0.1402777778</v>
      </c>
      <c r="I243" s="44">
        <f>IFERROR(__xludf.DUMMYFUNCTION("IMPORTRANGE(""https://docs.google.com/spreadsheets/d/1TIioSZ1nkrNo7fXNL_Pl8Yn36hHqDPS8O9jJQOqTQgg"", ""Finance Nightly Processing 2019!W125:W125"")"),0.2263888888888889)</f>
        <v>0.2263888889</v>
      </c>
      <c r="J243" s="45">
        <f t="shared" si="2"/>
        <v>446</v>
      </c>
      <c r="L243" s="46" t="s">
        <v>157</v>
      </c>
    </row>
    <row r="244">
      <c r="A244" s="118">
        <v>43588.0</v>
      </c>
      <c r="B244" s="70" t="s">
        <v>98</v>
      </c>
      <c r="C244" s="43" t="str">
        <f>VLOOKUP(A244,Table!A:B,2,false)</f>
        <v>P9 W3</v>
      </c>
      <c r="D244" s="43" t="str">
        <f>VLOOKUP(A244,Table!A:D,4,false)</f>
        <v>Period 9</v>
      </c>
      <c r="E244" s="70" t="s">
        <v>106</v>
      </c>
      <c r="F244" s="43">
        <v>0.9166666666666666</v>
      </c>
      <c r="G244" s="148">
        <f>IFERROR(__xludf.DUMMYFUNCTION("IMPORTRANGE(""https://docs.google.com/spreadsheets/d/1TIioSZ1nkrNo7fXNL_Pl8Yn36hHqDPS8O9jJQOqTQgg"", ""Finance Nightly Processing 2019!R126:R126"")"),0.12986111111111112)</f>
        <v>0.1298611111</v>
      </c>
      <c r="H244" s="146">
        <f>IFERROR(__xludf.DUMMYFUNCTION("IMPORTRANGE(""https://docs.google.com/spreadsheets/d/1TIioSZ1nkrNo7fXNL_Pl8Yn36hHqDPS8O9jJQOqTQgg"", ""Finance Nightly Processing 2019!S126:S126"")"),0.15069444444444444)</f>
        <v>0.1506944444</v>
      </c>
      <c r="I244" s="44">
        <f>IFERROR(__xludf.DUMMYFUNCTION("IMPORTRANGE(""https://docs.google.com/spreadsheets/d/1TIioSZ1nkrNo7fXNL_Pl8Yn36hHqDPS8O9jJQOqTQgg"", ""Finance Nightly Processing 2019!W126:W126"")"),0.23958333333333334)</f>
        <v>0.2395833333</v>
      </c>
      <c r="J244" s="45">
        <f t="shared" si="2"/>
        <v>465</v>
      </c>
      <c r="L244" s="46" t="s">
        <v>158</v>
      </c>
    </row>
    <row r="245">
      <c r="A245" s="118">
        <v>43589.0</v>
      </c>
      <c r="B245" s="70" t="s">
        <v>99</v>
      </c>
      <c r="C245" s="43" t="str">
        <f>VLOOKUP(A245,Table!A:B,2,false)</f>
        <v>P9 W3</v>
      </c>
      <c r="D245" s="43" t="str">
        <f>VLOOKUP(A245,Table!A:D,4,false)</f>
        <v>Period 9</v>
      </c>
      <c r="E245" s="70" t="s">
        <v>106</v>
      </c>
      <c r="F245" s="43">
        <v>0.9166666666666666</v>
      </c>
      <c r="G245" s="148">
        <f>IFERROR(__xludf.DUMMYFUNCTION("IMPORTRANGE(""https://docs.google.com/spreadsheets/d/1TIioSZ1nkrNo7fXNL_Pl8Yn36hHqDPS8O9jJQOqTQgg"", ""Finance Nightly Processing 2019!R127:R127"")"),0.1279861111111111)</f>
        <v>0.1279861111</v>
      </c>
      <c r="H245" s="146">
        <f>IFERROR(__xludf.DUMMYFUNCTION("IMPORTRANGE(""https://docs.google.com/spreadsheets/d/1TIioSZ1nkrNo7fXNL_Pl8Yn36hHqDPS8O9jJQOqTQgg"", ""Finance Nightly Processing 2019!S127:S127"")"),0.14478009259259259)</f>
        <v>0.1447800926</v>
      </c>
      <c r="I245" s="44">
        <f>IFERROR(__xludf.DUMMYFUNCTION("IMPORTRANGE(""https://docs.google.com/spreadsheets/d/1TIioSZ1nkrNo7fXNL_Pl8Yn36hHqDPS8O9jJQOqTQgg"", ""Finance Nightly Processing 2019!W127:W127"")"),0.2296875)</f>
        <v>0.2296875</v>
      </c>
      <c r="J245" s="45">
        <f t="shared" si="2"/>
        <v>450.75</v>
      </c>
      <c r="L245" s="46" t="s">
        <v>159</v>
      </c>
    </row>
    <row r="246">
      <c r="A246" s="118">
        <v>43590.0</v>
      </c>
      <c r="B246" s="70" t="s">
        <v>100</v>
      </c>
      <c r="C246" s="43" t="str">
        <f>VLOOKUP(A246,Table!A:B,2,false)</f>
        <v>P9 W3</v>
      </c>
      <c r="D246" s="43" t="str">
        <f>VLOOKUP(A246,Table!A:D,4,false)</f>
        <v>Period 9</v>
      </c>
      <c r="E246" s="70" t="s">
        <v>106</v>
      </c>
      <c r="F246" s="43">
        <v>0.9166666666666666</v>
      </c>
      <c r="G246" s="148">
        <f>IFERROR(__xludf.DUMMYFUNCTION("IMPORTRANGE(""https://docs.google.com/spreadsheets/d/1TIioSZ1nkrNo7fXNL_Pl8Yn36hHqDPS8O9jJQOqTQgg"", ""Finance Nightly Processing 2019!R128:R128"")"),0.16180555555555556)</f>
        <v>0.1618055556</v>
      </c>
      <c r="H246" s="146">
        <f>IFERROR(__xludf.DUMMYFUNCTION("IMPORTRANGE(""https://docs.google.com/spreadsheets/d/1TIioSZ1nkrNo7fXNL_Pl8Yn36hHqDPS8O9jJQOqTQgg"", ""Finance Nightly Processing 2019!S128:S128"")"),0.19166666666666668)</f>
        <v>0.1916666667</v>
      </c>
      <c r="I246" s="44">
        <f>IFERROR(__xludf.DUMMYFUNCTION("IMPORTRANGE(""https://docs.google.com/spreadsheets/d/1TIioSZ1nkrNo7fXNL_Pl8Yn36hHqDPS8O9jJQOqTQgg"", ""Finance Nightly Processing 2019!W128:W128"")"),0.3013888888888889)</f>
        <v>0.3013888889</v>
      </c>
      <c r="J246" s="45">
        <f t="shared" si="2"/>
        <v>554</v>
      </c>
      <c r="L246" s="46" t="s">
        <v>160</v>
      </c>
      <c r="M246" s="72" t="s">
        <v>306</v>
      </c>
      <c r="N246" s="46" t="s">
        <v>191</v>
      </c>
    </row>
    <row r="247">
      <c r="A247" s="118">
        <v>43591.0</v>
      </c>
      <c r="B247" s="70" t="s">
        <v>92</v>
      </c>
      <c r="C247" s="43" t="str">
        <f>VLOOKUP(A247,Table!A:B,2,false)</f>
        <v>P9 W4</v>
      </c>
      <c r="D247" s="43" t="str">
        <f>VLOOKUP(A247,Table!A:D,4,false)</f>
        <v>Period 9</v>
      </c>
      <c r="E247" s="70" t="s">
        <v>110</v>
      </c>
      <c r="F247" s="43">
        <v>0.9166666666666666</v>
      </c>
      <c r="G247" s="148">
        <f>IFERROR(__xludf.DUMMYFUNCTION("IMPORTRANGE(""https://docs.google.com/spreadsheets/d/1TIioSZ1nkrNo7fXNL_Pl8Yn36hHqDPS8O9jJQOqTQgg"", ""Finance Nightly Processing 2019!R129:R129"")"),0.11666666666666667)</f>
        <v>0.1166666667</v>
      </c>
      <c r="H247" s="146">
        <f>IFERROR(__xludf.DUMMYFUNCTION("IMPORTRANGE(""https://docs.google.com/spreadsheets/d/1TIioSZ1nkrNo7fXNL_Pl8Yn36hHqDPS8O9jJQOqTQgg"", ""Finance Nightly Processing 2019!S129:S129"")"),0.14444444444444443)</f>
        <v>0.1444444444</v>
      </c>
      <c r="I247" s="44">
        <f>IFERROR(__xludf.DUMMYFUNCTION("IMPORTRANGE(""https://docs.google.com/spreadsheets/d/1TIioSZ1nkrNo7fXNL_Pl8Yn36hHqDPS8O9jJQOqTQgg"", ""Finance Nightly Processing 2019!W129:W129"")"),0.2263888888888889)</f>
        <v>0.2263888889</v>
      </c>
      <c r="J247" s="45">
        <f t="shared" si="2"/>
        <v>446</v>
      </c>
      <c r="L247" s="46" t="s">
        <v>152</v>
      </c>
    </row>
    <row r="248">
      <c r="A248" s="118">
        <v>43592.0</v>
      </c>
      <c r="B248" s="70" t="s">
        <v>94</v>
      </c>
      <c r="C248" s="43" t="str">
        <f>VLOOKUP(A248,Table!A:B,2,false)</f>
        <v>P9 W4</v>
      </c>
      <c r="D248" s="43" t="str">
        <f>VLOOKUP(A248,Table!A:D,4,false)</f>
        <v>Period 9</v>
      </c>
      <c r="E248" s="70" t="s">
        <v>110</v>
      </c>
      <c r="F248" s="43">
        <v>0.9166666666666666</v>
      </c>
      <c r="G248" s="148">
        <f>IFERROR(__xludf.DUMMYFUNCTION("IMPORTRANGE(""https://docs.google.com/spreadsheets/d/1TIioSZ1nkrNo7fXNL_Pl8Yn36hHqDPS8O9jJQOqTQgg"", ""Finance Nightly Processing 2019!R130:R130"")"),0.12638888888888888)</f>
        <v>0.1263888889</v>
      </c>
      <c r="H248" s="146">
        <f>IFERROR(__xludf.DUMMYFUNCTION("IMPORTRANGE(""https://docs.google.com/spreadsheets/d/1TIioSZ1nkrNo7fXNL_Pl8Yn36hHqDPS8O9jJQOqTQgg"", ""Finance Nightly Processing 2019!S130:S130"")"),0.15347222222222223)</f>
        <v>0.1534722222</v>
      </c>
      <c r="I248" s="44">
        <f>IFERROR(__xludf.DUMMYFUNCTION("IMPORTRANGE(""https://docs.google.com/spreadsheets/d/1TIioSZ1nkrNo7fXNL_Pl8Yn36hHqDPS8O9jJQOqTQgg"", ""Finance Nightly Processing 2019!W130:W130"")"),0.23541666666666666)</f>
        <v>0.2354166667</v>
      </c>
      <c r="J248" s="45">
        <f t="shared" si="2"/>
        <v>459</v>
      </c>
      <c r="L248" s="46" t="s">
        <v>154</v>
      </c>
    </row>
    <row r="249">
      <c r="A249" s="118">
        <v>43593.0</v>
      </c>
      <c r="B249" s="70" t="s">
        <v>96</v>
      </c>
      <c r="C249" s="43" t="str">
        <f>VLOOKUP(A249,Table!A:B,2,false)</f>
        <v>P9 W4</v>
      </c>
      <c r="D249" s="43" t="str">
        <f>VLOOKUP(A249,Table!A:D,4,false)</f>
        <v>Period 9</v>
      </c>
      <c r="E249" s="70" t="s">
        <v>110</v>
      </c>
      <c r="F249" s="43">
        <v>0.9166666666666666</v>
      </c>
      <c r="G249" s="148">
        <f>IFERROR(__xludf.DUMMYFUNCTION("IMPORTRANGE(""https://docs.google.com/spreadsheets/d/1TIioSZ1nkrNo7fXNL_Pl8Yn36hHqDPS8O9jJQOqTQgg"", ""Finance Nightly Processing 2019!R131:R131"")"),0.14305555555555555)</f>
        <v>0.1430555556</v>
      </c>
      <c r="H249" s="146">
        <f>IFERROR(__xludf.DUMMYFUNCTION("IMPORTRANGE(""https://docs.google.com/spreadsheets/d/1TIioSZ1nkrNo7fXNL_Pl8Yn36hHqDPS8O9jJQOqTQgg"", ""Finance Nightly Processing 2019!S131:S131"")"),0.17083333333333334)</f>
        <v>0.1708333333</v>
      </c>
      <c r="I249" s="44">
        <f>IFERROR(__xludf.DUMMYFUNCTION("IMPORTRANGE(""https://docs.google.com/spreadsheets/d/1TIioSZ1nkrNo7fXNL_Pl8Yn36hHqDPS8O9jJQOqTQgg"", ""Finance Nightly Processing 2019!W131:W131"")"),0.28402777777777777)</f>
        <v>0.2840277778</v>
      </c>
      <c r="J249" s="45">
        <f t="shared" si="2"/>
        <v>529</v>
      </c>
      <c r="L249" s="46" t="s">
        <v>156</v>
      </c>
      <c r="M249" s="46" t="s">
        <v>140</v>
      </c>
      <c r="N249" s="46" t="s">
        <v>191</v>
      </c>
    </row>
    <row r="250">
      <c r="A250" s="118">
        <v>43594.0</v>
      </c>
      <c r="B250" s="70" t="s">
        <v>97</v>
      </c>
      <c r="C250" s="43" t="str">
        <f>VLOOKUP(A250,Table!A:B,2,false)</f>
        <v>P9 W4</v>
      </c>
      <c r="D250" s="43" t="str">
        <f>VLOOKUP(A250,Table!A:D,4,false)</f>
        <v>Period 9</v>
      </c>
      <c r="E250" s="70" t="s">
        <v>110</v>
      </c>
      <c r="F250" s="43">
        <v>0.9166666666666666</v>
      </c>
      <c r="G250" s="148">
        <f>IFERROR(__xludf.DUMMYFUNCTION("IMPORTRANGE(""https://docs.google.com/spreadsheets/d/1TIioSZ1nkrNo7fXNL_Pl8Yn36hHqDPS8O9jJQOqTQgg"", ""Finance Nightly Processing 2019!R132:R132"")"),0.12777777777777777)</f>
        <v>0.1277777778</v>
      </c>
      <c r="H250" s="146">
        <f>IFERROR(__xludf.DUMMYFUNCTION("IMPORTRANGE(""https://docs.google.com/spreadsheets/d/1TIioSZ1nkrNo7fXNL_Pl8Yn36hHqDPS8O9jJQOqTQgg"", ""Finance Nightly Processing 2019!S132:S132"")"),0.21944444444444444)</f>
        <v>0.2194444444</v>
      </c>
      <c r="I250" s="44">
        <f>IFERROR(__xludf.DUMMYFUNCTION("IMPORTRANGE(""https://docs.google.com/spreadsheets/d/1TIioSZ1nkrNo7fXNL_Pl8Yn36hHqDPS8O9jJQOqTQgg"", ""Finance Nightly Processing 2019!W132:W132"")"),0.3104166666666667)</f>
        <v>0.3104166667</v>
      </c>
      <c r="J250" s="45">
        <f t="shared" si="2"/>
        <v>567</v>
      </c>
      <c r="L250" s="46" t="s">
        <v>157</v>
      </c>
      <c r="M250" s="72" t="s">
        <v>307</v>
      </c>
      <c r="N250" s="46" t="s">
        <v>195</v>
      </c>
    </row>
    <row r="251">
      <c r="A251" s="118">
        <v>43595.0</v>
      </c>
      <c r="B251" s="70" t="s">
        <v>98</v>
      </c>
      <c r="C251" s="43" t="str">
        <f>VLOOKUP(A251,Table!A:B,2,false)</f>
        <v>P9 W4</v>
      </c>
      <c r="D251" s="43" t="str">
        <f>VLOOKUP(A251,Table!A:D,4,false)</f>
        <v>Period 9</v>
      </c>
      <c r="E251" s="70" t="s">
        <v>110</v>
      </c>
      <c r="F251" s="43">
        <v>0.9166666666666666</v>
      </c>
      <c r="G251" s="148">
        <f>IFERROR(__xludf.DUMMYFUNCTION("IMPORTRANGE(""https://docs.google.com/spreadsheets/d/1TIioSZ1nkrNo7fXNL_Pl8Yn36hHqDPS8O9jJQOqTQgg"", ""Finance Nightly Processing 2019!R133:R133"")"),0.1269212962962963)</f>
        <v>0.1269212963</v>
      </c>
      <c r="H251" s="146">
        <f>IFERROR(__xludf.DUMMYFUNCTION("IMPORTRANGE(""https://docs.google.com/spreadsheets/d/1TIioSZ1nkrNo7fXNL_Pl8Yn36hHqDPS8O9jJQOqTQgg"", ""Finance Nightly Processing 2019!S133:S133"")"),0.1500462962962963)</f>
        <v>0.1500462963</v>
      </c>
      <c r="I251" s="44">
        <f>IFERROR(__xludf.DUMMYFUNCTION("IMPORTRANGE(""https://docs.google.com/spreadsheets/d/1TIioSZ1nkrNo7fXNL_Pl8Yn36hHqDPS8O9jJQOqTQgg"", ""Finance Nightly Processing 2019!W133:W133"")"),0.24505787037037038)</f>
        <v>0.2450578704</v>
      </c>
      <c r="J251" s="45">
        <f t="shared" si="2"/>
        <v>472.8833333</v>
      </c>
      <c r="L251" s="46" t="s">
        <v>158</v>
      </c>
    </row>
    <row r="252">
      <c r="A252" s="118">
        <v>43596.0</v>
      </c>
      <c r="B252" s="70" t="s">
        <v>99</v>
      </c>
      <c r="C252" s="43" t="str">
        <f>VLOOKUP(A252,Table!A:B,2,false)</f>
        <v>P9 W4</v>
      </c>
      <c r="D252" s="43" t="str">
        <f>VLOOKUP(A252,Table!A:D,4,false)</f>
        <v>Period 9</v>
      </c>
      <c r="E252" s="70" t="s">
        <v>110</v>
      </c>
      <c r="F252" s="43">
        <v>0.9166666666666666</v>
      </c>
      <c r="G252" s="148">
        <f>IFERROR(__xludf.DUMMYFUNCTION("IMPORTRANGE(""https://docs.google.com/spreadsheets/d/1TIioSZ1nkrNo7fXNL_Pl8Yn36hHqDPS8O9jJQOqTQgg"", ""Finance Nightly Processing 2019!R134:R134"")"),0.15538194444444445)</f>
        <v>0.1553819444</v>
      </c>
      <c r="H252" s="146">
        <f>IFERROR(__xludf.DUMMYFUNCTION("IMPORTRANGE(""https://docs.google.com/spreadsheets/d/1TIioSZ1nkrNo7fXNL_Pl8Yn36hHqDPS8O9jJQOqTQgg"", ""Finance Nightly Processing 2019!S134:S134"")"),0.17636574074074074)</f>
        <v>0.1763657407</v>
      </c>
      <c r="I252" s="44">
        <f>IFERROR(__xludf.DUMMYFUNCTION("IMPORTRANGE(""https://docs.google.com/spreadsheets/d/1TIioSZ1nkrNo7fXNL_Pl8Yn36hHqDPS8O9jJQOqTQgg"", ""Finance Nightly Processing 2019!W134:W134"")"),0.36666666666666664)</f>
        <v>0.3666666667</v>
      </c>
      <c r="J252" s="45">
        <f t="shared" si="2"/>
        <v>648</v>
      </c>
      <c r="L252" s="46" t="s">
        <v>159</v>
      </c>
      <c r="M252" s="72" t="s">
        <v>308</v>
      </c>
      <c r="N252" s="46" t="s">
        <v>191</v>
      </c>
    </row>
    <row r="253">
      <c r="A253" s="118">
        <v>43597.0</v>
      </c>
      <c r="B253" s="70" t="s">
        <v>100</v>
      </c>
      <c r="C253" s="43" t="str">
        <f>VLOOKUP(A253,Table!A:B,2,false)</f>
        <v>P9 W4</v>
      </c>
      <c r="D253" s="43" t="str">
        <f>VLOOKUP(A253,Table!A:D,4,false)</f>
        <v>Period 9</v>
      </c>
      <c r="E253" s="70" t="s">
        <v>110</v>
      </c>
      <c r="F253" s="43">
        <v>0.9166666666666666</v>
      </c>
      <c r="G253" s="148">
        <f>IFERROR(__xludf.DUMMYFUNCTION("IMPORTRANGE(""https://docs.google.com/spreadsheets/d/1TIioSZ1nkrNo7fXNL_Pl8Yn36hHqDPS8O9jJQOqTQgg"", ""Finance Nightly Processing 2019!R135:R135"")"),0.2114236111111111)</f>
        <v>0.2114236111</v>
      </c>
      <c r="H253" s="146">
        <f>IFERROR(__xludf.DUMMYFUNCTION("IMPORTRANGE(""https://docs.google.com/spreadsheets/d/1TIioSZ1nkrNo7fXNL_Pl8Yn36hHqDPS8O9jJQOqTQgg"", ""Finance Nightly Processing 2019!S135:S135"")"),0.23918981481481483)</f>
        <v>0.2391898148</v>
      </c>
      <c r="I253" s="44">
        <v>0.30277777777777776</v>
      </c>
      <c r="J253" s="45">
        <f t="shared" si="2"/>
        <v>556</v>
      </c>
      <c r="L253" s="46" t="s">
        <v>160</v>
      </c>
      <c r="M253" s="72" t="s">
        <v>309</v>
      </c>
      <c r="N253" s="46" t="s">
        <v>211</v>
      </c>
    </row>
    <row r="254">
      <c r="A254" s="157">
        <v>43598.0</v>
      </c>
      <c r="B254" s="79" t="s">
        <v>92</v>
      </c>
      <c r="C254" s="54" t="str">
        <f>VLOOKUP(A254,Table!A:B,2,false)</f>
        <v>P10 W1</v>
      </c>
      <c r="D254" s="54" t="str">
        <f>VLOOKUP(A254,Table!A:D,4,false)</f>
        <v>Period 10</v>
      </c>
      <c r="E254" s="70" t="s">
        <v>93</v>
      </c>
      <c r="F254" s="54">
        <v>0.9166666666666666</v>
      </c>
      <c r="G254" s="148">
        <f>IFERROR(__xludf.DUMMYFUNCTION("IMPORTRANGE(""https://docs.google.com/spreadsheets/d/1TIioSZ1nkrNo7fXNL_Pl8Yn36hHqDPS8O9jJQOqTQgg"", ""Finance Nightly Processing 2019!R136:R136"")"),0.13333333333333333)</f>
        <v>0.1333333333</v>
      </c>
      <c r="H254" s="146">
        <f>IFERROR(__xludf.DUMMYFUNCTION("IMPORTRANGE(""https://docs.google.com/spreadsheets/d/1TIioSZ1nkrNo7fXNL_Pl8Yn36hHqDPS8O9jJQOqTQgg"", ""Finance Nightly Processing 2019!S136:S136"")"),0.15902777777777777)</f>
        <v>0.1590277778</v>
      </c>
      <c r="I254" s="44">
        <f>IFERROR(__xludf.DUMMYFUNCTION("IMPORTRANGE(""https://docs.google.com/spreadsheets/d/1TIioSZ1nkrNo7fXNL_Pl8Yn36hHqDPS8O9jJQOqTQgg"", ""Finance Nightly Processing 2019!W136:W136"")"),0.29305555555555557)</f>
        <v>0.2930555556</v>
      </c>
      <c r="J254" s="45">
        <f t="shared" si="2"/>
        <v>542</v>
      </c>
      <c r="L254" s="46" t="s">
        <v>152</v>
      </c>
      <c r="M254" s="72" t="s">
        <v>310</v>
      </c>
      <c r="N254" s="46" t="s">
        <v>140</v>
      </c>
    </row>
    <row r="255">
      <c r="A255" s="118">
        <v>43599.0</v>
      </c>
      <c r="B255" s="70" t="s">
        <v>94</v>
      </c>
      <c r="C255" s="43" t="str">
        <f>VLOOKUP(A255,Table!A:B,2,false)</f>
        <v>P10 W1</v>
      </c>
      <c r="D255" s="43" t="str">
        <f>VLOOKUP(A255,Table!A:D,4,false)</f>
        <v>Period 10</v>
      </c>
      <c r="E255" s="70" t="s">
        <v>93</v>
      </c>
      <c r="F255" s="43">
        <v>0.9166666666666666</v>
      </c>
      <c r="G255" s="148">
        <f>IFERROR(__xludf.DUMMYFUNCTION("IMPORTRANGE(""https://docs.google.com/spreadsheets/d/1TIioSZ1nkrNo7fXNL_Pl8Yn36hHqDPS8O9jJQOqTQgg"", ""Finance Nightly Processing 2019!R137:R137"")"),0.11666666666666667)</f>
        <v>0.1166666667</v>
      </c>
      <c r="H255" s="146">
        <f>IFERROR(__xludf.DUMMYFUNCTION("IMPORTRANGE(""https://docs.google.com/spreadsheets/d/1TIioSZ1nkrNo7fXNL_Pl8Yn36hHqDPS8O9jJQOqTQgg"", ""Finance Nightly Processing 2019!S137:S137"")"),0.21666666666666667)</f>
        <v>0.2166666667</v>
      </c>
      <c r="I255" s="44">
        <f>IFERROR(__xludf.DUMMYFUNCTION("IMPORTRANGE(""https://docs.google.com/spreadsheets/d/1TIioSZ1nkrNo7fXNL_Pl8Yn36hHqDPS8O9jJQOqTQgg"", ""Finance Nightly Processing 2019!W137:W137"")"),0.325)</f>
        <v>0.325</v>
      </c>
      <c r="J255" s="45">
        <f t="shared" si="2"/>
        <v>588</v>
      </c>
      <c r="L255" s="46" t="s">
        <v>154</v>
      </c>
      <c r="M255" s="108" t="s">
        <v>311</v>
      </c>
      <c r="N255" s="46" t="s">
        <v>195</v>
      </c>
    </row>
    <row r="256">
      <c r="A256" s="118">
        <v>43600.0</v>
      </c>
      <c r="B256" s="70" t="s">
        <v>96</v>
      </c>
      <c r="C256" s="43" t="str">
        <f>VLOOKUP(A256,Table!A:B,2,false)</f>
        <v>P10 W1</v>
      </c>
      <c r="D256" s="43" t="str">
        <f>VLOOKUP(A256,Table!A:D,4,false)</f>
        <v>Period 10</v>
      </c>
      <c r="E256" s="70" t="s">
        <v>93</v>
      </c>
      <c r="F256" s="43">
        <v>0.9166666666666666</v>
      </c>
      <c r="G256" s="148">
        <f>IFERROR(__xludf.DUMMYFUNCTION("IMPORTRANGE(""https://docs.google.com/spreadsheets/d/1TIioSZ1nkrNo7fXNL_Pl8Yn36hHqDPS8O9jJQOqTQgg"", ""Finance Nightly Processing 2019!R138:R138"")"),0.12013888888888889)</f>
        <v>0.1201388889</v>
      </c>
      <c r="H256" s="146">
        <f>IFERROR(__xludf.DUMMYFUNCTION("IMPORTRANGE(""https://docs.google.com/spreadsheets/d/1TIioSZ1nkrNo7fXNL_Pl8Yn36hHqDPS8O9jJQOqTQgg"", ""Finance Nightly Processing 2019!S138:S138"")"),0.15208333333333332)</f>
        <v>0.1520833333</v>
      </c>
      <c r="I256" s="44">
        <f>IFERROR(__xludf.DUMMYFUNCTION("IMPORTRANGE(""https://docs.google.com/spreadsheets/d/1TIioSZ1nkrNo7fXNL_Pl8Yn36hHqDPS8O9jJQOqTQgg"", ""Finance Nightly Processing 2019!W138:W138"")"),0.30486111111111114)</f>
        <v>0.3048611111</v>
      </c>
      <c r="J256" s="45">
        <f t="shared" si="2"/>
        <v>559</v>
      </c>
      <c r="L256" s="46" t="s">
        <v>156</v>
      </c>
      <c r="M256" s="72" t="s">
        <v>312</v>
      </c>
      <c r="N256" s="46" t="s">
        <v>191</v>
      </c>
    </row>
    <row r="257">
      <c r="A257" s="118">
        <v>43601.0</v>
      </c>
      <c r="B257" s="70" t="s">
        <v>97</v>
      </c>
      <c r="C257" s="43" t="str">
        <f>VLOOKUP(A257,Table!A:B,2,false)</f>
        <v>P10 W1</v>
      </c>
      <c r="D257" s="43" t="str">
        <f>VLOOKUP(A257,Table!A:D,4,false)</f>
        <v>Period 10</v>
      </c>
      <c r="E257" s="70" t="s">
        <v>93</v>
      </c>
      <c r="F257" s="43">
        <v>0.9166666666666666</v>
      </c>
      <c r="G257" s="148">
        <f>IFERROR(__xludf.DUMMYFUNCTION("IMPORTRANGE(""https://docs.google.com/spreadsheets/d/1TIioSZ1nkrNo7fXNL_Pl8Yn36hHqDPS8O9jJQOqTQgg"", ""Finance Nightly Processing 2019!R139:R139"")"),0.11319444444444444)</f>
        <v>0.1131944444</v>
      </c>
      <c r="H257" s="146">
        <f>IFERROR(__xludf.DUMMYFUNCTION("IMPORTRANGE(""https://docs.google.com/spreadsheets/d/1TIioSZ1nkrNo7fXNL_Pl8Yn36hHqDPS8O9jJQOqTQgg"", ""Finance Nightly Processing 2019!S139:S139"")"),0.14583333333333334)</f>
        <v>0.1458333333</v>
      </c>
      <c r="I257" s="44">
        <f>IFERROR(__xludf.DUMMYFUNCTION("IMPORTRANGE(""https://docs.google.com/spreadsheets/d/1TIioSZ1nkrNo7fXNL_Pl8Yn36hHqDPS8O9jJQOqTQgg"", ""Finance Nightly Processing 2019!W139:W139"")"),0.25416666666666665)</f>
        <v>0.2541666667</v>
      </c>
      <c r="J257" s="45">
        <f t="shared" si="2"/>
        <v>486</v>
      </c>
      <c r="L257" s="46" t="s">
        <v>157</v>
      </c>
    </row>
    <row r="258">
      <c r="A258" s="118">
        <v>43602.0</v>
      </c>
      <c r="B258" s="70" t="s">
        <v>98</v>
      </c>
      <c r="C258" s="43" t="str">
        <f>VLOOKUP(A258,Table!A:B,2,false)</f>
        <v>P10 W1</v>
      </c>
      <c r="D258" s="43" t="str">
        <f>VLOOKUP(A258,Table!A:D,4,false)</f>
        <v>Period 10</v>
      </c>
      <c r="E258" s="70" t="s">
        <v>93</v>
      </c>
      <c r="F258" s="43">
        <v>0.9166666666666666</v>
      </c>
      <c r="G258" s="148">
        <f>IFERROR(__xludf.DUMMYFUNCTION("IMPORTRANGE(""https://docs.google.com/spreadsheets/d/1TIioSZ1nkrNo7fXNL_Pl8Yn36hHqDPS8O9jJQOqTQgg"", ""Finance Nightly Processing 2019!R140:R140"")"),0.12569444444444444)</f>
        <v>0.1256944444</v>
      </c>
      <c r="H258" s="146">
        <f>IFERROR(__xludf.DUMMYFUNCTION("IMPORTRANGE(""https://docs.google.com/spreadsheets/d/1TIioSZ1nkrNo7fXNL_Pl8Yn36hHqDPS8O9jJQOqTQgg"", ""Finance Nightly Processing 2019!S140:S140"")"),0.15416666666666667)</f>
        <v>0.1541666667</v>
      </c>
      <c r="I258" s="44">
        <f>IFERROR(__xludf.DUMMYFUNCTION("IMPORTRANGE(""https://docs.google.com/spreadsheets/d/1TIioSZ1nkrNo7fXNL_Pl8Yn36hHqDPS8O9jJQOqTQgg"", ""Finance Nightly Processing 2019!W140:W140"")"),0.23472222222222222)</f>
        <v>0.2347222222</v>
      </c>
      <c r="J258" s="45">
        <f t="shared" si="2"/>
        <v>458</v>
      </c>
      <c r="L258" s="46" t="s">
        <v>158</v>
      </c>
    </row>
    <row r="259">
      <c r="A259" s="118">
        <v>43603.0</v>
      </c>
      <c r="B259" s="70" t="s">
        <v>99</v>
      </c>
      <c r="C259" s="43" t="str">
        <f>VLOOKUP(A259,Table!A:B,2,false)</f>
        <v>P10 W1</v>
      </c>
      <c r="D259" s="43" t="str">
        <f>VLOOKUP(A259,Table!A:D,4,false)</f>
        <v>Period 10</v>
      </c>
      <c r="E259" s="70" t="s">
        <v>93</v>
      </c>
      <c r="F259" s="43">
        <v>0.9166666666666666</v>
      </c>
      <c r="G259" s="148">
        <f>IFERROR(__xludf.DUMMYFUNCTION("IMPORTRANGE(""https://docs.google.com/spreadsheets/d/1TIioSZ1nkrNo7fXNL_Pl8Yn36hHqDPS8O9jJQOqTQgg"", ""Finance Nightly Processing 2019!R141:R141"")"),0.1262962962962963)</f>
        <v>0.1262962963</v>
      </c>
      <c r="H259" s="146">
        <f>IFERROR(__xludf.DUMMYFUNCTION("IMPORTRANGE(""https://docs.google.com/spreadsheets/d/1TIioSZ1nkrNo7fXNL_Pl8Yn36hHqDPS8O9jJQOqTQgg"", ""Finance Nightly Processing 2019!S141:S141"")"),0.1412962962962963)</f>
        <v>0.1412962963</v>
      </c>
      <c r="I259" s="44">
        <f>IFERROR(__xludf.DUMMYFUNCTION("IMPORTRANGE(""https://docs.google.com/spreadsheets/d/1TIioSZ1nkrNo7fXNL_Pl8Yn36hHqDPS8O9jJQOqTQgg"", ""Finance Nightly Processing 2019!W141:W141"")"),0.2608101851851852)</f>
        <v>0.2608101852</v>
      </c>
      <c r="J259" s="45">
        <f t="shared" si="2"/>
        <v>495.5666667</v>
      </c>
      <c r="L259" s="46" t="s">
        <v>159</v>
      </c>
    </row>
    <row r="260">
      <c r="A260" s="118">
        <v>43604.0</v>
      </c>
      <c r="B260" s="70" t="s">
        <v>100</v>
      </c>
      <c r="C260" s="43" t="str">
        <f>VLOOKUP(A260,Table!A:B,2,false)</f>
        <v>P10 W1</v>
      </c>
      <c r="D260" s="43" t="str">
        <f>VLOOKUP(A260,Table!A:D,4,false)</f>
        <v>Period 10</v>
      </c>
      <c r="E260" s="70" t="s">
        <v>93</v>
      </c>
      <c r="F260" s="43">
        <v>0.9166666666666666</v>
      </c>
      <c r="G260" s="148">
        <f>IFERROR(__xludf.DUMMYFUNCTION("IMPORTRANGE(""https://docs.google.com/spreadsheets/d/1TIioSZ1nkrNo7fXNL_Pl8Yn36hHqDPS8O9jJQOqTQgg"", ""Finance Nightly Processing 2019!R142:R142"")"),0.15208333333333332)</f>
        <v>0.1520833333</v>
      </c>
      <c r="H260" s="146">
        <f>IFERROR(__xludf.DUMMYFUNCTION("IMPORTRANGE(""https://docs.google.com/spreadsheets/d/1TIioSZ1nkrNo7fXNL_Pl8Yn36hHqDPS8O9jJQOqTQgg"", ""Finance Nightly Processing 2019!S142:S142"")"),0.16458333333333333)</f>
        <v>0.1645833333</v>
      </c>
      <c r="I260" s="44">
        <f>IFERROR(__xludf.DUMMYFUNCTION("IMPORTRANGE(""https://docs.google.com/spreadsheets/d/1TIioSZ1nkrNo7fXNL_Pl8Yn36hHqDPS8O9jJQOqTQgg"", ""Finance Nightly Processing 2019!W142:W142"")"),0.2513888888888889)</f>
        <v>0.2513888889</v>
      </c>
      <c r="J260" s="45">
        <f t="shared" si="2"/>
        <v>482</v>
      </c>
      <c r="L260" s="46" t="s">
        <v>160</v>
      </c>
    </row>
    <row r="261">
      <c r="A261" s="118">
        <v>43605.0</v>
      </c>
      <c r="B261" s="70" t="s">
        <v>92</v>
      </c>
      <c r="C261" s="43" t="str">
        <f>VLOOKUP(A261,Table!A:B,2,false)</f>
        <v>P10 W2</v>
      </c>
      <c r="D261" s="43" t="str">
        <f>VLOOKUP(A261,Table!A:D,4,false)</f>
        <v>Period 10</v>
      </c>
      <c r="E261" s="70" t="s">
        <v>101</v>
      </c>
      <c r="F261" s="43">
        <v>0.9166666666666666</v>
      </c>
      <c r="G261" s="148">
        <f>IFERROR(__xludf.DUMMYFUNCTION("IMPORTRANGE(""https://docs.google.com/spreadsheets/d/1TIioSZ1nkrNo7fXNL_Pl8Yn36hHqDPS8O9jJQOqTQgg"", ""Finance Nightly Processing 2019!R143:R143"")"),0.12708333333333333)</f>
        <v>0.1270833333</v>
      </c>
      <c r="H261" s="146">
        <f>IFERROR(__xludf.DUMMYFUNCTION("IMPORTRANGE(""https://docs.google.com/spreadsheets/d/1TIioSZ1nkrNo7fXNL_Pl8Yn36hHqDPS8O9jJQOqTQgg"", ""Finance Nightly Processing 2019!S143:S143"")"),0.16180555555555556)</f>
        <v>0.1618055556</v>
      </c>
      <c r="I261" s="44">
        <f>IFERROR(__xludf.DUMMYFUNCTION("IMPORTRANGE(""https://docs.google.com/spreadsheets/d/1TIioSZ1nkrNo7fXNL_Pl8Yn36hHqDPS8O9jJQOqTQgg"", ""Finance Nightly Processing 2019!W143:W143"")"),0.2569444444444444)</f>
        <v>0.2569444444</v>
      </c>
      <c r="J261" s="45">
        <f t="shared" si="2"/>
        <v>490</v>
      </c>
      <c r="L261" s="46" t="s">
        <v>152</v>
      </c>
    </row>
    <row r="262">
      <c r="A262" s="118">
        <v>43606.0</v>
      </c>
      <c r="B262" s="70" t="s">
        <v>94</v>
      </c>
      <c r="C262" s="43" t="str">
        <f>VLOOKUP(A262,Table!A:B,2,false)</f>
        <v>P10 W2</v>
      </c>
      <c r="D262" s="43" t="str">
        <f>VLOOKUP(A262,Table!A:D,4,false)</f>
        <v>Period 10</v>
      </c>
      <c r="E262" s="70" t="s">
        <v>101</v>
      </c>
      <c r="F262" s="43">
        <v>0.9166666666666666</v>
      </c>
      <c r="G262" s="148">
        <f>IFERROR(__xludf.DUMMYFUNCTION("IMPORTRANGE(""https://docs.google.com/spreadsheets/d/1TIioSZ1nkrNo7fXNL_Pl8Yn36hHqDPS8O9jJQOqTQgg"", ""Finance Nightly Processing 2019!R144:R144"")"),0.11319444444444444)</f>
        <v>0.1131944444</v>
      </c>
      <c r="H262" s="146">
        <f>IFERROR(__xludf.DUMMYFUNCTION("IMPORTRANGE(""https://docs.google.com/spreadsheets/d/1TIioSZ1nkrNo7fXNL_Pl8Yn36hHqDPS8O9jJQOqTQgg"", ""Finance Nightly Processing 2019!S144:S144"")"),0.1361111111111111)</f>
        <v>0.1361111111</v>
      </c>
      <c r="I262" s="44">
        <f>IFERROR(__xludf.DUMMYFUNCTION("IMPORTRANGE(""https://docs.google.com/spreadsheets/d/1TIioSZ1nkrNo7fXNL_Pl8Yn36hHqDPS8O9jJQOqTQgg"", ""Finance Nightly Processing 2019!W144:W144"")"),0.2263888888888889)</f>
        <v>0.2263888889</v>
      </c>
      <c r="J262" s="45">
        <f t="shared" si="2"/>
        <v>446</v>
      </c>
      <c r="L262" s="46" t="s">
        <v>154</v>
      </c>
    </row>
    <row r="263">
      <c r="A263" s="118">
        <v>43607.0</v>
      </c>
      <c r="B263" s="70" t="s">
        <v>96</v>
      </c>
      <c r="C263" s="43" t="str">
        <f>VLOOKUP(A263,Table!A:B,2,false)</f>
        <v>P10 W2</v>
      </c>
      <c r="D263" s="43" t="str">
        <f>VLOOKUP(A263,Table!A:D,4,false)</f>
        <v>Period 10</v>
      </c>
      <c r="E263" s="70" t="s">
        <v>101</v>
      </c>
      <c r="F263" s="43">
        <v>0.9166666666666666</v>
      </c>
      <c r="G263" s="148">
        <f>IFERROR(__xludf.DUMMYFUNCTION("IMPORTRANGE(""https://docs.google.com/spreadsheets/d/1TIioSZ1nkrNo7fXNL_Pl8Yn36hHqDPS8O9jJQOqTQgg"", ""Finance Nightly Processing 2019!R145:R145"")"),0.11388888888888889)</f>
        <v>0.1138888889</v>
      </c>
      <c r="H263" s="146">
        <f>IFERROR(__xludf.DUMMYFUNCTION("IMPORTRANGE(""https://docs.google.com/spreadsheets/d/1TIioSZ1nkrNo7fXNL_Pl8Yn36hHqDPS8O9jJQOqTQgg"", ""Finance Nightly Processing 2019!S145:S145"")"),0.13541666666666666)</f>
        <v>0.1354166667</v>
      </c>
      <c r="I263" s="44">
        <f>IFERROR(__xludf.DUMMYFUNCTION("IMPORTRANGE(""https://docs.google.com/spreadsheets/d/1TIioSZ1nkrNo7fXNL_Pl8Yn36hHqDPS8O9jJQOqTQgg"", ""Finance Nightly Processing 2019!W145:W145"")"),0.22670138888888888)</f>
        <v>0.2267013889</v>
      </c>
      <c r="J263" s="45">
        <f t="shared" si="2"/>
        <v>446.45</v>
      </c>
      <c r="L263" s="46" t="s">
        <v>156</v>
      </c>
    </row>
    <row r="264">
      <c r="A264" s="118">
        <v>43608.0</v>
      </c>
      <c r="B264" s="70" t="s">
        <v>97</v>
      </c>
      <c r="C264" s="43" t="str">
        <f>VLOOKUP(A264,Table!A:B,2,false)</f>
        <v>P10 W2</v>
      </c>
      <c r="D264" s="43" t="str">
        <f>VLOOKUP(A264,Table!A:D,4,false)</f>
        <v>Period 10</v>
      </c>
      <c r="E264" s="70" t="s">
        <v>101</v>
      </c>
      <c r="F264" s="43">
        <v>0.9166666666666666</v>
      </c>
      <c r="G264" s="148">
        <f>IFERROR(__xludf.DUMMYFUNCTION("IMPORTRANGE(""https://docs.google.com/spreadsheets/d/1TIioSZ1nkrNo7fXNL_Pl8Yn36hHqDPS8O9jJQOqTQgg"", ""Finance Nightly Processing 2019!R146:R146"")"),0.13190972222222222)</f>
        <v>0.1319097222</v>
      </c>
      <c r="H264" s="146">
        <f>IFERROR(__xludf.DUMMYFUNCTION("IMPORTRANGE(""https://docs.google.com/spreadsheets/d/1TIioSZ1nkrNo7fXNL_Pl8Yn36hHqDPS8O9jJQOqTQgg"", ""Finance Nightly Processing 2019!S146:S146"")"),0.16153935185185186)</f>
        <v>0.1615393519</v>
      </c>
      <c r="I264" s="44">
        <f>IFERROR(__xludf.DUMMYFUNCTION("IMPORTRANGE(""https://docs.google.com/spreadsheets/d/1TIioSZ1nkrNo7fXNL_Pl8Yn36hHqDPS8O9jJQOqTQgg"", ""Finance Nightly Processing 2019!W146:W146"")"),0.24288194444444444)</f>
        <v>0.2428819444</v>
      </c>
      <c r="J264" s="45">
        <f t="shared" si="2"/>
        <v>469.75</v>
      </c>
      <c r="L264" s="46" t="s">
        <v>157</v>
      </c>
    </row>
    <row r="265">
      <c r="A265" s="118">
        <v>43609.0</v>
      </c>
      <c r="B265" s="70" t="s">
        <v>98</v>
      </c>
      <c r="C265" s="43" t="str">
        <f>VLOOKUP(A265,Table!A:B,2,false)</f>
        <v>P10 W2</v>
      </c>
      <c r="D265" s="43" t="str">
        <f>VLOOKUP(A265,Table!A:D,4,false)</f>
        <v>Period 10</v>
      </c>
      <c r="E265" s="70" t="s">
        <v>101</v>
      </c>
      <c r="F265" s="43">
        <v>0.9166666666666666</v>
      </c>
      <c r="G265" s="148">
        <f>IFERROR(__xludf.DUMMYFUNCTION("IMPORTRANGE(""https://docs.google.com/spreadsheets/d/1TIioSZ1nkrNo7fXNL_Pl8Yn36hHqDPS8O9jJQOqTQgg"", ""Finance Nightly Processing 2019!R147:R147"")"),0.13100694444444444)</f>
        <v>0.1310069444</v>
      </c>
      <c r="H265" s="146">
        <f>IFERROR(__xludf.DUMMYFUNCTION("IMPORTRANGE(""https://docs.google.com/spreadsheets/d/1TIioSZ1nkrNo7fXNL_Pl8Yn36hHqDPS8O9jJQOqTQgg"", ""Finance Nightly Processing 2019!S147:S147"")"),0.1522337962962963)</f>
        <v>0.1522337963</v>
      </c>
      <c r="I265" s="44">
        <f>IFERROR(__xludf.DUMMYFUNCTION("IMPORTRANGE(""https://docs.google.com/spreadsheets/d/1TIioSZ1nkrNo7fXNL_Pl8Yn36hHqDPS8O9jJQOqTQgg"", ""Finance Nightly Processing 2019!W147:W147"")"),0.24859953703703705)</f>
        <v>0.248599537</v>
      </c>
      <c r="J265" s="45">
        <f t="shared" si="2"/>
        <v>477.9833333</v>
      </c>
      <c r="L265" s="46" t="s">
        <v>158</v>
      </c>
    </row>
    <row r="266">
      <c r="A266" s="118">
        <v>43610.0</v>
      </c>
      <c r="B266" s="70" t="s">
        <v>99</v>
      </c>
      <c r="C266" s="43" t="str">
        <f>VLOOKUP(A266,Table!A:B,2,false)</f>
        <v>P10 W2</v>
      </c>
      <c r="D266" s="43" t="str">
        <f>VLOOKUP(A266,Table!A:D,4,false)</f>
        <v>Period 10</v>
      </c>
      <c r="E266" s="70" t="s">
        <v>101</v>
      </c>
      <c r="F266" s="43">
        <v>0.9166666666666666</v>
      </c>
      <c r="G266" s="43">
        <v>0.11646990740740741</v>
      </c>
      <c r="H266" s="43">
        <v>0.13542824074074075</v>
      </c>
      <c r="I266" s="43">
        <v>0.2217939814814815</v>
      </c>
      <c r="J266" s="45">
        <f t="shared" si="2"/>
        <v>439.3833333</v>
      </c>
      <c r="L266" s="46" t="s">
        <v>159</v>
      </c>
    </row>
    <row r="267">
      <c r="A267" s="118">
        <v>43611.0</v>
      </c>
      <c r="B267" s="70" t="s">
        <v>100</v>
      </c>
      <c r="C267" s="43" t="str">
        <f>VLOOKUP(A267,Table!A:B,2,false)</f>
        <v>P10 W2</v>
      </c>
      <c r="D267" s="43" t="str">
        <f>VLOOKUP(A267,Table!A:D,4,false)</f>
        <v>Period 10</v>
      </c>
      <c r="E267" s="70" t="s">
        <v>101</v>
      </c>
      <c r="F267" s="43">
        <v>0.9166666666666666</v>
      </c>
      <c r="G267" s="43">
        <v>0.1490277777777778</v>
      </c>
      <c r="H267" s="43">
        <v>0.16171296296296298</v>
      </c>
      <c r="I267" s="43">
        <v>0.25275462962962963</v>
      </c>
      <c r="J267" s="45">
        <f t="shared" si="2"/>
        <v>483.9666667</v>
      </c>
      <c r="L267" s="46" t="s">
        <v>160</v>
      </c>
    </row>
    <row r="268">
      <c r="A268" s="118">
        <v>43612.0</v>
      </c>
      <c r="B268" s="70" t="s">
        <v>92</v>
      </c>
      <c r="C268" s="43" t="str">
        <f>VLOOKUP(A268,Table!A:B,2,false)</f>
        <v>P10 W3</v>
      </c>
      <c r="D268" s="43" t="str">
        <f>VLOOKUP(A268,Table!A:D,4,false)</f>
        <v>Period 10</v>
      </c>
      <c r="E268" s="70" t="s">
        <v>106</v>
      </c>
      <c r="F268" s="43">
        <v>0.9166666666666666</v>
      </c>
      <c r="G268" s="43">
        <v>0.12986111111111112</v>
      </c>
      <c r="H268" s="43">
        <v>0.15486111111111112</v>
      </c>
      <c r="I268" s="43">
        <v>0.23125</v>
      </c>
      <c r="J268" s="45">
        <f t="shared" si="2"/>
        <v>453</v>
      </c>
      <c r="L268" s="46" t="s">
        <v>152</v>
      </c>
    </row>
    <row r="269">
      <c r="A269" s="118">
        <v>43613.0</v>
      </c>
      <c r="B269" s="70" t="s">
        <v>94</v>
      </c>
      <c r="C269" s="43" t="str">
        <f>VLOOKUP(A269,Table!A:B,2,false)</f>
        <v>P10 W3</v>
      </c>
      <c r="D269" s="43" t="str">
        <f>VLOOKUP(A269,Table!A:D,4,false)</f>
        <v>Period 10</v>
      </c>
      <c r="E269" s="70" t="s">
        <v>106</v>
      </c>
      <c r="F269" s="43">
        <v>0.9166666666666666</v>
      </c>
      <c r="G269" s="43">
        <v>0.11875</v>
      </c>
      <c r="H269" s="43">
        <v>0.1451388888888889</v>
      </c>
      <c r="I269" s="43">
        <v>0.22916666666666666</v>
      </c>
      <c r="J269" s="45">
        <f t="shared" si="2"/>
        <v>450</v>
      </c>
      <c r="L269" s="46" t="s">
        <v>154</v>
      </c>
    </row>
    <row r="270">
      <c r="A270" s="118">
        <v>43614.0</v>
      </c>
      <c r="B270" s="70" t="s">
        <v>96</v>
      </c>
      <c r="C270" s="43" t="str">
        <f>VLOOKUP(A270,Table!A:B,2,false)</f>
        <v>P10 W3</v>
      </c>
      <c r="D270" s="43" t="str">
        <f>VLOOKUP(A270,Table!A:D,4,false)</f>
        <v>Period 10</v>
      </c>
      <c r="E270" s="70" t="s">
        <v>106</v>
      </c>
      <c r="F270" s="43">
        <v>0.9166666666666666</v>
      </c>
      <c r="G270" s="43">
        <v>0.1111111111111111</v>
      </c>
      <c r="H270" s="43">
        <v>0.15347222222222223</v>
      </c>
      <c r="I270" s="43">
        <v>0.23055555555555557</v>
      </c>
      <c r="J270" s="45">
        <f t="shared" si="2"/>
        <v>452</v>
      </c>
      <c r="L270" s="46" t="s">
        <v>156</v>
      </c>
    </row>
    <row r="271">
      <c r="A271" s="118">
        <v>43615.0</v>
      </c>
      <c r="B271" s="70" t="s">
        <v>97</v>
      </c>
      <c r="C271" s="43" t="str">
        <f>VLOOKUP(A271,Table!A:B,2,false)</f>
        <v>P10 W3</v>
      </c>
      <c r="D271" s="43" t="str">
        <f>VLOOKUP(A271,Table!A:D,4,false)</f>
        <v>Period 10</v>
      </c>
      <c r="E271" s="70" t="s">
        <v>106</v>
      </c>
      <c r="F271" s="43">
        <v>0.9166666666666666</v>
      </c>
      <c r="G271" s="43">
        <v>0.12295138888888889</v>
      </c>
      <c r="H271" s="43">
        <v>0.19815972222222222</v>
      </c>
      <c r="I271" s="43">
        <v>0.28958333333333336</v>
      </c>
      <c r="J271" s="45">
        <f t="shared" si="2"/>
        <v>537</v>
      </c>
      <c r="L271" s="46" t="s">
        <v>157</v>
      </c>
      <c r="M271" s="92" t="s">
        <v>313</v>
      </c>
      <c r="N271" s="46" t="s">
        <v>193</v>
      </c>
    </row>
    <row r="272">
      <c r="A272" s="118">
        <v>43616.0</v>
      </c>
      <c r="B272" s="70" t="s">
        <v>98</v>
      </c>
      <c r="C272" s="43" t="str">
        <f>VLOOKUP(A272,Table!A:B,2,false)</f>
        <v>P10 W3</v>
      </c>
      <c r="D272" s="43" t="str">
        <f>VLOOKUP(A272,Table!A:D,4,false)</f>
        <v>Period 10</v>
      </c>
      <c r="E272" s="70" t="s">
        <v>106</v>
      </c>
      <c r="F272" s="43">
        <v>0.9166666666666666</v>
      </c>
      <c r="G272" s="43">
        <v>0.11421296296296296</v>
      </c>
      <c r="H272" s="43">
        <v>0.13550925925925925</v>
      </c>
      <c r="I272" s="43">
        <v>0.2379050925925926</v>
      </c>
      <c r="J272" s="45">
        <f t="shared" si="2"/>
        <v>462.5833333</v>
      </c>
      <c r="L272" s="46" t="s">
        <v>158</v>
      </c>
    </row>
    <row r="273">
      <c r="A273" s="118">
        <v>43617.0</v>
      </c>
      <c r="B273" s="70" t="s">
        <v>99</v>
      </c>
      <c r="C273" s="43" t="str">
        <f>VLOOKUP(A273,Table!A:B,2,false)</f>
        <v>P10 W3</v>
      </c>
      <c r="D273" s="43" t="str">
        <f>VLOOKUP(A273,Table!A:D,4,false)</f>
        <v>Period 10</v>
      </c>
      <c r="E273" s="70" t="s">
        <v>106</v>
      </c>
      <c r="F273" s="43">
        <v>0.9166666666666666</v>
      </c>
      <c r="G273" s="43">
        <v>0.13266203703703705</v>
      </c>
      <c r="H273" s="43">
        <v>0.14972222222222223</v>
      </c>
      <c r="I273" s="43">
        <v>0.24472222222222223</v>
      </c>
      <c r="J273" s="45">
        <f t="shared" si="2"/>
        <v>472.4</v>
      </c>
      <c r="L273" s="46" t="s">
        <v>159</v>
      </c>
    </row>
    <row r="274">
      <c r="A274" s="118">
        <v>43618.0</v>
      </c>
      <c r="B274" s="70" t="s">
        <v>100</v>
      </c>
      <c r="C274" s="43" t="str">
        <f>VLOOKUP(A274,Table!A:B,2,false)</f>
        <v>P10 W3</v>
      </c>
      <c r="D274" s="43" t="str">
        <f>VLOOKUP(A274,Table!A:D,4,false)</f>
        <v>Period 10</v>
      </c>
      <c r="E274" s="70" t="s">
        <v>106</v>
      </c>
      <c r="F274" s="43">
        <v>0.9166666666666666</v>
      </c>
      <c r="G274" s="43">
        <v>0.15625</v>
      </c>
      <c r="H274" s="43">
        <v>0.1840277777777778</v>
      </c>
      <c r="I274" s="43">
        <v>0.2701388888888889</v>
      </c>
      <c r="J274" s="45">
        <f t="shared" si="2"/>
        <v>509</v>
      </c>
      <c r="L274" s="46" t="s">
        <v>160</v>
      </c>
    </row>
    <row r="275">
      <c r="A275" s="118">
        <v>43619.0</v>
      </c>
      <c r="B275" s="70" t="s">
        <v>92</v>
      </c>
      <c r="C275" s="43" t="str">
        <f>VLOOKUP(A275,Table!A:B,2,false)</f>
        <v>P10 W4</v>
      </c>
      <c r="D275" s="43" t="str">
        <f>VLOOKUP(A275,Table!A:D,4,false)</f>
        <v>Period 10</v>
      </c>
      <c r="E275" s="70" t="s">
        <v>110</v>
      </c>
      <c r="F275" s="43">
        <v>0.9166666666666666</v>
      </c>
      <c r="G275" s="43">
        <v>0.17430555555555555</v>
      </c>
      <c r="H275" s="43">
        <v>0.2013888888888889</v>
      </c>
      <c r="I275" s="43">
        <v>0.27152777777777776</v>
      </c>
      <c r="J275" s="45">
        <f t="shared" si="2"/>
        <v>511</v>
      </c>
      <c r="L275" s="46" t="s">
        <v>152</v>
      </c>
      <c r="M275" s="46" t="s">
        <v>314</v>
      </c>
      <c r="N275" s="46" t="s">
        <v>149</v>
      </c>
    </row>
    <row r="276">
      <c r="A276" s="118">
        <v>43620.0</v>
      </c>
      <c r="B276" s="70" t="s">
        <v>94</v>
      </c>
      <c r="C276" s="43" t="str">
        <f>VLOOKUP(A276,Table!A:B,2,false)</f>
        <v>P10 W4</v>
      </c>
      <c r="D276" s="43" t="str">
        <f>VLOOKUP(A276,Table!A:D,4,false)</f>
        <v>Period 10</v>
      </c>
      <c r="E276" s="70" t="s">
        <v>110</v>
      </c>
      <c r="F276" s="43">
        <v>0.9166666666666666</v>
      </c>
      <c r="G276" s="43">
        <v>0.11527777777777778</v>
      </c>
      <c r="H276" s="43">
        <v>0.1423611111111111</v>
      </c>
      <c r="I276" s="43">
        <v>0.2361111111111111</v>
      </c>
      <c r="J276" s="45">
        <f t="shared" si="2"/>
        <v>460</v>
      </c>
      <c r="L276" s="46" t="s">
        <v>154</v>
      </c>
    </row>
    <row r="277">
      <c r="A277" s="118">
        <v>43621.0</v>
      </c>
      <c r="B277" s="70" t="s">
        <v>96</v>
      </c>
      <c r="C277" s="43" t="str">
        <f>VLOOKUP(A277,Table!A:B,2,false)</f>
        <v>P10 W4</v>
      </c>
      <c r="D277" s="43" t="str">
        <f>VLOOKUP(A277,Table!A:D,4,false)</f>
        <v>Period 10</v>
      </c>
      <c r="E277" s="70" t="s">
        <v>110</v>
      </c>
      <c r="F277" s="43">
        <v>0.9166666666666666</v>
      </c>
      <c r="G277" s="43">
        <v>0.13125</v>
      </c>
      <c r="H277" s="43">
        <v>0.16111111111111112</v>
      </c>
      <c r="I277" s="43">
        <v>0.2916666666666667</v>
      </c>
      <c r="J277" s="45">
        <f t="shared" si="2"/>
        <v>540</v>
      </c>
      <c r="L277" s="46" t="s">
        <v>156</v>
      </c>
      <c r="M277" s="151" t="s">
        <v>315</v>
      </c>
      <c r="N277" s="46" t="s">
        <v>140</v>
      </c>
    </row>
    <row r="278">
      <c r="A278" s="118">
        <v>43622.0</v>
      </c>
      <c r="B278" s="70" t="s">
        <v>97</v>
      </c>
      <c r="C278" s="43" t="str">
        <f>VLOOKUP(A278,Table!A:B,2,false)</f>
        <v>P10 W4</v>
      </c>
      <c r="D278" s="43" t="str">
        <f>VLOOKUP(A278,Table!A:D,4,false)</f>
        <v>Period 10</v>
      </c>
      <c r="E278" s="70" t="s">
        <v>110</v>
      </c>
      <c r="F278" s="43">
        <v>0.9166666666666666</v>
      </c>
      <c r="G278" s="43">
        <v>0.11388888888888889</v>
      </c>
      <c r="H278" s="146">
        <v>0.14583333333333334</v>
      </c>
      <c r="I278" s="43">
        <v>0.24166666666666667</v>
      </c>
      <c r="J278" s="45">
        <f t="shared" si="2"/>
        <v>468</v>
      </c>
      <c r="L278" s="46" t="s">
        <v>157</v>
      </c>
    </row>
    <row r="279">
      <c r="A279" s="118">
        <v>43623.0</v>
      </c>
      <c r="B279" s="70" t="s">
        <v>98</v>
      </c>
      <c r="C279" s="43" t="str">
        <f>VLOOKUP(A279,Table!A:B,2,false)</f>
        <v>P10 W4</v>
      </c>
      <c r="D279" s="43" t="str">
        <f>VLOOKUP(A279,Table!A:D,4,false)</f>
        <v>Period 10</v>
      </c>
      <c r="E279" s="70" t="s">
        <v>110</v>
      </c>
      <c r="F279" s="43">
        <v>0.9166666666666666</v>
      </c>
      <c r="G279" s="43">
        <v>0.11813657407407407</v>
      </c>
      <c r="H279" s="43">
        <v>0.1414351851851852</v>
      </c>
      <c r="I279" s="43">
        <v>0.24493055555555557</v>
      </c>
      <c r="J279" s="45">
        <f t="shared" si="2"/>
        <v>472.7</v>
      </c>
      <c r="L279" s="46" t="s">
        <v>158</v>
      </c>
    </row>
    <row r="280">
      <c r="A280" s="118">
        <v>43624.0</v>
      </c>
      <c r="B280" s="70" t="s">
        <v>99</v>
      </c>
      <c r="C280" s="43" t="str">
        <f>VLOOKUP(A280,Table!A:B,2,false)</f>
        <v>P10 W4</v>
      </c>
      <c r="D280" s="43" t="str">
        <f>VLOOKUP(A280,Table!A:D,4,false)</f>
        <v>Period 10</v>
      </c>
      <c r="E280" s="70" t="s">
        <v>110</v>
      </c>
      <c r="F280" s="43">
        <v>0.9166666666666666</v>
      </c>
      <c r="G280" s="43">
        <v>0.15269675925925927</v>
      </c>
      <c r="H280" s="43">
        <v>0.1736574074074074</v>
      </c>
      <c r="I280" s="43">
        <v>0.2442476851851852</v>
      </c>
      <c r="J280" s="45">
        <f t="shared" si="2"/>
        <v>471.7166667</v>
      </c>
      <c r="L280" s="46" t="s">
        <v>159</v>
      </c>
    </row>
    <row r="281">
      <c r="A281" s="118">
        <v>43625.0</v>
      </c>
      <c r="B281" s="70" t="s">
        <v>100</v>
      </c>
      <c r="C281" s="43" t="str">
        <f>VLOOKUP(A281,Table!A:B,2,false)</f>
        <v>P10 W4</v>
      </c>
      <c r="D281" s="43" t="str">
        <f>VLOOKUP(A281,Table!A:D,4,false)</f>
        <v>Period 10</v>
      </c>
      <c r="E281" s="70" t="s">
        <v>110</v>
      </c>
      <c r="F281" s="43">
        <v>0.9166666666666666</v>
      </c>
      <c r="G281" s="43">
        <v>0.18195601851851853</v>
      </c>
      <c r="H281" s="43">
        <v>0.21153935185185185</v>
      </c>
      <c r="I281" s="71">
        <v>0.2951388888888889</v>
      </c>
      <c r="J281" s="45">
        <f t="shared" si="2"/>
        <v>545</v>
      </c>
      <c r="K281" s="46" t="s">
        <v>112</v>
      </c>
      <c r="L281" s="46" t="s">
        <v>160</v>
      </c>
      <c r="M281" s="103" t="s">
        <v>316</v>
      </c>
      <c r="N281" s="46" t="s">
        <v>146</v>
      </c>
    </row>
    <row r="282">
      <c r="A282" s="157">
        <v>43626.0</v>
      </c>
      <c r="B282" s="79" t="s">
        <v>92</v>
      </c>
      <c r="C282" s="54" t="str">
        <f>VLOOKUP(A282,Table!A:B,2,false)</f>
        <v>P11 W1</v>
      </c>
      <c r="D282" s="54" t="str">
        <f>VLOOKUP(A282,Table!A:D,4,false)</f>
        <v>Period 11</v>
      </c>
      <c r="E282" s="70" t="s">
        <v>93</v>
      </c>
      <c r="F282" s="54">
        <v>0.9166666666666666</v>
      </c>
      <c r="G282" s="43">
        <v>0.1527777777777778</v>
      </c>
      <c r="H282" s="43">
        <v>0.18472222222222223</v>
      </c>
      <c r="I282" s="43">
        <v>0.27708333333333335</v>
      </c>
      <c r="J282" s="45">
        <f t="shared" si="2"/>
        <v>519</v>
      </c>
      <c r="L282" s="46" t="s">
        <v>152</v>
      </c>
      <c r="M282" s="92" t="s">
        <v>317</v>
      </c>
      <c r="N282" s="46" t="s">
        <v>32</v>
      </c>
    </row>
    <row r="283">
      <c r="A283" s="118">
        <v>43627.0</v>
      </c>
      <c r="B283" s="70" t="s">
        <v>94</v>
      </c>
      <c r="C283" s="43" t="str">
        <f>VLOOKUP(A283,Table!A:B,2,false)</f>
        <v>P11 W1</v>
      </c>
      <c r="D283" s="43" t="str">
        <f>VLOOKUP(A283,Table!A:D,4,false)</f>
        <v>Period 11</v>
      </c>
      <c r="E283" s="70" t="s">
        <v>93</v>
      </c>
      <c r="F283" s="43">
        <v>0.9166666666666666</v>
      </c>
      <c r="G283" s="43">
        <v>0.1111111111111111</v>
      </c>
      <c r="H283" s="43">
        <v>0.1361111111111111</v>
      </c>
      <c r="I283" s="43">
        <v>0.2388888888888889</v>
      </c>
      <c r="J283" s="45">
        <f t="shared" si="2"/>
        <v>464</v>
      </c>
      <c r="L283" s="46" t="s">
        <v>154</v>
      </c>
    </row>
    <row r="284">
      <c r="A284" s="118">
        <v>43628.0</v>
      </c>
      <c r="B284" s="70" t="s">
        <v>96</v>
      </c>
      <c r="C284" s="43" t="str">
        <f>VLOOKUP(A284,Table!A:B,2,false)</f>
        <v>P11 W1</v>
      </c>
      <c r="D284" s="43" t="str">
        <f>VLOOKUP(A284,Table!A:D,4,false)</f>
        <v>Period 11</v>
      </c>
      <c r="E284" s="70" t="s">
        <v>93</v>
      </c>
      <c r="F284" s="43">
        <v>0.9166666666666666</v>
      </c>
      <c r="G284" s="43">
        <v>0.11319444444444444</v>
      </c>
      <c r="H284" s="43">
        <v>0.13680555555555557</v>
      </c>
      <c r="I284" s="43">
        <v>0.23402777777777778</v>
      </c>
      <c r="J284" s="45">
        <f t="shared" si="2"/>
        <v>457</v>
      </c>
      <c r="L284" s="46" t="s">
        <v>156</v>
      </c>
    </row>
    <row r="285">
      <c r="A285" s="118">
        <v>43629.0</v>
      </c>
      <c r="B285" s="70" t="s">
        <v>97</v>
      </c>
      <c r="C285" s="43" t="str">
        <f>VLOOKUP(A285,Table!A:B,2,false)</f>
        <v>P11 W1</v>
      </c>
      <c r="D285" s="43" t="str">
        <f>VLOOKUP(A285,Table!A:D,4,false)</f>
        <v>Period 11</v>
      </c>
      <c r="E285" s="70" t="s">
        <v>93</v>
      </c>
      <c r="F285" s="43">
        <v>0.9166666666666666</v>
      </c>
      <c r="G285" s="43">
        <v>0.1840277777777778</v>
      </c>
      <c r="H285" s="43">
        <v>0.20347222222222222</v>
      </c>
      <c r="I285" s="43">
        <v>0.3034722222222222</v>
      </c>
      <c r="J285" s="45">
        <f t="shared" si="2"/>
        <v>557</v>
      </c>
      <c r="L285" s="46" t="s">
        <v>157</v>
      </c>
      <c r="M285" s="46" t="s">
        <v>318</v>
      </c>
      <c r="N285" s="46" t="s">
        <v>146</v>
      </c>
    </row>
    <row r="286">
      <c r="A286" s="118">
        <v>43630.0</v>
      </c>
      <c r="B286" s="70" t="s">
        <v>98</v>
      </c>
      <c r="C286" s="43" t="str">
        <f>VLOOKUP(A286,Table!A:B,2,false)</f>
        <v>P11 W1</v>
      </c>
      <c r="D286" s="43" t="str">
        <f>VLOOKUP(A286,Table!A:D,4,false)</f>
        <v>Period 11</v>
      </c>
      <c r="E286" s="70" t="s">
        <v>93</v>
      </c>
      <c r="F286" s="43">
        <v>0.9166666666666666</v>
      </c>
      <c r="G286" s="43">
        <v>0.11180555555555556</v>
      </c>
      <c r="H286" s="43">
        <v>0.1388888888888889</v>
      </c>
      <c r="I286" s="43">
        <v>0.24097222222222223</v>
      </c>
      <c r="J286" s="45">
        <f t="shared" si="2"/>
        <v>467</v>
      </c>
      <c r="L286" s="46" t="s">
        <v>158</v>
      </c>
    </row>
    <row r="287">
      <c r="A287" s="118">
        <v>43631.0</v>
      </c>
      <c r="B287" s="70" t="s">
        <v>99</v>
      </c>
      <c r="C287" s="43" t="str">
        <f>VLOOKUP(A287,Table!A:B,2,false)</f>
        <v>P11 W1</v>
      </c>
      <c r="D287" s="43" t="str">
        <f>VLOOKUP(A287,Table!A:D,4,false)</f>
        <v>Period 11</v>
      </c>
      <c r="E287" s="70" t="s">
        <v>93</v>
      </c>
      <c r="F287" s="43">
        <v>0.9166666666666666</v>
      </c>
      <c r="G287" s="43">
        <v>0.11597222222222223</v>
      </c>
      <c r="H287" s="43">
        <v>0.1326388888888889</v>
      </c>
      <c r="I287" s="43">
        <v>0.22361111111111112</v>
      </c>
      <c r="J287" s="45">
        <f t="shared" si="2"/>
        <v>442</v>
      </c>
      <c r="L287" s="46" t="s">
        <v>159</v>
      </c>
    </row>
    <row r="288">
      <c r="A288" s="118">
        <v>43632.0</v>
      </c>
      <c r="B288" s="70" t="s">
        <v>100</v>
      </c>
      <c r="C288" s="43" t="str">
        <f>VLOOKUP(A288,Table!A:B,2,false)</f>
        <v>P11 W1</v>
      </c>
      <c r="D288" s="43" t="str">
        <f>VLOOKUP(A288,Table!A:D,4,false)</f>
        <v>Period 11</v>
      </c>
      <c r="E288" s="70" t="s">
        <v>93</v>
      </c>
      <c r="F288" s="43">
        <v>0.9166666666666666</v>
      </c>
      <c r="G288" s="43">
        <v>0.1451388888888889</v>
      </c>
      <c r="H288" s="43">
        <v>0.17222222222222222</v>
      </c>
      <c r="I288" s="43">
        <v>0.24027777777777778</v>
      </c>
      <c r="J288" s="45">
        <f t="shared" si="2"/>
        <v>466</v>
      </c>
      <c r="L288" s="46" t="s">
        <v>160</v>
      </c>
    </row>
    <row r="289">
      <c r="A289" s="118">
        <v>43633.0</v>
      </c>
      <c r="B289" s="70" t="s">
        <v>92</v>
      </c>
      <c r="C289" s="43" t="str">
        <f>VLOOKUP(A289,Table!A:B,2,false)</f>
        <v>P11 W2</v>
      </c>
      <c r="D289" s="43" t="str">
        <f>VLOOKUP(A289,Table!A:D,4,false)</f>
        <v>Period 11</v>
      </c>
      <c r="E289" s="70" t="s">
        <v>101</v>
      </c>
      <c r="F289" s="43">
        <v>0.9166666666666666</v>
      </c>
      <c r="G289" s="43">
        <v>0.11388888888888889</v>
      </c>
      <c r="H289" s="43">
        <v>0.14375</v>
      </c>
      <c r="I289" s="43">
        <v>0.22777777777777777</v>
      </c>
      <c r="J289" s="45">
        <f t="shared" si="2"/>
        <v>448</v>
      </c>
      <c r="L289" s="46" t="s">
        <v>152</v>
      </c>
    </row>
    <row r="290">
      <c r="A290" s="118">
        <v>43634.0</v>
      </c>
      <c r="B290" s="70" t="s">
        <v>94</v>
      </c>
      <c r="C290" s="43" t="str">
        <f>VLOOKUP(A290,Table!A:B,2,false)</f>
        <v>P11 W2</v>
      </c>
      <c r="D290" s="43" t="str">
        <f>VLOOKUP(A290,Table!A:D,4,false)</f>
        <v>Period 11</v>
      </c>
      <c r="E290" s="70" t="s">
        <v>101</v>
      </c>
      <c r="F290" s="43">
        <v>0.9166666666666666</v>
      </c>
      <c r="G290" s="43">
        <v>0.11458333333333333</v>
      </c>
      <c r="H290" s="43">
        <v>0.1375</v>
      </c>
      <c r="I290" s="43">
        <v>0.23194444444444445</v>
      </c>
      <c r="J290" s="45">
        <f t="shared" si="2"/>
        <v>454</v>
      </c>
      <c r="L290" s="46" t="s">
        <v>154</v>
      </c>
    </row>
    <row r="291">
      <c r="A291" s="118">
        <v>43635.0</v>
      </c>
      <c r="B291" s="70" t="s">
        <v>96</v>
      </c>
      <c r="C291" s="43" t="str">
        <f>VLOOKUP(A291,Table!A:B,2,false)</f>
        <v>P11 W2</v>
      </c>
      <c r="D291" s="43" t="str">
        <f>VLOOKUP(A291,Table!A:D,4,false)</f>
        <v>Period 11</v>
      </c>
      <c r="E291" s="70" t="s">
        <v>101</v>
      </c>
      <c r="F291" s="43">
        <v>0.9166666666666666</v>
      </c>
      <c r="G291" s="43">
        <v>0.11597222222222223</v>
      </c>
      <c r="H291" s="43">
        <v>0.13680555555555557</v>
      </c>
      <c r="I291" s="43">
        <v>0.23125</v>
      </c>
      <c r="J291" s="45">
        <f t="shared" si="2"/>
        <v>453</v>
      </c>
      <c r="L291" s="46" t="s">
        <v>156</v>
      </c>
    </row>
    <row r="292">
      <c r="A292" s="118">
        <v>43636.0</v>
      </c>
      <c r="B292" s="70" t="s">
        <v>97</v>
      </c>
      <c r="C292" s="43" t="str">
        <f>VLOOKUP(A292,Table!A:B,2,false)</f>
        <v>P11 W2</v>
      </c>
      <c r="D292" s="43" t="str">
        <f>VLOOKUP(A292,Table!A:D,4,false)</f>
        <v>Period 11</v>
      </c>
      <c r="E292" s="70" t="s">
        <v>101</v>
      </c>
      <c r="F292" s="43">
        <v>0.9166666666666666</v>
      </c>
      <c r="G292" s="43">
        <v>0.125</v>
      </c>
      <c r="H292" s="43">
        <v>0.17083333333333334</v>
      </c>
      <c r="I292" s="43">
        <v>0.28055555555555556</v>
      </c>
      <c r="J292" s="45">
        <f t="shared" si="2"/>
        <v>524</v>
      </c>
      <c r="L292" s="46" t="s">
        <v>157</v>
      </c>
      <c r="M292" s="46" t="s">
        <v>319</v>
      </c>
      <c r="N292" s="46" t="s">
        <v>189</v>
      </c>
    </row>
    <row r="293">
      <c r="A293" s="118">
        <v>43637.0</v>
      </c>
      <c r="B293" s="70" t="s">
        <v>98</v>
      </c>
      <c r="C293" s="43" t="str">
        <f>VLOOKUP(A293,Table!A:B,2,false)</f>
        <v>P11 W2</v>
      </c>
      <c r="D293" s="43" t="str">
        <f>VLOOKUP(A293,Table!A:D,4,false)</f>
        <v>Period 11</v>
      </c>
      <c r="E293" s="70" t="s">
        <v>101</v>
      </c>
      <c r="F293" s="43">
        <v>0.9166666666666666</v>
      </c>
      <c r="G293" s="43">
        <v>0.11319444444444444</v>
      </c>
      <c r="H293" s="43">
        <v>0.16041666666666668</v>
      </c>
      <c r="I293" s="43">
        <v>0.28908564814814813</v>
      </c>
      <c r="J293" s="45">
        <f t="shared" si="2"/>
        <v>536.2833333</v>
      </c>
      <c r="L293" s="46" t="s">
        <v>158</v>
      </c>
      <c r="M293" s="46" t="s">
        <v>319</v>
      </c>
      <c r="N293" s="46" t="s">
        <v>189</v>
      </c>
    </row>
    <row r="294">
      <c r="A294" s="118">
        <v>43638.0</v>
      </c>
      <c r="B294" s="70" t="s">
        <v>99</v>
      </c>
      <c r="C294" s="43" t="str">
        <f>VLOOKUP(A294,Table!A:B,2,false)</f>
        <v>P11 W2</v>
      </c>
      <c r="D294" s="43" t="str">
        <f>VLOOKUP(A294,Table!A:D,4,false)</f>
        <v>Period 11</v>
      </c>
      <c r="E294" s="70" t="s">
        <v>101</v>
      </c>
      <c r="F294" s="43">
        <v>0.9166666666666666</v>
      </c>
      <c r="G294" s="43">
        <v>0.17450231481481482</v>
      </c>
      <c r="H294" s="43">
        <v>0.23313657407407407</v>
      </c>
      <c r="I294" s="159">
        <v>0.3451388888888889</v>
      </c>
      <c r="J294" s="45">
        <f t="shared" si="2"/>
        <v>617</v>
      </c>
      <c r="L294" s="46" t="s">
        <v>159</v>
      </c>
      <c r="M294" s="46" t="s">
        <v>319</v>
      </c>
      <c r="N294" s="46" t="s">
        <v>189</v>
      </c>
    </row>
    <row r="295">
      <c r="A295" s="118">
        <v>43639.0</v>
      </c>
      <c r="B295" s="70" t="s">
        <v>100</v>
      </c>
      <c r="C295" s="43" t="str">
        <f>VLOOKUP(A295,Table!A:B,2,false)</f>
        <v>P11 W2</v>
      </c>
      <c r="D295" s="43" t="str">
        <f>VLOOKUP(A295,Table!A:D,4,false)</f>
        <v>Period 11</v>
      </c>
      <c r="E295" s="70" t="s">
        <v>101</v>
      </c>
      <c r="F295" s="43">
        <v>0.9166666666666666</v>
      </c>
      <c r="G295" s="43">
        <v>0.15</v>
      </c>
      <c r="H295" s="43">
        <v>0.22777777777777777</v>
      </c>
      <c r="I295" s="43">
        <v>0.34930555555555554</v>
      </c>
      <c r="J295" s="45">
        <f t="shared" si="2"/>
        <v>623</v>
      </c>
      <c r="L295" s="46" t="s">
        <v>160</v>
      </c>
      <c r="M295" s="46" t="s">
        <v>319</v>
      </c>
      <c r="N295" s="46" t="s">
        <v>189</v>
      </c>
    </row>
    <row r="296">
      <c r="A296" s="118">
        <v>43640.0</v>
      </c>
      <c r="B296" s="70" t="s">
        <v>92</v>
      </c>
      <c r="C296" s="43" t="str">
        <f>VLOOKUP(A296,Table!A:B,2,false)</f>
        <v>P11 W3</v>
      </c>
      <c r="D296" s="43" t="str">
        <f>VLOOKUP(A296,Table!A:D,4,false)</f>
        <v>Period 11</v>
      </c>
      <c r="E296" s="70" t="s">
        <v>106</v>
      </c>
      <c r="F296" s="43">
        <v>0.9166666666666666</v>
      </c>
      <c r="G296" s="43">
        <v>0.11666666666666667</v>
      </c>
      <c r="H296" s="43">
        <v>0.18125</v>
      </c>
      <c r="I296" s="43">
        <v>0.30277777777777776</v>
      </c>
      <c r="J296" s="45">
        <f t="shared" si="2"/>
        <v>556</v>
      </c>
      <c r="L296" s="46" t="s">
        <v>152</v>
      </c>
      <c r="M296" s="46" t="s">
        <v>319</v>
      </c>
      <c r="N296" s="46" t="s">
        <v>189</v>
      </c>
    </row>
    <row r="297">
      <c r="A297" s="118">
        <v>43641.0</v>
      </c>
      <c r="B297" s="70" t="s">
        <v>94</v>
      </c>
      <c r="C297" s="43" t="str">
        <f>VLOOKUP(A297,Table!A:B,2,false)</f>
        <v>P11 W3</v>
      </c>
      <c r="D297" s="43" t="str">
        <f>VLOOKUP(A297,Table!A:D,4,false)</f>
        <v>Period 11</v>
      </c>
      <c r="E297" s="70" t="s">
        <v>106</v>
      </c>
      <c r="F297" s="43">
        <v>0.9166666666666666</v>
      </c>
      <c r="G297" s="43">
        <v>0.12222222222222222</v>
      </c>
      <c r="H297" s="43">
        <v>0.14305555555555555</v>
      </c>
      <c r="I297" s="43">
        <v>0.23472222222222222</v>
      </c>
      <c r="J297" s="45">
        <f t="shared" si="2"/>
        <v>458</v>
      </c>
      <c r="L297" s="46" t="s">
        <v>154</v>
      </c>
    </row>
    <row r="298">
      <c r="A298" s="118">
        <v>43642.0</v>
      </c>
      <c r="B298" s="70" t="s">
        <v>96</v>
      </c>
      <c r="C298" s="43" t="str">
        <f>VLOOKUP(A298,Table!A:B,2,false)</f>
        <v>P11 W3</v>
      </c>
      <c r="D298" s="43" t="str">
        <f>VLOOKUP(A298,Table!A:D,4,false)</f>
        <v>Period 11</v>
      </c>
      <c r="E298" s="70" t="s">
        <v>106</v>
      </c>
      <c r="F298" s="43">
        <v>0.9166666666666666</v>
      </c>
      <c r="G298" s="43">
        <v>0.13333333333333333</v>
      </c>
      <c r="H298" s="160">
        <v>0.16666666666666666</v>
      </c>
      <c r="I298" s="43">
        <v>0.2533564814814815</v>
      </c>
      <c r="J298" s="45">
        <f t="shared" si="2"/>
        <v>484.8333333</v>
      </c>
      <c r="L298" s="46" t="s">
        <v>156</v>
      </c>
    </row>
    <row r="299">
      <c r="A299" s="118">
        <v>43643.0</v>
      </c>
      <c r="B299" s="70" t="s">
        <v>97</v>
      </c>
      <c r="C299" s="43" t="str">
        <f>VLOOKUP(A299,Table!A:B,2,false)</f>
        <v>P11 W3</v>
      </c>
      <c r="D299" s="43" t="str">
        <f>VLOOKUP(A299,Table!A:D,4,false)</f>
        <v>Period 11</v>
      </c>
      <c r="E299" s="70" t="s">
        <v>106</v>
      </c>
      <c r="F299" s="43">
        <v>0.9166666666666666</v>
      </c>
      <c r="G299" s="43">
        <v>0.06989583333333334</v>
      </c>
      <c r="H299" s="43">
        <v>0.10339120370370371</v>
      </c>
      <c r="I299" s="43">
        <v>0.20791666666666667</v>
      </c>
      <c r="J299" s="45">
        <f t="shared" si="2"/>
        <v>419.4</v>
      </c>
      <c r="L299" s="46" t="s">
        <v>157</v>
      </c>
      <c r="M299" s="111" t="s">
        <v>320</v>
      </c>
    </row>
    <row r="300">
      <c r="A300" s="118">
        <v>43644.0</v>
      </c>
      <c r="B300" s="70" t="s">
        <v>98</v>
      </c>
      <c r="C300" s="43" t="str">
        <f>VLOOKUP(A300,Table!A:B,2,false)</f>
        <v>P11 W3</v>
      </c>
      <c r="D300" s="43" t="str">
        <f>VLOOKUP(A300,Table!A:D,4,false)</f>
        <v>Period 11</v>
      </c>
      <c r="E300" s="70" t="s">
        <v>106</v>
      </c>
      <c r="F300" s="43">
        <v>0.9166666666666666</v>
      </c>
      <c r="G300" s="43">
        <v>0.11795138888888888</v>
      </c>
      <c r="H300" s="43">
        <v>0.1413425925925926</v>
      </c>
      <c r="I300" s="43">
        <v>0.2338425925925926</v>
      </c>
      <c r="J300" s="45">
        <f t="shared" si="2"/>
        <v>456.7333333</v>
      </c>
      <c r="L300" s="46" t="s">
        <v>158</v>
      </c>
      <c r="M300" s="111"/>
    </row>
    <row r="301">
      <c r="A301" s="118">
        <v>43645.0</v>
      </c>
      <c r="B301" s="70" t="s">
        <v>99</v>
      </c>
      <c r="C301" s="43" t="str">
        <f>VLOOKUP(A301,Table!A:B,2,false)</f>
        <v>P11 W3</v>
      </c>
      <c r="D301" s="43" t="str">
        <f>VLOOKUP(A301,Table!A:D,4,false)</f>
        <v>Period 11</v>
      </c>
      <c r="E301" s="70" t="s">
        <v>106</v>
      </c>
      <c r="F301" s="43">
        <v>0.9166666666666666</v>
      </c>
      <c r="G301" s="43">
        <v>0.1146875</v>
      </c>
      <c r="H301" s="43">
        <v>0.13172453703703704</v>
      </c>
      <c r="I301" s="43">
        <v>0.22644675925925925</v>
      </c>
      <c r="J301" s="45">
        <f t="shared" si="2"/>
        <v>446.0833333</v>
      </c>
      <c r="L301" s="46" t="s">
        <v>159</v>
      </c>
      <c r="M301" s="161">
        <f>105/318</f>
        <v>0.3301886792</v>
      </c>
    </row>
    <row r="302">
      <c r="A302" s="118">
        <v>43646.0</v>
      </c>
      <c r="B302" s="70" t="s">
        <v>100</v>
      </c>
      <c r="C302" s="43" t="str">
        <f>VLOOKUP(A302,Table!A:B,2,false)</f>
        <v>P11 W3</v>
      </c>
      <c r="D302" s="43" t="str">
        <f>VLOOKUP(A302,Table!A:D,4,false)</f>
        <v>Period 11</v>
      </c>
      <c r="E302" s="70" t="s">
        <v>106</v>
      </c>
      <c r="F302" s="43">
        <v>0.9166666666666666</v>
      </c>
      <c r="G302" s="43">
        <v>0.15069444444444444</v>
      </c>
      <c r="H302" s="43">
        <v>0.17847222222222223</v>
      </c>
      <c r="I302" s="43">
        <v>0.24027777777777778</v>
      </c>
      <c r="J302" s="45">
        <f t="shared" si="2"/>
        <v>466</v>
      </c>
      <c r="L302" s="46" t="s">
        <v>160</v>
      </c>
    </row>
    <row r="303">
      <c r="A303" s="118">
        <v>43647.0</v>
      </c>
      <c r="B303" s="70" t="s">
        <v>92</v>
      </c>
      <c r="C303" s="43" t="str">
        <f>VLOOKUP(A303,Table!A:B,2,false)</f>
        <v>P11 W4</v>
      </c>
      <c r="D303" s="43" t="str">
        <f>VLOOKUP(A303,Table!A:D,4,false)</f>
        <v>Period 11</v>
      </c>
      <c r="E303" s="70" t="s">
        <v>110</v>
      </c>
      <c r="F303" s="43">
        <v>0.9166666666666666</v>
      </c>
      <c r="G303" s="43">
        <v>0.12152777777777778</v>
      </c>
      <c r="H303" s="43">
        <v>0.1951388888888889</v>
      </c>
      <c r="I303" s="43">
        <v>0.23194444444444445</v>
      </c>
      <c r="J303" s="45">
        <f t="shared" si="2"/>
        <v>454</v>
      </c>
      <c r="L303" s="46" t="s">
        <v>152</v>
      </c>
    </row>
    <row r="304">
      <c r="A304" s="118">
        <v>43648.0</v>
      </c>
      <c r="B304" s="70" t="s">
        <v>94</v>
      </c>
      <c r="C304" s="43" t="str">
        <f>VLOOKUP(A304,Table!A:B,2,false)</f>
        <v>P11 W4</v>
      </c>
      <c r="D304" s="43" t="str">
        <f>VLOOKUP(A304,Table!A:D,4,false)</f>
        <v>Period 11</v>
      </c>
      <c r="E304" s="70" t="s">
        <v>110</v>
      </c>
      <c r="F304" s="43">
        <v>0.9166666666666666</v>
      </c>
      <c r="G304" s="43">
        <v>0.11944444444444445</v>
      </c>
      <c r="H304" s="43">
        <v>0.14930555555555555</v>
      </c>
      <c r="I304" s="43">
        <v>0.23819444444444443</v>
      </c>
      <c r="J304" s="45">
        <f t="shared" si="2"/>
        <v>463</v>
      </c>
      <c r="L304" s="46" t="s">
        <v>154</v>
      </c>
    </row>
    <row r="305">
      <c r="A305" s="118">
        <v>43649.0</v>
      </c>
      <c r="B305" s="70" t="s">
        <v>96</v>
      </c>
      <c r="C305" s="43" t="str">
        <f>VLOOKUP(A305,Table!A:B,2,false)</f>
        <v>P11 W4</v>
      </c>
      <c r="D305" s="43" t="str">
        <f>VLOOKUP(A305,Table!A:D,4,false)</f>
        <v>Period 11</v>
      </c>
      <c r="E305" s="70" t="s">
        <v>110</v>
      </c>
      <c r="F305" s="43">
        <v>0.9166666666666666</v>
      </c>
      <c r="G305" s="43">
        <v>0.13642361111111112</v>
      </c>
      <c r="H305" s="43">
        <v>0.15736111111111112</v>
      </c>
      <c r="I305" s="43">
        <v>0.2462962962962963</v>
      </c>
      <c r="J305" s="45">
        <f t="shared" si="2"/>
        <v>474.6666667</v>
      </c>
      <c r="L305" s="46" t="s">
        <v>156</v>
      </c>
    </row>
    <row r="306">
      <c r="A306" s="118">
        <v>43650.0</v>
      </c>
      <c r="B306" s="70" t="s">
        <v>97</v>
      </c>
      <c r="C306" s="43" t="str">
        <f>VLOOKUP(A306,Table!A:B,2,false)</f>
        <v>P11 W4</v>
      </c>
      <c r="D306" s="43" t="str">
        <f>VLOOKUP(A306,Table!A:D,4,false)</f>
        <v>Period 11</v>
      </c>
      <c r="E306" s="70" t="s">
        <v>110</v>
      </c>
      <c r="F306" s="43">
        <v>0.9166666666666666</v>
      </c>
      <c r="G306" s="43">
        <v>0.13069444444444445</v>
      </c>
      <c r="H306" s="43">
        <v>0.15844907407407408</v>
      </c>
      <c r="I306" s="43">
        <v>0.24479166666666666</v>
      </c>
      <c r="J306" s="45">
        <f t="shared" si="2"/>
        <v>472.5</v>
      </c>
      <c r="L306" s="46" t="s">
        <v>157</v>
      </c>
    </row>
    <row r="307">
      <c r="A307" s="118">
        <v>43651.0</v>
      </c>
      <c r="B307" s="70" t="s">
        <v>98</v>
      </c>
      <c r="C307" s="43" t="str">
        <f>VLOOKUP(A307,Table!A:B,2,false)</f>
        <v>P11 W4</v>
      </c>
      <c r="D307" s="43" t="str">
        <f>VLOOKUP(A307,Table!A:D,4,false)</f>
        <v>Period 11</v>
      </c>
      <c r="E307" s="70" t="s">
        <v>110</v>
      </c>
      <c r="F307" s="43">
        <v>0.9166666666666666</v>
      </c>
      <c r="G307" s="43">
        <v>0.23333333333333334</v>
      </c>
      <c r="H307" s="43">
        <v>0.2777777777777778</v>
      </c>
      <c r="I307" s="43">
        <v>0.3680555555555556</v>
      </c>
      <c r="J307" s="45">
        <f t="shared" si="2"/>
        <v>650</v>
      </c>
      <c r="L307" s="46" t="s">
        <v>158</v>
      </c>
      <c r="M307" s="46" t="s">
        <v>321</v>
      </c>
      <c r="N307" s="46" t="s">
        <v>210</v>
      </c>
    </row>
    <row r="308">
      <c r="A308" s="118">
        <v>43652.0</v>
      </c>
      <c r="B308" s="70" t="s">
        <v>99</v>
      </c>
      <c r="C308" s="43" t="str">
        <f>VLOOKUP(A308,Table!A:B,2,false)</f>
        <v>P11 W4</v>
      </c>
      <c r="D308" s="43" t="str">
        <f>VLOOKUP(A308,Table!A:D,4,false)</f>
        <v>Period 11</v>
      </c>
      <c r="E308" s="70" t="s">
        <v>110</v>
      </c>
      <c r="F308" s="43">
        <v>0.9166666666666666</v>
      </c>
      <c r="G308" s="43">
        <v>0.1586574074074074</v>
      </c>
      <c r="H308" s="43">
        <v>0.20050925925925925</v>
      </c>
      <c r="I308" s="43">
        <v>0.24305555555555555</v>
      </c>
      <c r="J308" s="45">
        <f t="shared" si="2"/>
        <v>470</v>
      </c>
      <c r="L308" s="46" t="s">
        <v>159</v>
      </c>
    </row>
    <row r="309">
      <c r="A309" s="118">
        <v>43653.0</v>
      </c>
      <c r="B309" s="70" t="s">
        <v>100</v>
      </c>
      <c r="C309" s="43" t="str">
        <f>VLOOKUP(A309,Table!A:B,2,false)</f>
        <v>P11 W4</v>
      </c>
      <c r="D309" s="43" t="str">
        <f>VLOOKUP(A309,Table!A:D,4,false)</f>
        <v>Period 11</v>
      </c>
      <c r="E309" s="70" t="s">
        <v>110</v>
      </c>
      <c r="F309" s="43">
        <v>0.9166666666666666</v>
      </c>
      <c r="G309" s="43">
        <v>0.20347222222222222</v>
      </c>
      <c r="H309" s="43">
        <v>0.23333333333333334</v>
      </c>
      <c r="I309" s="44">
        <v>0.32569444444444445</v>
      </c>
      <c r="J309" s="45">
        <f t="shared" si="2"/>
        <v>589</v>
      </c>
      <c r="L309" s="46" t="s">
        <v>160</v>
      </c>
      <c r="M309" s="46" t="s">
        <v>322</v>
      </c>
      <c r="N309" s="46" t="s">
        <v>146</v>
      </c>
    </row>
    <row r="310">
      <c r="A310" s="157">
        <v>43654.0</v>
      </c>
      <c r="B310" s="79" t="s">
        <v>92</v>
      </c>
      <c r="C310" s="54" t="str">
        <f>VLOOKUP(A310,Table!A:B,2,false)</f>
        <v>P12 W1</v>
      </c>
      <c r="D310" s="54" t="str">
        <f>VLOOKUP(A310,Table!A:D,4,false)</f>
        <v>Period 12</v>
      </c>
      <c r="E310" s="70" t="s">
        <v>93</v>
      </c>
      <c r="F310" s="54">
        <v>0.9166666666666666</v>
      </c>
      <c r="G310" s="43">
        <v>0.20902777777777778</v>
      </c>
      <c r="H310" s="43">
        <v>0.24305555555555555</v>
      </c>
      <c r="I310" s="43">
        <v>0.32222222222222224</v>
      </c>
      <c r="J310" s="45">
        <f t="shared" si="2"/>
        <v>584</v>
      </c>
      <c r="L310" s="46" t="s">
        <v>152</v>
      </c>
      <c r="M310" s="162" t="s">
        <v>323</v>
      </c>
      <c r="N310" s="46" t="s">
        <v>200</v>
      </c>
    </row>
    <row r="311">
      <c r="A311" s="118">
        <v>43655.0</v>
      </c>
      <c r="B311" s="70" t="s">
        <v>94</v>
      </c>
      <c r="C311" s="43" t="str">
        <f>VLOOKUP(A311,Table!A:B,2,false)</f>
        <v>P12 W1</v>
      </c>
      <c r="D311" s="43" t="str">
        <f>VLOOKUP(A311,Table!A:D,4,false)</f>
        <v>Period 12</v>
      </c>
      <c r="E311" s="70" t="s">
        <v>93</v>
      </c>
      <c r="F311" s="43">
        <v>0.9166666666666666</v>
      </c>
      <c r="G311" s="43">
        <v>0.11180555555555556</v>
      </c>
      <c r="H311" s="43">
        <v>0.1388888888888889</v>
      </c>
      <c r="I311" s="43">
        <v>0.22916666666666666</v>
      </c>
      <c r="J311" s="45">
        <f t="shared" si="2"/>
        <v>450</v>
      </c>
      <c r="L311" s="46" t="s">
        <v>154</v>
      </c>
      <c r="M311" s="163"/>
    </row>
    <row r="312">
      <c r="A312" s="118">
        <v>43656.0</v>
      </c>
      <c r="B312" s="70" t="s">
        <v>96</v>
      </c>
      <c r="C312" s="43" t="str">
        <f>VLOOKUP(A312,Table!A:B,2,false)</f>
        <v>P12 W1</v>
      </c>
      <c r="D312" s="43" t="str">
        <f>VLOOKUP(A312,Table!A:D,4,false)</f>
        <v>Period 12</v>
      </c>
      <c r="E312" s="70" t="s">
        <v>93</v>
      </c>
      <c r="F312" s="43">
        <v>0.9166666666666666</v>
      </c>
      <c r="G312" s="43">
        <v>0.11408564814814814</v>
      </c>
      <c r="H312" s="43">
        <v>0.14224537037037038</v>
      </c>
      <c r="I312" s="43">
        <v>0.2400810185185185</v>
      </c>
      <c r="J312" s="45">
        <f t="shared" si="2"/>
        <v>465.7166667</v>
      </c>
      <c r="L312" s="46" t="s">
        <v>156</v>
      </c>
    </row>
    <row r="313">
      <c r="A313" s="118">
        <v>43657.0</v>
      </c>
      <c r="B313" s="70" t="s">
        <v>97</v>
      </c>
      <c r="C313" s="43" t="str">
        <f>VLOOKUP(A313,Table!A:B,2,false)</f>
        <v>P12 W1</v>
      </c>
      <c r="D313" s="43" t="str">
        <f>VLOOKUP(A313,Table!A:D,4,false)</f>
        <v>Period 12</v>
      </c>
      <c r="E313" s="70" t="s">
        <v>93</v>
      </c>
      <c r="F313" s="43">
        <v>0.9166666666666666</v>
      </c>
      <c r="G313" s="43">
        <v>0.11283564814814814</v>
      </c>
      <c r="H313" s="43">
        <v>0.13797453703703705</v>
      </c>
      <c r="I313" s="43">
        <v>0.23971064814814816</v>
      </c>
      <c r="J313" s="45">
        <f t="shared" si="2"/>
        <v>465.1833333</v>
      </c>
      <c r="L313" s="46" t="s">
        <v>157</v>
      </c>
    </row>
    <row r="314">
      <c r="A314" s="118">
        <v>43658.0</v>
      </c>
      <c r="B314" s="70" t="s">
        <v>98</v>
      </c>
      <c r="C314" s="43" t="str">
        <f>VLOOKUP(A314,Table!A:B,2,false)</f>
        <v>P12 W1</v>
      </c>
      <c r="D314" s="43" t="str">
        <f>VLOOKUP(A314,Table!A:D,4,false)</f>
        <v>Period 12</v>
      </c>
      <c r="E314" s="70" t="s">
        <v>93</v>
      </c>
      <c r="F314" s="43">
        <v>0.9166666666666666</v>
      </c>
      <c r="G314" s="43">
        <v>0.11633101851851851</v>
      </c>
      <c r="H314" s="43">
        <v>0.14318287037037036</v>
      </c>
      <c r="I314" s="43">
        <v>0.23658564814814814</v>
      </c>
      <c r="J314" s="45">
        <f t="shared" si="2"/>
        <v>460.6833333</v>
      </c>
      <c r="L314" s="46" t="s">
        <v>158</v>
      </c>
    </row>
    <row r="315">
      <c r="A315" s="118">
        <v>43659.0</v>
      </c>
      <c r="B315" s="70" t="s">
        <v>99</v>
      </c>
      <c r="C315" s="43" t="str">
        <f>VLOOKUP(A315,Table!A:B,2,false)</f>
        <v>P12 W1</v>
      </c>
      <c r="D315" s="43" t="str">
        <f>VLOOKUP(A315,Table!A:D,4,false)</f>
        <v>Period 12</v>
      </c>
      <c r="E315" s="70" t="s">
        <v>93</v>
      </c>
      <c r="F315" s="43">
        <v>0.9166666666666666</v>
      </c>
      <c r="G315" s="43">
        <v>0.13115740740740742</v>
      </c>
      <c r="H315" s="43">
        <v>0.14579861111111111</v>
      </c>
      <c r="I315" s="43">
        <v>0.24726851851851853</v>
      </c>
      <c r="J315" s="45">
        <f t="shared" si="2"/>
        <v>476.0666667</v>
      </c>
      <c r="L315" s="46" t="s">
        <v>159</v>
      </c>
    </row>
    <row r="316">
      <c r="A316" s="118">
        <v>43660.0</v>
      </c>
      <c r="B316" s="70" t="s">
        <v>100</v>
      </c>
      <c r="C316" s="43" t="str">
        <f>VLOOKUP(A316,Table!A:B,2,false)</f>
        <v>P12 W1</v>
      </c>
      <c r="D316" s="43" t="str">
        <f>VLOOKUP(A316,Table!A:D,4,false)</f>
        <v>Period 12</v>
      </c>
      <c r="E316" s="70" t="s">
        <v>93</v>
      </c>
      <c r="F316" s="43">
        <v>0.9166666666666666</v>
      </c>
      <c r="G316" s="43">
        <v>0.14444444444444443</v>
      </c>
      <c r="H316" s="43">
        <v>0.1597222222222222</v>
      </c>
      <c r="I316" s="43">
        <v>0.2520833333333333</v>
      </c>
      <c r="J316" s="45">
        <f t="shared" si="2"/>
        <v>483</v>
      </c>
      <c r="L316" s="46" t="s">
        <v>160</v>
      </c>
    </row>
    <row r="317">
      <c r="A317" s="118">
        <v>43661.0</v>
      </c>
      <c r="B317" s="70" t="s">
        <v>92</v>
      </c>
      <c r="C317" s="43" t="str">
        <f>VLOOKUP(A317,Table!A:B,2,false)</f>
        <v>P12 W2</v>
      </c>
      <c r="D317" s="43" t="str">
        <f>VLOOKUP(A317,Table!A:D,4,false)</f>
        <v>Period 12</v>
      </c>
      <c r="E317" s="70" t="s">
        <v>101</v>
      </c>
      <c r="F317" s="43">
        <v>0.9166666666666666</v>
      </c>
      <c r="G317" s="43">
        <v>0.12986111111111112</v>
      </c>
      <c r="H317" s="43">
        <v>0.15347222222222223</v>
      </c>
      <c r="I317" s="43">
        <v>0.23958333333333334</v>
      </c>
      <c r="J317" s="45">
        <f t="shared" si="2"/>
        <v>465</v>
      </c>
      <c r="L317" s="46" t="s">
        <v>152</v>
      </c>
    </row>
    <row r="318">
      <c r="A318" s="118">
        <v>43662.0</v>
      </c>
      <c r="B318" s="70" t="s">
        <v>94</v>
      </c>
      <c r="C318" s="43" t="str">
        <f>VLOOKUP(A318,Table!A:B,2,false)</f>
        <v>P12 W2</v>
      </c>
      <c r="D318" s="43" t="str">
        <f>VLOOKUP(A318,Table!A:D,4,false)</f>
        <v>Period 12</v>
      </c>
      <c r="E318" s="70" t="s">
        <v>101</v>
      </c>
      <c r="F318" s="43">
        <v>0.9166666666666666</v>
      </c>
      <c r="G318" s="43">
        <v>0.13194444444444445</v>
      </c>
      <c r="H318" s="43">
        <v>0.1597222222222222</v>
      </c>
      <c r="I318" s="43">
        <v>0.24861111111111112</v>
      </c>
      <c r="J318" s="45">
        <f t="shared" si="2"/>
        <v>478</v>
      </c>
      <c r="L318" s="46" t="s">
        <v>154</v>
      </c>
    </row>
    <row r="319">
      <c r="A319" s="118">
        <v>43663.0</v>
      </c>
      <c r="B319" s="70" t="s">
        <v>96</v>
      </c>
      <c r="C319" s="43" t="str">
        <f>VLOOKUP(A319,Table!A:B,2,false)</f>
        <v>P12 W2</v>
      </c>
      <c r="D319" s="43" t="str">
        <f>VLOOKUP(A319,Table!A:D,4,false)</f>
        <v>Period 12</v>
      </c>
      <c r="E319" s="70" t="s">
        <v>101</v>
      </c>
      <c r="F319" s="43">
        <v>0.9166666666666666</v>
      </c>
      <c r="G319" s="43">
        <v>0.1375</v>
      </c>
      <c r="H319" s="43">
        <v>0.17083333333333334</v>
      </c>
      <c r="I319" s="43">
        <v>0.2548611111111111</v>
      </c>
      <c r="J319" s="45">
        <f t="shared" si="2"/>
        <v>487</v>
      </c>
      <c r="L319" s="46" t="s">
        <v>156</v>
      </c>
      <c r="M319" s="46" t="s">
        <v>324</v>
      </c>
      <c r="N319" s="46" t="s">
        <v>146</v>
      </c>
    </row>
    <row r="320">
      <c r="A320" s="118">
        <v>43664.0</v>
      </c>
      <c r="B320" s="70" t="s">
        <v>97</v>
      </c>
      <c r="C320" s="43" t="str">
        <f>VLOOKUP(A320,Table!A:B,2,false)</f>
        <v>P12 W2</v>
      </c>
      <c r="D320" s="43" t="str">
        <f>VLOOKUP(A320,Table!A:D,4,false)</f>
        <v>Period 12</v>
      </c>
      <c r="E320" s="70" t="s">
        <v>101</v>
      </c>
      <c r="F320" s="43">
        <v>0.9166666666666666</v>
      </c>
      <c r="G320" s="43">
        <v>0.21666666666666667</v>
      </c>
      <c r="H320" s="43">
        <v>0.2798611111111111</v>
      </c>
      <c r="I320" s="71">
        <v>0.3486111111111111</v>
      </c>
      <c r="J320" s="45">
        <f t="shared" si="2"/>
        <v>622</v>
      </c>
      <c r="L320" s="46" t="s">
        <v>157</v>
      </c>
      <c r="M320" s="72" t="s">
        <v>325</v>
      </c>
      <c r="N320" s="46" t="s">
        <v>143</v>
      </c>
    </row>
    <row r="321">
      <c r="A321" s="118">
        <v>43665.0</v>
      </c>
      <c r="B321" s="70" t="s">
        <v>98</v>
      </c>
      <c r="C321" s="43" t="str">
        <f>VLOOKUP(A321,Table!A:B,2,false)</f>
        <v>P12 W2</v>
      </c>
      <c r="D321" s="43" t="str">
        <f>VLOOKUP(A321,Table!A:D,4,false)</f>
        <v>Period 12</v>
      </c>
      <c r="E321" s="70" t="s">
        <v>101</v>
      </c>
      <c r="F321" s="43">
        <v>0.9166666666666666</v>
      </c>
      <c r="G321" s="43">
        <v>0.12064814814814814</v>
      </c>
      <c r="H321" s="43">
        <v>0.14618055555555556</v>
      </c>
      <c r="I321" s="164">
        <v>0.3701388888888889</v>
      </c>
      <c r="J321" s="45">
        <f t="shared" si="2"/>
        <v>653</v>
      </c>
      <c r="L321" s="46" t="s">
        <v>158</v>
      </c>
      <c r="M321" s="143" t="s">
        <v>326</v>
      </c>
      <c r="N321" s="81" t="s">
        <v>146</v>
      </c>
    </row>
    <row r="322">
      <c r="A322" s="118">
        <v>43666.0</v>
      </c>
      <c r="B322" s="70" t="s">
        <v>99</v>
      </c>
      <c r="C322" s="43" t="str">
        <f>VLOOKUP(A322,Table!A:B,2,false)</f>
        <v>P12 W2</v>
      </c>
      <c r="D322" s="43" t="str">
        <f>VLOOKUP(A322,Table!A:D,4,false)</f>
        <v>Period 12</v>
      </c>
      <c r="E322" s="70" t="s">
        <v>101</v>
      </c>
      <c r="F322" s="43">
        <v>0.9166666666666666</v>
      </c>
      <c r="G322" s="165">
        <v>0.11875</v>
      </c>
      <c r="H322" s="43">
        <v>0.13194444444444445</v>
      </c>
      <c r="I322" s="164">
        <v>0.3701388888888889</v>
      </c>
      <c r="J322" s="45">
        <f t="shared" si="2"/>
        <v>653</v>
      </c>
      <c r="L322" s="46" t="s">
        <v>159</v>
      </c>
    </row>
    <row r="323">
      <c r="A323" s="118">
        <v>43667.0</v>
      </c>
      <c r="B323" s="70" t="s">
        <v>100</v>
      </c>
      <c r="C323" s="43" t="str">
        <f>VLOOKUP(A323,Table!A:B,2,false)</f>
        <v>P12 W2</v>
      </c>
      <c r="D323" s="43" t="str">
        <f>VLOOKUP(A323,Table!A:D,4,false)</f>
        <v>Period 12</v>
      </c>
      <c r="E323" s="70" t="s">
        <v>101</v>
      </c>
      <c r="F323" s="43">
        <v>0.9166666666666666</v>
      </c>
      <c r="G323" s="43">
        <v>0.15069444444444444</v>
      </c>
      <c r="H323" s="43">
        <v>0.18055555555555555</v>
      </c>
      <c r="I323" s="43">
        <v>0.25416666666666665</v>
      </c>
      <c r="J323" s="45">
        <f t="shared" si="2"/>
        <v>486</v>
      </c>
      <c r="K323" s="46" t="s">
        <v>112</v>
      </c>
      <c r="L323" s="46" t="s">
        <v>160</v>
      </c>
      <c r="M323" s="143" t="s">
        <v>327</v>
      </c>
      <c r="N323" s="46" t="s">
        <v>194</v>
      </c>
    </row>
    <row r="324">
      <c r="A324" s="118">
        <v>43668.0</v>
      </c>
      <c r="B324" s="70" t="s">
        <v>92</v>
      </c>
      <c r="C324" s="43" t="str">
        <f>VLOOKUP(A324,Table!A:B,2,false)</f>
        <v>P12 W3</v>
      </c>
      <c r="D324" s="43" t="str">
        <f>VLOOKUP(A324,Table!A:D,4,false)</f>
        <v>Period 12</v>
      </c>
      <c r="E324" s="70" t="s">
        <v>106</v>
      </c>
      <c r="F324" s="43">
        <v>0.9166666666666666</v>
      </c>
      <c r="G324" s="43">
        <v>0.12083333333333333</v>
      </c>
      <c r="H324" s="43">
        <v>0.1486111111111111</v>
      </c>
      <c r="I324" s="71">
        <v>0.23333333333333334</v>
      </c>
      <c r="J324" s="45">
        <f t="shared" si="2"/>
        <v>456</v>
      </c>
      <c r="K324" s="46" t="s">
        <v>112</v>
      </c>
      <c r="L324" s="46" t="s">
        <v>152</v>
      </c>
    </row>
    <row r="325">
      <c r="A325" s="118">
        <v>43669.0</v>
      </c>
      <c r="B325" s="70" t="s">
        <v>94</v>
      </c>
      <c r="C325" s="43" t="str">
        <f>VLOOKUP(A325,Table!A:B,2,false)</f>
        <v>P12 W3</v>
      </c>
      <c r="D325" s="43" t="str">
        <f>VLOOKUP(A325,Table!A:D,4,false)</f>
        <v>Period 12</v>
      </c>
      <c r="E325" s="70" t="s">
        <v>106</v>
      </c>
      <c r="F325" s="43">
        <v>0.9166666666666666</v>
      </c>
      <c r="G325" s="43">
        <v>0.12083333333333333</v>
      </c>
      <c r="H325" s="43">
        <v>0.1486111111111111</v>
      </c>
      <c r="I325" s="43">
        <v>0.30277777777777776</v>
      </c>
      <c r="J325" s="45">
        <f t="shared" si="2"/>
        <v>556</v>
      </c>
      <c r="L325" s="46" t="s">
        <v>154</v>
      </c>
      <c r="M325" s="46" t="s">
        <v>328</v>
      </c>
      <c r="N325" s="46" t="s">
        <v>194</v>
      </c>
    </row>
    <row r="326">
      <c r="A326" s="118">
        <v>43670.0</v>
      </c>
      <c r="B326" s="70" t="s">
        <v>96</v>
      </c>
      <c r="C326" s="43" t="str">
        <f>VLOOKUP(A326,Table!A:B,2,false)</f>
        <v>P12 W3</v>
      </c>
      <c r="D326" s="43" t="str">
        <f>VLOOKUP(A326,Table!A:D,4,false)</f>
        <v>Period 12</v>
      </c>
      <c r="E326" s="70" t="s">
        <v>106</v>
      </c>
      <c r="F326" s="43">
        <v>0.9166666666666666</v>
      </c>
      <c r="G326" s="43">
        <v>0.1125</v>
      </c>
      <c r="H326" s="43">
        <v>0.14791666666666667</v>
      </c>
      <c r="I326" s="43">
        <v>0.2388888888888889</v>
      </c>
      <c r="J326" s="45">
        <f t="shared" si="2"/>
        <v>464</v>
      </c>
      <c r="L326" s="46" t="s">
        <v>156</v>
      </c>
    </row>
    <row r="327">
      <c r="A327" s="118">
        <v>43671.0</v>
      </c>
      <c r="B327" s="70" t="s">
        <v>97</v>
      </c>
      <c r="C327" s="43" t="str">
        <f>VLOOKUP(A327,Table!A:B,2,false)</f>
        <v>P12 W3</v>
      </c>
      <c r="D327" s="43" t="str">
        <f>VLOOKUP(A327,Table!A:D,4,false)</f>
        <v>Period 12</v>
      </c>
      <c r="E327" s="70" t="s">
        <v>106</v>
      </c>
      <c r="F327" s="43">
        <v>0.9166666666666666</v>
      </c>
      <c r="G327" s="43">
        <v>0.11927083333333334</v>
      </c>
      <c r="H327" s="43">
        <v>0.14947916666666666</v>
      </c>
      <c r="I327" s="166">
        <v>0.2346875</v>
      </c>
      <c r="J327" s="45">
        <f t="shared" si="2"/>
        <v>457.95</v>
      </c>
      <c r="L327" s="46" t="s">
        <v>157</v>
      </c>
    </row>
    <row r="328">
      <c r="A328" s="118">
        <v>43672.0</v>
      </c>
      <c r="B328" s="70" t="s">
        <v>98</v>
      </c>
      <c r="C328" s="43" t="str">
        <f>VLOOKUP(A328,Table!A:B,2,false)</f>
        <v>P12 W3</v>
      </c>
      <c r="D328" s="43" t="str">
        <f>VLOOKUP(A328,Table!A:D,4,false)</f>
        <v>Period 12</v>
      </c>
      <c r="E328" s="70" t="s">
        <v>106</v>
      </c>
      <c r="F328" s="43">
        <v>0.9166666666666666</v>
      </c>
      <c r="G328" s="43">
        <v>0.11609953703703704</v>
      </c>
      <c r="H328" s="43">
        <v>0.14554398148148148</v>
      </c>
      <c r="I328" s="43">
        <v>0.23354166666666668</v>
      </c>
      <c r="J328" s="45">
        <f t="shared" si="2"/>
        <v>456.3</v>
      </c>
      <c r="L328" s="46" t="s">
        <v>158</v>
      </c>
    </row>
    <row r="329">
      <c r="A329" s="118">
        <v>43673.0</v>
      </c>
      <c r="B329" s="70" t="s">
        <v>99</v>
      </c>
      <c r="C329" s="43" t="str">
        <f>VLOOKUP(A329,Table!A:B,2,false)</f>
        <v>P12 W3</v>
      </c>
      <c r="D329" s="43" t="str">
        <f>VLOOKUP(A329,Table!A:D,4,false)</f>
        <v>Period 12</v>
      </c>
      <c r="E329" s="70" t="s">
        <v>106</v>
      </c>
      <c r="F329" s="43">
        <v>0.9166666666666666</v>
      </c>
      <c r="G329" s="43">
        <v>0.11725694444444444</v>
      </c>
      <c r="H329" s="43">
        <v>0.1365162037037037</v>
      </c>
      <c r="I329" s="43">
        <v>0.23603009259259258</v>
      </c>
      <c r="J329" s="45">
        <f t="shared" si="2"/>
        <v>459.8833333</v>
      </c>
      <c r="L329" s="46" t="s">
        <v>159</v>
      </c>
    </row>
    <row r="330">
      <c r="A330" s="118">
        <v>43674.0</v>
      </c>
      <c r="B330" s="70" t="s">
        <v>100</v>
      </c>
      <c r="C330" s="43" t="str">
        <f>VLOOKUP(A330,Table!A:B,2,false)</f>
        <v>P12 W3</v>
      </c>
      <c r="D330" s="43" t="str">
        <f>VLOOKUP(A330,Table!A:D,4,false)</f>
        <v>Period 12</v>
      </c>
      <c r="E330" s="70" t="s">
        <v>106</v>
      </c>
      <c r="F330" s="43">
        <v>0.9166666666666666</v>
      </c>
      <c r="G330" s="43">
        <v>0.15763888888888888</v>
      </c>
      <c r="H330" s="43">
        <v>0.18541666666666667</v>
      </c>
      <c r="I330" s="43">
        <v>0.2625</v>
      </c>
      <c r="J330" s="45">
        <f t="shared" si="2"/>
        <v>498</v>
      </c>
      <c r="L330" s="46" t="s">
        <v>160</v>
      </c>
    </row>
    <row r="331">
      <c r="A331" s="118">
        <v>43675.0</v>
      </c>
      <c r="B331" s="70" t="s">
        <v>92</v>
      </c>
      <c r="C331" s="43" t="str">
        <f>VLOOKUP(A331,Table!A:B,2,false)</f>
        <v>P12 W4</v>
      </c>
      <c r="D331" s="43" t="str">
        <f>VLOOKUP(A331,Table!A:D,4,false)</f>
        <v>Period 12</v>
      </c>
      <c r="E331" s="70" t="s">
        <v>110</v>
      </c>
      <c r="F331" s="43">
        <v>0.9166666666666666</v>
      </c>
      <c r="G331" s="43">
        <v>0.11736111111111111</v>
      </c>
      <c r="H331" s="43">
        <v>0.17847222222222223</v>
      </c>
      <c r="I331" s="43">
        <v>0.36527777777777776</v>
      </c>
      <c r="J331" s="45">
        <f t="shared" si="2"/>
        <v>646</v>
      </c>
      <c r="L331" s="46" t="s">
        <v>152</v>
      </c>
      <c r="M331" s="115" t="s">
        <v>329</v>
      </c>
      <c r="N331" s="46" t="s">
        <v>193</v>
      </c>
    </row>
    <row r="332">
      <c r="A332" s="118">
        <v>43676.0</v>
      </c>
      <c r="B332" s="70" t="s">
        <v>94</v>
      </c>
      <c r="C332" s="43" t="str">
        <f>VLOOKUP(A332,Table!A:B,2,false)</f>
        <v>P12 W4</v>
      </c>
      <c r="D332" s="43" t="str">
        <f>VLOOKUP(A332,Table!A:D,4,false)</f>
        <v>Period 12</v>
      </c>
      <c r="E332" s="70" t="s">
        <v>110</v>
      </c>
      <c r="F332" s="43">
        <v>0.9166666666666666</v>
      </c>
      <c r="G332" s="43">
        <v>0.11527777777777778</v>
      </c>
      <c r="H332" s="43">
        <v>0.18125</v>
      </c>
      <c r="I332" s="43">
        <v>0.2625</v>
      </c>
      <c r="J332" s="45">
        <f t="shared" si="2"/>
        <v>498</v>
      </c>
      <c r="L332" s="46" t="s">
        <v>154</v>
      </c>
    </row>
    <row r="333">
      <c r="A333" s="118">
        <v>43677.0</v>
      </c>
      <c r="B333" s="70" t="s">
        <v>96</v>
      </c>
      <c r="C333" s="43" t="str">
        <f>VLOOKUP(A333,Table!A:B,2,false)</f>
        <v>P12 W4</v>
      </c>
      <c r="D333" s="43" t="str">
        <f>VLOOKUP(A333,Table!A:D,4,false)</f>
        <v>Period 12</v>
      </c>
      <c r="E333" s="70" t="s">
        <v>110</v>
      </c>
      <c r="F333" s="43">
        <v>0.9166666666666666</v>
      </c>
      <c r="G333" s="43">
        <v>0.13194444444444445</v>
      </c>
      <c r="H333" s="43">
        <v>0.15069444444444444</v>
      </c>
      <c r="I333" s="43">
        <v>0.23680555555555555</v>
      </c>
      <c r="J333" s="45">
        <f t="shared" si="2"/>
        <v>461</v>
      </c>
      <c r="L333" s="46" t="s">
        <v>156</v>
      </c>
    </row>
    <row r="334">
      <c r="A334" s="118">
        <v>43678.0</v>
      </c>
      <c r="B334" s="70" t="s">
        <v>97</v>
      </c>
      <c r="C334" s="43" t="str">
        <f>VLOOKUP(A334,Table!A:B,2,false)</f>
        <v>P12 W4</v>
      </c>
      <c r="D334" s="43" t="str">
        <f>VLOOKUP(A334,Table!A:D,4,false)</f>
        <v>Period 12</v>
      </c>
      <c r="E334" s="70" t="s">
        <v>110</v>
      </c>
      <c r="F334" s="43">
        <v>0.9166666666666666</v>
      </c>
      <c r="G334" s="43">
        <v>0.11527777777777778</v>
      </c>
      <c r="H334" s="43">
        <v>0.15069444444444444</v>
      </c>
      <c r="I334" s="43">
        <v>0.2423611111111111</v>
      </c>
      <c r="J334" s="45">
        <f t="shared" si="2"/>
        <v>469</v>
      </c>
      <c r="L334" s="46" t="s">
        <v>157</v>
      </c>
    </row>
    <row r="335">
      <c r="A335" s="118">
        <v>43679.0</v>
      </c>
      <c r="B335" s="70" t="s">
        <v>98</v>
      </c>
      <c r="C335" s="43" t="str">
        <f>VLOOKUP(A335,Table!A:B,2,false)</f>
        <v>P12 W4</v>
      </c>
      <c r="D335" s="43" t="str">
        <f>VLOOKUP(A335,Table!A:D,4,false)</f>
        <v>Period 12</v>
      </c>
      <c r="E335" s="70" t="s">
        <v>110</v>
      </c>
      <c r="F335" s="43">
        <v>0.9166666666666666</v>
      </c>
      <c r="G335" s="43">
        <v>0.11944444444444445</v>
      </c>
      <c r="H335" s="43">
        <v>0.14930555555555555</v>
      </c>
      <c r="I335" s="43">
        <v>0.24722222222222223</v>
      </c>
      <c r="J335" s="45">
        <f t="shared" si="2"/>
        <v>476</v>
      </c>
      <c r="L335" s="46" t="s">
        <v>158</v>
      </c>
    </row>
    <row r="336">
      <c r="A336" s="118">
        <v>43680.0</v>
      </c>
      <c r="B336" s="70" t="s">
        <v>99</v>
      </c>
      <c r="C336" s="43" t="str">
        <f>VLOOKUP(A336,Table!A:B,2,false)</f>
        <v>P12 W4</v>
      </c>
      <c r="D336" s="43" t="str">
        <f>VLOOKUP(A336,Table!A:D,4,false)</f>
        <v>Period 12</v>
      </c>
      <c r="E336" s="70" t="s">
        <v>110</v>
      </c>
      <c r="F336" s="43">
        <v>0.9166666666666666</v>
      </c>
      <c r="G336" s="43">
        <v>0.15833333333333333</v>
      </c>
      <c r="H336" s="43">
        <v>0.17777777777777778</v>
      </c>
      <c r="I336" s="166">
        <v>0.2777777777777778</v>
      </c>
      <c r="J336" s="45">
        <f t="shared" si="2"/>
        <v>520</v>
      </c>
      <c r="L336" s="46" t="s">
        <v>159</v>
      </c>
      <c r="M336" s="46" t="s">
        <v>330</v>
      </c>
      <c r="N336" s="46" t="s">
        <v>203</v>
      </c>
    </row>
    <row r="337">
      <c r="A337" s="118">
        <v>43681.0</v>
      </c>
      <c r="B337" s="70" t="s">
        <v>100</v>
      </c>
      <c r="C337" s="43" t="str">
        <f>VLOOKUP(A337,Table!A:B,2,false)</f>
        <v>P12 W4</v>
      </c>
      <c r="D337" s="43" t="str">
        <f>VLOOKUP(A337,Table!A:D,4,false)</f>
        <v>Period 12</v>
      </c>
      <c r="E337" s="70" t="s">
        <v>110</v>
      </c>
      <c r="F337" s="43">
        <v>0.9166666666666666</v>
      </c>
      <c r="G337" s="43">
        <v>0.1840277777777778</v>
      </c>
      <c r="H337" s="43">
        <v>0.21388888888888888</v>
      </c>
      <c r="I337" s="166">
        <v>0.3347222222222222</v>
      </c>
      <c r="J337" s="45">
        <f t="shared" si="2"/>
        <v>602</v>
      </c>
      <c r="L337" s="46" t="s">
        <v>160</v>
      </c>
      <c r="M337" s="72" t="s">
        <v>331</v>
      </c>
      <c r="N337" s="72" t="s">
        <v>202</v>
      </c>
    </row>
    <row r="338">
      <c r="A338" s="157">
        <v>43682.0</v>
      </c>
      <c r="B338" s="79" t="s">
        <v>92</v>
      </c>
      <c r="C338" s="54" t="str">
        <f>VLOOKUP(A338,Table!A:B,2,false)</f>
        <v>P13 W1</v>
      </c>
      <c r="D338" s="54" t="str">
        <f>VLOOKUP(A338,Table!A:D,4,false)</f>
        <v>Period 13</v>
      </c>
      <c r="E338" s="70" t="s">
        <v>93</v>
      </c>
      <c r="F338" s="54">
        <v>0.9166666666666666</v>
      </c>
      <c r="G338" s="43">
        <v>0.1361111111111111</v>
      </c>
      <c r="H338" s="43">
        <v>0.17847222222222223</v>
      </c>
      <c r="I338" s="43">
        <v>0.25972222222222224</v>
      </c>
      <c r="J338" s="45">
        <f t="shared" si="2"/>
        <v>494</v>
      </c>
      <c r="L338" s="46" t="s">
        <v>152</v>
      </c>
    </row>
    <row r="339">
      <c r="A339" s="118">
        <v>43683.0</v>
      </c>
      <c r="B339" s="70" t="s">
        <v>94</v>
      </c>
      <c r="C339" s="43" t="str">
        <f>VLOOKUP(A339,Table!A:B,2,false)</f>
        <v>P13 W1</v>
      </c>
      <c r="D339" s="43" t="str">
        <f>VLOOKUP(A339,Table!A:D,4,false)</f>
        <v>Period 13</v>
      </c>
      <c r="E339" s="70" t="s">
        <v>93</v>
      </c>
      <c r="F339" s="43">
        <v>0.9166666666666666</v>
      </c>
      <c r="G339" s="43">
        <v>0.11388888888888889</v>
      </c>
      <c r="H339" s="43">
        <v>0.13819444444444445</v>
      </c>
      <c r="I339" s="43">
        <v>0.2465277777777778</v>
      </c>
      <c r="J339" s="45">
        <f t="shared" si="2"/>
        <v>475</v>
      </c>
      <c r="L339" s="46" t="s">
        <v>154</v>
      </c>
    </row>
    <row r="340">
      <c r="A340" s="118">
        <v>43684.0</v>
      </c>
      <c r="B340" s="70" t="s">
        <v>96</v>
      </c>
      <c r="C340" s="43" t="str">
        <f>VLOOKUP(A340,Table!A:B,2,false)</f>
        <v>P13 W1</v>
      </c>
      <c r="D340" s="43" t="str">
        <f>VLOOKUP(A340,Table!A:D,4,false)</f>
        <v>Period 13</v>
      </c>
      <c r="E340" s="70" t="s">
        <v>93</v>
      </c>
      <c r="F340" s="43">
        <v>0.9166666666666666</v>
      </c>
      <c r="G340" s="43">
        <v>0.11326388888888889</v>
      </c>
      <c r="H340" s="43">
        <v>0.16835648148148147</v>
      </c>
      <c r="I340" s="43">
        <v>0.3055555555555556</v>
      </c>
      <c r="J340" s="45">
        <f t="shared" si="2"/>
        <v>560</v>
      </c>
      <c r="K340" s="46" t="s">
        <v>112</v>
      </c>
      <c r="L340" s="46" t="s">
        <v>156</v>
      </c>
      <c r="M340" s="46" t="s">
        <v>332</v>
      </c>
      <c r="N340" s="46" t="s">
        <v>193</v>
      </c>
    </row>
    <row r="341">
      <c r="A341" s="118">
        <v>43685.0</v>
      </c>
      <c r="B341" s="70" t="s">
        <v>97</v>
      </c>
      <c r="C341" s="43" t="str">
        <f>VLOOKUP(A341,Table!A:B,2,false)</f>
        <v>P13 W1</v>
      </c>
      <c r="D341" s="43" t="str">
        <f>VLOOKUP(A341,Table!A:D,4,false)</f>
        <v>Period 13</v>
      </c>
      <c r="E341" s="70" t="s">
        <v>93</v>
      </c>
      <c r="F341" s="43">
        <v>0.9166666666666666</v>
      </c>
      <c r="G341" s="43">
        <v>0.11597222222222223</v>
      </c>
      <c r="H341" s="43">
        <v>0.14305555555555555</v>
      </c>
      <c r="I341" s="43">
        <v>0.25833333333333336</v>
      </c>
      <c r="J341" s="45">
        <f t="shared" si="2"/>
        <v>492</v>
      </c>
      <c r="L341" s="46" t="s">
        <v>157</v>
      </c>
    </row>
    <row r="342">
      <c r="A342" s="118">
        <v>43686.0</v>
      </c>
      <c r="B342" s="70" t="s">
        <v>98</v>
      </c>
      <c r="C342" s="43" t="str">
        <f>VLOOKUP(A342,Table!A:B,2,false)</f>
        <v>P13 W1</v>
      </c>
      <c r="D342" s="43" t="str">
        <f>VLOOKUP(A342,Table!A:D,4,false)</f>
        <v>Period 13</v>
      </c>
      <c r="E342" s="70" t="s">
        <v>93</v>
      </c>
      <c r="F342" s="43">
        <v>0.9166666666666666</v>
      </c>
      <c r="G342" s="43">
        <v>0.11736111111111111</v>
      </c>
      <c r="H342" s="43">
        <v>0.15</v>
      </c>
      <c r="I342" s="43">
        <v>0.25555555555555554</v>
      </c>
      <c r="J342" s="45">
        <f t="shared" si="2"/>
        <v>488</v>
      </c>
      <c r="L342" s="46" t="s">
        <v>158</v>
      </c>
    </row>
    <row r="343">
      <c r="A343" s="118">
        <v>43687.0</v>
      </c>
      <c r="B343" s="70" t="s">
        <v>99</v>
      </c>
      <c r="C343" s="43" t="str">
        <f>VLOOKUP(A343,Table!A:B,2,false)</f>
        <v>P13 W1</v>
      </c>
      <c r="D343" s="43" t="str">
        <f>VLOOKUP(A343,Table!A:D,4,false)</f>
        <v>Period 13</v>
      </c>
      <c r="E343" s="70" t="s">
        <v>93</v>
      </c>
      <c r="F343" s="43">
        <v>0.9166666666666666</v>
      </c>
      <c r="G343" s="43">
        <v>0.13877314814814815</v>
      </c>
      <c r="H343" s="43">
        <v>0.15590277777777778</v>
      </c>
      <c r="I343" s="43">
        <v>0.2590277777777778</v>
      </c>
      <c r="J343" s="45">
        <f t="shared" si="2"/>
        <v>493</v>
      </c>
      <c r="L343" s="46" t="s">
        <v>159</v>
      </c>
    </row>
    <row r="344">
      <c r="A344" s="118">
        <v>43688.0</v>
      </c>
      <c r="B344" s="70" t="s">
        <v>100</v>
      </c>
      <c r="C344" s="43" t="str">
        <f>VLOOKUP(A344,Table!A:B,2,false)</f>
        <v>P13 W1</v>
      </c>
      <c r="D344" s="43" t="str">
        <f>VLOOKUP(A344,Table!A:D,4,false)</f>
        <v>Period 13</v>
      </c>
      <c r="E344" s="70" t="s">
        <v>93</v>
      </c>
      <c r="F344" s="43">
        <v>0.9166666666666666</v>
      </c>
      <c r="G344" s="43">
        <v>0.1451388888888889</v>
      </c>
      <c r="H344" s="43">
        <v>0.1597222222222222</v>
      </c>
      <c r="I344" s="43">
        <v>0.25555555555555554</v>
      </c>
      <c r="J344" s="45">
        <f t="shared" si="2"/>
        <v>488</v>
      </c>
      <c r="L344" s="46" t="s">
        <v>160</v>
      </c>
    </row>
    <row r="345">
      <c r="A345" s="118">
        <v>43689.0</v>
      </c>
      <c r="B345" s="70" t="s">
        <v>92</v>
      </c>
      <c r="C345" s="43" t="str">
        <f>VLOOKUP(A345,Table!A:B,2,false)</f>
        <v>P13 W2</v>
      </c>
      <c r="D345" s="43" t="str">
        <f>VLOOKUP(A345,Table!A:D,4,false)</f>
        <v>Period 13</v>
      </c>
      <c r="E345" s="70" t="s">
        <v>101</v>
      </c>
      <c r="F345" s="43">
        <v>0.9166666666666666</v>
      </c>
      <c r="G345" s="43">
        <v>0.12569444444444444</v>
      </c>
      <c r="H345" s="43">
        <v>0.15555555555555556</v>
      </c>
      <c r="I345" s="43">
        <v>0.25763888888888886</v>
      </c>
      <c r="J345" s="45">
        <f t="shared" si="2"/>
        <v>491</v>
      </c>
      <c r="L345" s="46" t="s">
        <v>152</v>
      </c>
    </row>
    <row r="346">
      <c r="A346" s="118">
        <v>43690.0</v>
      </c>
      <c r="B346" s="70" t="s">
        <v>94</v>
      </c>
      <c r="C346" s="43" t="str">
        <f>VLOOKUP(A346,Table!A:B,2,false)</f>
        <v>P13 W2</v>
      </c>
      <c r="D346" s="43" t="str">
        <f>VLOOKUP(A346,Table!A:D,4,false)</f>
        <v>Period 13</v>
      </c>
      <c r="E346" s="70" t="s">
        <v>101</v>
      </c>
      <c r="F346" s="43">
        <v>0.9166666666666666</v>
      </c>
      <c r="G346" s="43">
        <v>0.13194444444444445</v>
      </c>
      <c r="H346" s="43">
        <v>0.15763888888888888</v>
      </c>
      <c r="I346" s="43">
        <v>0.25555555555555554</v>
      </c>
      <c r="J346" s="45">
        <f t="shared" si="2"/>
        <v>488</v>
      </c>
      <c r="L346" s="46" t="s">
        <v>154</v>
      </c>
    </row>
    <row r="347">
      <c r="A347" s="118">
        <v>43691.0</v>
      </c>
      <c r="B347" s="70" t="s">
        <v>96</v>
      </c>
      <c r="C347" s="43" t="str">
        <f>VLOOKUP(A347,Table!A:B,2,false)</f>
        <v>P13 W2</v>
      </c>
      <c r="D347" s="43" t="str">
        <f>VLOOKUP(A347,Table!A:D,4,false)</f>
        <v>Period 13</v>
      </c>
      <c r="E347" s="70" t="s">
        <v>101</v>
      </c>
      <c r="F347" s="43">
        <v>0.9166666666666666</v>
      </c>
      <c r="G347" s="43">
        <v>0.13050925925925927</v>
      </c>
      <c r="H347" s="43">
        <v>0.15381944444444445</v>
      </c>
      <c r="I347" s="43">
        <v>0.25895833333333335</v>
      </c>
      <c r="J347" s="45">
        <f t="shared" si="2"/>
        <v>492.9</v>
      </c>
      <c r="L347" s="46" t="s">
        <v>156</v>
      </c>
    </row>
    <row r="348">
      <c r="A348" s="118">
        <v>43692.0</v>
      </c>
      <c r="B348" s="70" t="s">
        <v>97</v>
      </c>
      <c r="C348" s="43" t="str">
        <f>VLOOKUP(A348,Table!A:B,2,false)</f>
        <v>P13 W2</v>
      </c>
      <c r="D348" s="43" t="str">
        <f>VLOOKUP(A348,Table!A:D,4,false)</f>
        <v>Period 13</v>
      </c>
      <c r="E348" s="70" t="s">
        <v>101</v>
      </c>
      <c r="F348" s="43">
        <v>0.9166666666666666</v>
      </c>
      <c r="G348" s="43">
        <v>0.11502314814814815</v>
      </c>
      <c r="H348" s="43">
        <v>0.1607523148148148</v>
      </c>
      <c r="I348" s="43">
        <v>0.2440277777777778</v>
      </c>
      <c r="J348" s="45">
        <f t="shared" si="2"/>
        <v>471.4</v>
      </c>
      <c r="L348" s="46" t="s">
        <v>157</v>
      </c>
    </row>
    <row r="349">
      <c r="A349" s="118">
        <v>43693.0</v>
      </c>
      <c r="B349" s="70" t="s">
        <v>98</v>
      </c>
      <c r="C349" s="43" t="str">
        <f>VLOOKUP(A349,Table!A:B,2,false)</f>
        <v>P13 W2</v>
      </c>
      <c r="D349" s="43" t="str">
        <f>VLOOKUP(A349,Table!A:D,4,false)</f>
        <v>Period 13</v>
      </c>
      <c r="E349" s="70" t="s">
        <v>101</v>
      </c>
      <c r="F349" s="43">
        <v>0.9166666666666666</v>
      </c>
      <c r="G349" s="43">
        <v>0.11597222222222223</v>
      </c>
      <c r="H349" s="43">
        <v>0.1423611111111111</v>
      </c>
      <c r="I349" s="43">
        <v>0.525</v>
      </c>
      <c r="J349" s="45">
        <f t="shared" si="2"/>
        <v>876</v>
      </c>
      <c r="L349" s="46" t="s">
        <v>158</v>
      </c>
      <c r="M349" s="117" t="s">
        <v>333</v>
      </c>
      <c r="N349" s="46" t="s">
        <v>189</v>
      </c>
    </row>
    <row r="350">
      <c r="A350" s="118">
        <v>43694.0</v>
      </c>
      <c r="B350" s="70" t="s">
        <v>99</v>
      </c>
      <c r="C350" s="43" t="str">
        <f>VLOOKUP(A350,Table!A:B,2,false)</f>
        <v>P13 W2</v>
      </c>
      <c r="D350" s="43" t="str">
        <f>VLOOKUP(A350,Table!A:D,4,false)</f>
        <v>Period 13</v>
      </c>
      <c r="E350" s="70" t="s">
        <v>101</v>
      </c>
      <c r="F350" s="43">
        <v>0.9166666666666666</v>
      </c>
      <c r="G350" s="43">
        <v>0.11547453703703704</v>
      </c>
      <c r="H350" s="43">
        <v>0.12840277777777778</v>
      </c>
      <c r="I350" s="43">
        <v>0.22973379629629628</v>
      </c>
      <c r="J350" s="45">
        <f t="shared" si="2"/>
        <v>450.8166667</v>
      </c>
      <c r="L350" s="46" t="s">
        <v>159</v>
      </c>
    </row>
    <row r="351">
      <c r="A351" s="118">
        <v>43695.0</v>
      </c>
      <c r="B351" s="70" t="s">
        <v>100</v>
      </c>
      <c r="C351" s="43" t="str">
        <f>VLOOKUP(A351,Table!A:B,2,false)</f>
        <v>P13 W2</v>
      </c>
      <c r="D351" s="43" t="str">
        <f>VLOOKUP(A351,Table!A:D,4,false)</f>
        <v>Period 13</v>
      </c>
      <c r="E351" s="70" t="s">
        <v>101</v>
      </c>
      <c r="F351" s="43">
        <v>0.9166666666666666</v>
      </c>
      <c r="G351" s="43">
        <v>0.15138888888888888</v>
      </c>
      <c r="H351" s="43">
        <v>0.18541666666666667</v>
      </c>
      <c r="I351" s="43">
        <v>0.2520833333333333</v>
      </c>
      <c r="J351" s="45">
        <f t="shared" si="2"/>
        <v>483</v>
      </c>
      <c r="L351" s="46" t="s">
        <v>160</v>
      </c>
    </row>
    <row r="352">
      <c r="A352" s="118">
        <v>43696.0</v>
      </c>
      <c r="B352" s="70" t="s">
        <v>92</v>
      </c>
      <c r="C352" s="43" t="str">
        <f>VLOOKUP(A352,Table!A:B,2,false)</f>
        <v>P13 W3</v>
      </c>
      <c r="D352" s="43" t="str">
        <f>VLOOKUP(A352,Table!A:D,4,false)</f>
        <v>Period 13</v>
      </c>
      <c r="E352" s="70" t="s">
        <v>106</v>
      </c>
      <c r="F352" s="43">
        <v>0.9166666666666666</v>
      </c>
      <c r="G352" s="43">
        <v>0.14305555555555555</v>
      </c>
      <c r="H352" s="43">
        <v>0.17291666666666666</v>
      </c>
      <c r="I352" s="43">
        <v>0.2875</v>
      </c>
      <c r="J352" s="45">
        <f t="shared" si="2"/>
        <v>534</v>
      </c>
      <c r="L352" s="46" t="s">
        <v>152</v>
      </c>
      <c r="M352" s="52" t="s">
        <v>334</v>
      </c>
      <c r="N352" s="46" t="s">
        <v>143</v>
      </c>
    </row>
    <row r="353">
      <c r="A353" s="118">
        <v>43697.0</v>
      </c>
      <c r="B353" s="70" t="s">
        <v>94</v>
      </c>
      <c r="C353" s="43" t="str">
        <f>VLOOKUP(A353,Table!A:B,2,false)</f>
        <v>P13 W3</v>
      </c>
      <c r="D353" s="43" t="str">
        <f>VLOOKUP(A353,Table!A:D,4,false)</f>
        <v>Period 13</v>
      </c>
      <c r="E353" s="70" t="s">
        <v>106</v>
      </c>
      <c r="F353" s="43">
        <v>0.9166666666666666</v>
      </c>
      <c r="G353" s="43">
        <v>0.13125</v>
      </c>
      <c r="H353" s="43">
        <v>0.15694444444444444</v>
      </c>
      <c r="I353" s="43">
        <v>0.2791666666666667</v>
      </c>
      <c r="J353" s="45">
        <f t="shared" si="2"/>
        <v>522</v>
      </c>
      <c r="L353" s="46" t="s">
        <v>154</v>
      </c>
      <c r="M353" s="72" t="s">
        <v>335</v>
      </c>
      <c r="N353" s="46" t="s">
        <v>23</v>
      </c>
    </row>
    <row r="354">
      <c r="A354" s="118">
        <v>43698.0</v>
      </c>
      <c r="B354" s="70" t="s">
        <v>96</v>
      </c>
      <c r="C354" s="43" t="str">
        <f>VLOOKUP(A354,Table!A:B,2,false)</f>
        <v>P13 W3</v>
      </c>
      <c r="D354" s="43" t="str">
        <f>VLOOKUP(A354,Table!A:D,4,false)</f>
        <v>Period 13</v>
      </c>
      <c r="E354" s="70" t="s">
        <v>106</v>
      </c>
      <c r="F354" s="43">
        <v>0.9166666666666666</v>
      </c>
      <c r="G354" s="43">
        <v>0.11666666666666667</v>
      </c>
      <c r="H354" s="43">
        <v>0.1527777777777778</v>
      </c>
      <c r="I354" s="43">
        <v>0.2611111111111111</v>
      </c>
      <c r="J354" s="45">
        <f t="shared" si="2"/>
        <v>496</v>
      </c>
      <c r="L354" s="46" t="s">
        <v>156</v>
      </c>
      <c r="M354" s="83"/>
    </row>
    <row r="355">
      <c r="A355" s="118">
        <v>43699.0</v>
      </c>
      <c r="B355" s="70" t="s">
        <v>97</v>
      </c>
      <c r="C355" s="43" t="str">
        <f>VLOOKUP(A355,Table!A:B,2,false)</f>
        <v>P13 W3</v>
      </c>
      <c r="D355" s="43" t="str">
        <f>VLOOKUP(A355,Table!A:D,4,false)</f>
        <v>Period 13</v>
      </c>
      <c r="E355" s="70" t="s">
        <v>106</v>
      </c>
      <c r="F355" s="43">
        <v>0.9166666666666666</v>
      </c>
      <c r="G355" s="43">
        <v>0.1326388888888889</v>
      </c>
      <c r="H355" s="43">
        <v>0.17152777777777778</v>
      </c>
      <c r="I355" s="43">
        <v>0.25625</v>
      </c>
      <c r="J355" s="45">
        <f t="shared" si="2"/>
        <v>489</v>
      </c>
      <c r="L355" s="46" t="s">
        <v>157</v>
      </c>
    </row>
    <row r="356">
      <c r="A356" s="118">
        <v>43700.0</v>
      </c>
      <c r="B356" s="70" t="s">
        <v>98</v>
      </c>
      <c r="C356" s="43" t="str">
        <f>VLOOKUP(A356,Table!A:B,2,false)</f>
        <v>P13 W3</v>
      </c>
      <c r="D356" s="43" t="str">
        <f>VLOOKUP(A356,Table!A:D,4,false)</f>
        <v>Period 13</v>
      </c>
      <c r="E356" s="70" t="s">
        <v>106</v>
      </c>
      <c r="F356" s="43">
        <v>0.9166666666666666</v>
      </c>
      <c r="G356" s="43">
        <v>0.11768518518518518</v>
      </c>
      <c r="H356" s="43">
        <v>0.1514699074074074</v>
      </c>
      <c r="I356" s="43">
        <v>0.24991898148148148</v>
      </c>
      <c r="J356" s="45">
        <f t="shared" si="2"/>
        <v>479.8833333</v>
      </c>
      <c r="L356" s="46" t="s">
        <v>158</v>
      </c>
    </row>
    <row r="357">
      <c r="A357" s="118">
        <v>43701.0</v>
      </c>
      <c r="B357" s="70" t="s">
        <v>99</v>
      </c>
      <c r="C357" s="43" t="str">
        <f>VLOOKUP(A357,Table!A:B,2,false)</f>
        <v>P13 W3</v>
      </c>
      <c r="D357" s="43" t="str">
        <f>VLOOKUP(A357,Table!A:D,4,false)</f>
        <v>Period 13</v>
      </c>
      <c r="E357" s="70" t="s">
        <v>106</v>
      </c>
      <c r="F357" s="43">
        <v>0.9166666666666666</v>
      </c>
      <c r="G357" s="43">
        <v>0.1721412037037037</v>
      </c>
      <c r="H357" s="43">
        <v>0.19121527777777778</v>
      </c>
      <c r="I357" s="43">
        <v>0.29899305555555555</v>
      </c>
      <c r="J357" s="45">
        <f t="shared" si="2"/>
        <v>550.55</v>
      </c>
      <c r="L357" s="46" t="s">
        <v>159</v>
      </c>
      <c r="M357" s="46" t="s">
        <v>336</v>
      </c>
      <c r="N357" s="46" t="s">
        <v>208</v>
      </c>
    </row>
    <row r="358">
      <c r="A358" s="118">
        <v>43702.0</v>
      </c>
      <c r="B358" s="70" t="s">
        <v>100</v>
      </c>
      <c r="C358" s="43" t="str">
        <f>VLOOKUP(A358,Table!A:B,2,false)</f>
        <v>P13 W3</v>
      </c>
      <c r="D358" s="43" t="str">
        <f>VLOOKUP(A358,Table!A:D,4,false)</f>
        <v>Period 13</v>
      </c>
      <c r="E358" s="70" t="s">
        <v>106</v>
      </c>
      <c r="F358" s="43">
        <v>0.9166666666666666</v>
      </c>
      <c r="G358" s="43">
        <v>0.15555555555555556</v>
      </c>
      <c r="H358" s="43">
        <v>0.18333333333333332</v>
      </c>
      <c r="I358" s="43">
        <v>0.3</v>
      </c>
      <c r="J358" s="45">
        <f t="shared" si="2"/>
        <v>552</v>
      </c>
      <c r="L358" s="46" t="s">
        <v>160</v>
      </c>
      <c r="M358" s="72" t="s">
        <v>337</v>
      </c>
      <c r="N358" s="46" t="s">
        <v>23</v>
      </c>
    </row>
    <row r="359">
      <c r="A359" s="118">
        <v>43703.0</v>
      </c>
      <c r="B359" s="70" t="s">
        <v>92</v>
      </c>
      <c r="C359" s="43" t="str">
        <f>VLOOKUP(A359,Table!A:B,2,false)</f>
        <v>P13 W4</v>
      </c>
      <c r="D359" s="43" t="str">
        <f>VLOOKUP(A359,Table!A:D,4,false)</f>
        <v>Period 13</v>
      </c>
      <c r="E359" s="70" t="s">
        <v>110</v>
      </c>
      <c r="F359" s="43">
        <v>0.9166666666666666</v>
      </c>
      <c r="G359" s="43">
        <v>0.11666666666666667</v>
      </c>
      <c r="H359" s="43">
        <v>0.1375</v>
      </c>
      <c r="I359" s="43">
        <v>0.28958333333333336</v>
      </c>
      <c r="J359" s="45">
        <f t="shared" si="2"/>
        <v>537</v>
      </c>
      <c r="L359" s="46" t="s">
        <v>152</v>
      </c>
      <c r="M359" s="72" t="s">
        <v>338</v>
      </c>
      <c r="N359" s="46" t="s">
        <v>36</v>
      </c>
    </row>
    <row r="360">
      <c r="A360" s="118">
        <v>43704.0</v>
      </c>
      <c r="B360" s="70" t="s">
        <v>94</v>
      </c>
      <c r="C360" s="43" t="str">
        <f>VLOOKUP(A360,Table!A:B,2,false)</f>
        <v>P13 W4</v>
      </c>
      <c r="D360" s="43" t="str">
        <f>VLOOKUP(A360,Table!A:D,4,false)</f>
        <v>Period 13</v>
      </c>
      <c r="E360" s="70" t="s">
        <v>110</v>
      </c>
      <c r="F360" s="43">
        <v>0.9166666666666666</v>
      </c>
      <c r="G360" s="43">
        <v>0.11875</v>
      </c>
      <c r="H360" s="43">
        <v>0.1486111111111111</v>
      </c>
      <c r="I360" s="43">
        <v>0.2625</v>
      </c>
      <c r="J360" s="45">
        <f t="shared" si="2"/>
        <v>498</v>
      </c>
      <c r="L360" s="46" t="s">
        <v>154</v>
      </c>
    </row>
    <row r="361">
      <c r="A361" s="118">
        <v>43705.0</v>
      </c>
      <c r="B361" s="70" t="s">
        <v>96</v>
      </c>
      <c r="C361" s="43" t="str">
        <f>VLOOKUP(A361,Table!A:B,2,false)</f>
        <v>P13 W4</v>
      </c>
      <c r="D361" s="43" t="str">
        <f>VLOOKUP(A361,Table!A:D,4,false)</f>
        <v>Period 13</v>
      </c>
      <c r="E361" s="70" t="s">
        <v>110</v>
      </c>
      <c r="F361" s="43">
        <v>0.9166666666666666</v>
      </c>
      <c r="G361" s="43">
        <v>0.1362847222222222</v>
      </c>
      <c r="H361" s="43">
        <v>0.16614583333333333</v>
      </c>
      <c r="I361" s="43">
        <v>0.24822916666666667</v>
      </c>
      <c r="J361" s="45">
        <f t="shared" si="2"/>
        <v>477.45</v>
      </c>
      <c r="L361" s="46" t="s">
        <v>156</v>
      </c>
    </row>
    <row r="362">
      <c r="A362" s="118">
        <v>43706.0</v>
      </c>
      <c r="B362" s="70" t="s">
        <v>97</v>
      </c>
      <c r="C362" s="43" t="str">
        <f>VLOOKUP(A362,Table!A:B,2,false)</f>
        <v>P13 W4</v>
      </c>
      <c r="D362" s="43" t="str">
        <f>VLOOKUP(A362,Table!A:D,4,false)</f>
        <v>Period 13</v>
      </c>
      <c r="E362" s="70" t="s">
        <v>110</v>
      </c>
      <c r="F362" s="43">
        <v>0.9166666666666666</v>
      </c>
      <c r="G362" s="43">
        <v>0.11547453703703704</v>
      </c>
      <c r="H362" s="43">
        <v>0.1515625</v>
      </c>
      <c r="I362" s="43">
        <v>0.24791666666666667</v>
      </c>
      <c r="J362" s="45">
        <f t="shared" si="2"/>
        <v>477</v>
      </c>
      <c r="L362" s="46" t="s">
        <v>157</v>
      </c>
    </row>
    <row r="363">
      <c r="A363" s="118">
        <v>43707.0</v>
      </c>
      <c r="B363" s="70" t="s">
        <v>98</v>
      </c>
      <c r="C363" s="43" t="str">
        <f>VLOOKUP(A363,Table!A:B,2,false)</f>
        <v>P13 W4</v>
      </c>
      <c r="D363" s="43" t="str">
        <f>VLOOKUP(A363,Table!A:D,4,false)</f>
        <v>Period 13</v>
      </c>
      <c r="E363" s="70" t="s">
        <v>110</v>
      </c>
      <c r="F363" s="43">
        <v>0.9166666666666666</v>
      </c>
      <c r="G363" s="43">
        <v>0.11805555555555555</v>
      </c>
      <c r="H363" s="43">
        <v>0.14305555555555555</v>
      </c>
      <c r="I363" s="43">
        <v>0.24444444444444444</v>
      </c>
      <c r="J363" s="45">
        <f t="shared" si="2"/>
        <v>472</v>
      </c>
      <c r="L363" s="46" t="s">
        <v>158</v>
      </c>
    </row>
    <row r="364">
      <c r="A364" s="118">
        <v>43708.0</v>
      </c>
      <c r="B364" s="70" t="s">
        <v>99</v>
      </c>
      <c r="C364" s="43" t="str">
        <f>VLOOKUP(A364,Table!A:B,2,false)</f>
        <v>P13 W4</v>
      </c>
      <c r="D364" s="43" t="str">
        <f>VLOOKUP(A364,Table!A:D,4,false)</f>
        <v>Period 13</v>
      </c>
      <c r="E364" s="70" t="s">
        <v>110</v>
      </c>
      <c r="F364" s="43">
        <v>0.9166666666666666</v>
      </c>
      <c r="G364" s="43">
        <v>0.16552083333333334</v>
      </c>
      <c r="H364" s="43">
        <v>0.18670138888888888</v>
      </c>
      <c r="I364" s="43">
        <v>0.2743055555555556</v>
      </c>
      <c r="J364" s="45">
        <f t="shared" si="2"/>
        <v>515</v>
      </c>
      <c r="L364" s="46" t="s">
        <v>159</v>
      </c>
    </row>
    <row r="365">
      <c r="A365" s="118">
        <v>43709.0</v>
      </c>
      <c r="B365" s="70" t="s">
        <v>100</v>
      </c>
      <c r="C365" s="43" t="str">
        <f>VLOOKUP(A365,Table!A:B,2,false)</f>
        <v>P13 W4</v>
      </c>
      <c r="D365" s="43" t="str">
        <f>VLOOKUP(A365,Table!A:D,4,false)</f>
        <v>Period 13</v>
      </c>
      <c r="E365" s="70" t="s">
        <v>110</v>
      </c>
      <c r="F365" s="43">
        <v>0.9166666666666666</v>
      </c>
      <c r="G365" s="43">
        <v>0.19791666666666666</v>
      </c>
      <c r="H365" s="43">
        <v>0.21666666666666667</v>
      </c>
      <c r="I365" s="43">
        <v>0.3</v>
      </c>
      <c r="J365" s="45">
        <f t="shared" si="2"/>
        <v>552</v>
      </c>
      <c r="L365" s="46" t="s">
        <v>160</v>
      </c>
    </row>
    <row r="366">
      <c r="A366" s="118"/>
      <c r="B366" s="70"/>
      <c r="C366" s="43"/>
      <c r="G366" s="43">
        <v>0.1423611111111111</v>
      </c>
      <c r="H366" s="43">
        <v>0.16944444444444445</v>
      </c>
      <c r="I366" s="43">
        <v>0.31875</v>
      </c>
      <c r="J366" s="45">
        <f t="shared" si="2"/>
        <v>459</v>
      </c>
      <c r="L366" s="46" t="s">
        <v>152</v>
      </c>
      <c r="M366" s="72" t="s">
        <v>153</v>
      </c>
      <c r="N366" s="46" t="s">
        <v>37</v>
      </c>
    </row>
    <row r="367">
      <c r="A367" s="118"/>
      <c r="B367" s="70"/>
      <c r="C367" s="43"/>
      <c r="J367" s="22"/>
      <c r="L367" s="46" t="s">
        <v>154</v>
      </c>
    </row>
    <row r="368">
      <c r="A368" s="118"/>
      <c r="B368" s="70"/>
      <c r="C368" s="43"/>
      <c r="J368" s="22"/>
      <c r="L368" s="46" t="s">
        <v>156</v>
      </c>
    </row>
    <row r="369">
      <c r="A369" s="118"/>
      <c r="B369" s="70"/>
      <c r="C369" s="43"/>
      <c r="J369" s="22"/>
      <c r="L369" s="46" t="s">
        <v>157</v>
      </c>
    </row>
    <row r="370">
      <c r="A370" s="118"/>
      <c r="B370" s="70"/>
      <c r="C370" s="43"/>
      <c r="J370" s="22"/>
      <c r="L370" s="46" t="s">
        <v>158</v>
      </c>
    </row>
    <row r="371">
      <c r="A371" s="118"/>
      <c r="B371" s="70"/>
      <c r="C371" s="43"/>
      <c r="J371" s="22"/>
      <c r="L371" s="46" t="s">
        <v>159</v>
      </c>
    </row>
    <row r="372">
      <c r="A372" s="119"/>
      <c r="J372" s="22"/>
      <c r="L372" s="46" t="s">
        <v>160</v>
      </c>
    </row>
    <row r="373">
      <c r="A373" s="119"/>
      <c r="J373" s="22"/>
      <c r="L373" s="46" t="s">
        <v>152</v>
      </c>
    </row>
    <row r="374">
      <c r="A374" s="119"/>
      <c r="J374" s="22"/>
      <c r="L374" s="46" t="s">
        <v>154</v>
      </c>
    </row>
    <row r="375">
      <c r="A375" s="119"/>
      <c r="J375" s="22"/>
      <c r="L375" s="46" t="s">
        <v>156</v>
      </c>
    </row>
    <row r="376">
      <c r="A376" s="119"/>
      <c r="J376" s="22"/>
      <c r="L376" s="46" t="s">
        <v>157</v>
      </c>
    </row>
    <row r="377">
      <c r="A377" s="119"/>
      <c r="J377" s="22"/>
      <c r="L377" s="46" t="s">
        <v>158</v>
      </c>
    </row>
    <row r="378">
      <c r="A378" s="119"/>
      <c r="J378" s="22"/>
      <c r="L378" s="46" t="s">
        <v>159</v>
      </c>
    </row>
    <row r="379">
      <c r="A379" s="119"/>
      <c r="J379" s="22"/>
      <c r="L379" s="46" t="s">
        <v>160</v>
      </c>
    </row>
    <row r="380">
      <c r="A380" s="119"/>
      <c r="J380" s="22"/>
      <c r="L380" s="46" t="s">
        <v>152</v>
      </c>
    </row>
    <row r="381">
      <c r="A381" s="119"/>
      <c r="J381" s="22"/>
      <c r="L381" s="46" t="s">
        <v>154</v>
      </c>
    </row>
    <row r="382">
      <c r="A382" s="119"/>
      <c r="J382" s="22"/>
      <c r="L382" s="46" t="s">
        <v>156</v>
      </c>
    </row>
    <row r="383">
      <c r="A383" s="119"/>
      <c r="J383" s="22"/>
      <c r="L383" s="46" t="s">
        <v>157</v>
      </c>
    </row>
    <row r="384">
      <c r="A384" s="119"/>
      <c r="J384" s="22"/>
      <c r="L384" s="46" t="s">
        <v>158</v>
      </c>
    </row>
    <row r="385">
      <c r="A385" s="119"/>
      <c r="J385" s="22"/>
      <c r="L385" s="46" t="s">
        <v>159</v>
      </c>
    </row>
    <row r="386">
      <c r="A386" s="119"/>
      <c r="J386" s="22"/>
      <c r="L386" s="46" t="s">
        <v>160</v>
      </c>
    </row>
    <row r="387">
      <c r="A387" s="119"/>
      <c r="J387" s="22"/>
    </row>
    <row r="388">
      <c r="A388" s="119"/>
      <c r="J388" s="22"/>
    </row>
    <row r="389">
      <c r="A389" s="119"/>
      <c r="J389" s="22"/>
    </row>
    <row r="390">
      <c r="A390" s="119"/>
      <c r="J390" s="22"/>
    </row>
    <row r="391">
      <c r="A391" s="119"/>
      <c r="J391" s="22"/>
    </row>
    <row r="392">
      <c r="A392" s="119"/>
      <c r="J392" s="22"/>
    </row>
    <row r="393">
      <c r="A393" s="119"/>
      <c r="J393" s="22"/>
    </row>
    <row r="394">
      <c r="A394" s="119"/>
      <c r="J394" s="22"/>
    </row>
    <row r="395">
      <c r="A395" s="119"/>
      <c r="J395" s="22"/>
    </row>
    <row r="396">
      <c r="A396" s="119"/>
      <c r="J396" s="22"/>
    </row>
    <row r="397">
      <c r="A397" s="119"/>
      <c r="J397" s="22"/>
    </row>
    <row r="398">
      <c r="A398" s="119"/>
      <c r="J398" s="22"/>
    </row>
    <row r="399">
      <c r="A399" s="119"/>
      <c r="J399" s="22"/>
    </row>
    <row r="400">
      <c r="A400" s="119"/>
      <c r="J400" s="22"/>
    </row>
    <row r="401">
      <c r="A401" s="119"/>
      <c r="J401" s="22"/>
    </row>
    <row r="402">
      <c r="A402" s="119"/>
      <c r="J402" s="22"/>
    </row>
    <row r="403">
      <c r="A403" s="119"/>
      <c r="J403" s="22"/>
    </row>
    <row r="404">
      <c r="A404" s="119"/>
      <c r="J404" s="22"/>
    </row>
    <row r="405">
      <c r="A405" s="119"/>
      <c r="J405" s="22"/>
    </row>
    <row r="406">
      <c r="A406" s="119"/>
      <c r="J406" s="22"/>
    </row>
    <row r="407">
      <c r="A407" s="119"/>
      <c r="J407" s="22"/>
    </row>
    <row r="408">
      <c r="A408" s="119"/>
      <c r="J408" s="22"/>
    </row>
    <row r="409">
      <c r="A409" s="119"/>
      <c r="J409" s="22"/>
    </row>
    <row r="410">
      <c r="A410" s="119"/>
      <c r="J410" s="22"/>
    </row>
    <row r="411">
      <c r="A411" s="119"/>
      <c r="J411" s="22"/>
    </row>
    <row r="412">
      <c r="A412" s="119"/>
      <c r="J412" s="22"/>
    </row>
    <row r="413">
      <c r="A413" s="119"/>
      <c r="J413" s="22"/>
    </row>
    <row r="414">
      <c r="A414" s="119"/>
      <c r="J414" s="22"/>
    </row>
    <row r="415">
      <c r="A415" s="119"/>
      <c r="J415" s="22"/>
    </row>
    <row r="416">
      <c r="A416" s="119"/>
      <c r="J416" s="22"/>
    </row>
    <row r="417">
      <c r="A417" s="119"/>
      <c r="J417" s="22"/>
    </row>
    <row r="418">
      <c r="A418" s="119"/>
      <c r="J418" s="22"/>
    </row>
    <row r="419">
      <c r="A419" s="119"/>
      <c r="J419" s="22"/>
    </row>
    <row r="420">
      <c r="A420" s="119"/>
      <c r="J420" s="22"/>
    </row>
    <row r="421">
      <c r="A421" s="119"/>
      <c r="J421" s="22"/>
    </row>
    <row r="422">
      <c r="A422" s="119"/>
      <c r="J422" s="22"/>
    </row>
    <row r="423">
      <c r="A423" s="119"/>
      <c r="J423" s="22"/>
    </row>
    <row r="424">
      <c r="A424" s="119"/>
      <c r="J424" s="22"/>
    </row>
    <row r="425">
      <c r="A425" s="119"/>
      <c r="J425" s="22"/>
    </row>
    <row r="426">
      <c r="A426" s="119"/>
      <c r="J426" s="22"/>
    </row>
    <row r="427">
      <c r="A427" s="119"/>
      <c r="J427" s="22"/>
    </row>
    <row r="428">
      <c r="A428" s="119"/>
      <c r="J428" s="22"/>
    </row>
    <row r="429">
      <c r="A429" s="119"/>
      <c r="J429" s="22"/>
    </row>
    <row r="430">
      <c r="A430" s="119"/>
      <c r="J430" s="22"/>
    </row>
    <row r="431">
      <c r="A431" s="119"/>
      <c r="J431" s="22"/>
    </row>
    <row r="432">
      <c r="A432" s="119"/>
      <c r="J432" s="22"/>
    </row>
    <row r="433">
      <c r="A433" s="119"/>
      <c r="J433" s="22"/>
    </row>
    <row r="434">
      <c r="A434" s="119"/>
      <c r="J434" s="22"/>
    </row>
    <row r="435">
      <c r="A435" s="119"/>
      <c r="J435" s="22"/>
    </row>
    <row r="436">
      <c r="A436" s="119"/>
      <c r="J436" s="22"/>
    </row>
    <row r="437">
      <c r="A437" s="119"/>
      <c r="J437" s="22"/>
    </row>
    <row r="438">
      <c r="A438" s="119"/>
      <c r="J438" s="22"/>
    </row>
    <row r="439">
      <c r="A439" s="119"/>
      <c r="J439" s="22"/>
    </row>
    <row r="440">
      <c r="A440" s="119"/>
      <c r="J440" s="22"/>
    </row>
    <row r="441">
      <c r="A441" s="119"/>
      <c r="J441" s="22"/>
    </row>
    <row r="442">
      <c r="A442" s="119"/>
      <c r="J442" s="22"/>
    </row>
    <row r="443">
      <c r="A443" s="119"/>
      <c r="J443" s="22"/>
    </row>
    <row r="444">
      <c r="A444" s="119"/>
      <c r="J444" s="22"/>
    </row>
    <row r="445">
      <c r="A445" s="119"/>
      <c r="J445" s="22"/>
    </row>
    <row r="446">
      <c r="A446" s="119"/>
      <c r="J446" s="22"/>
    </row>
    <row r="447">
      <c r="A447" s="119"/>
      <c r="J447" s="22"/>
    </row>
    <row r="448">
      <c r="A448" s="119"/>
      <c r="J448" s="22"/>
    </row>
    <row r="449">
      <c r="A449" s="119"/>
      <c r="J449" s="22"/>
    </row>
    <row r="450">
      <c r="A450" s="119"/>
      <c r="J450" s="22"/>
    </row>
    <row r="451">
      <c r="A451" s="119"/>
      <c r="J451" s="22"/>
    </row>
    <row r="452">
      <c r="A452" s="119"/>
      <c r="J452" s="22"/>
    </row>
    <row r="453">
      <c r="A453" s="119"/>
      <c r="J453" s="22"/>
    </row>
    <row r="454">
      <c r="A454" s="119"/>
      <c r="J454" s="22"/>
    </row>
    <row r="455">
      <c r="A455" s="119"/>
      <c r="J455" s="22"/>
    </row>
    <row r="456">
      <c r="A456" s="119"/>
      <c r="J456" s="22"/>
    </row>
    <row r="457">
      <c r="A457" s="119"/>
      <c r="J457" s="22"/>
    </row>
    <row r="458">
      <c r="A458" s="119"/>
      <c r="J458" s="22"/>
    </row>
    <row r="459">
      <c r="A459" s="119"/>
      <c r="J459" s="22"/>
    </row>
    <row r="460">
      <c r="A460" s="119"/>
      <c r="J460" s="22"/>
    </row>
    <row r="461">
      <c r="A461" s="119"/>
      <c r="J461" s="22"/>
    </row>
    <row r="462">
      <c r="A462" s="119"/>
      <c r="J462" s="22"/>
    </row>
    <row r="463">
      <c r="A463" s="119"/>
      <c r="J463" s="22"/>
    </row>
    <row r="464">
      <c r="A464" s="119"/>
      <c r="J464" s="22"/>
    </row>
    <row r="465">
      <c r="A465" s="119"/>
      <c r="J465" s="22"/>
    </row>
    <row r="466">
      <c r="A466" s="119"/>
      <c r="J466" s="22"/>
    </row>
    <row r="467">
      <c r="A467" s="119"/>
      <c r="J467" s="22"/>
    </row>
    <row r="468">
      <c r="A468" s="119"/>
      <c r="J468" s="22"/>
    </row>
    <row r="469">
      <c r="A469" s="119"/>
      <c r="J469" s="22"/>
    </row>
    <row r="470">
      <c r="A470" s="119"/>
      <c r="J470" s="22"/>
    </row>
    <row r="471">
      <c r="A471" s="119"/>
      <c r="J471" s="22"/>
    </row>
    <row r="472">
      <c r="A472" s="119"/>
      <c r="J472" s="22"/>
    </row>
    <row r="473">
      <c r="A473" s="119"/>
      <c r="J473" s="22"/>
    </row>
    <row r="474">
      <c r="A474" s="119"/>
      <c r="J474" s="22"/>
    </row>
    <row r="475">
      <c r="A475" s="119"/>
      <c r="J475" s="22"/>
    </row>
    <row r="476">
      <c r="A476" s="119"/>
      <c r="J476" s="22"/>
    </row>
    <row r="477">
      <c r="A477" s="119"/>
      <c r="J477" s="22"/>
    </row>
    <row r="478">
      <c r="A478" s="119"/>
      <c r="J478" s="22"/>
    </row>
    <row r="479">
      <c r="A479" s="119"/>
      <c r="J479" s="22"/>
    </row>
    <row r="480">
      <c r="A480" s="119"/>
      <c r="J480" s="22"/>
    </row>
    <row r="481">
      <c r="A481" s="119"/>
      <c r="J481" s="22"/>
    </row>
    <row r="482">
      <c r="A482" s="119"/>
      <c r="J482" s="22"/>
    </row>
    <row r="483">
      <c r="A483" s="119"/>
      <c r="J483" s="22"/>
    </row>
    <row r="484">
      <c r="A484" s="119"/>
      <c r="J484" s="22"/>
    </row>
    <row r="485">
      <c r="A485" s="119"/>
      <c r="J485" s="22"/>
    </row>
    <row r="486">
      <c r="A486" s="119"/>
      <c r="J486" s="22"/>
    </row>
    <row r="487">
      <c r="A487" s="119"/>
      <c r="J487" s="22"/>
    </row>
    <row r="488">
      <c r="A488" s="119"/>
      <c r="J488" s="22"/>
    </row>
    <row r="489">
      <c r="A489" s="119"/>
      <c r="J489" s="22"/>
    </row>
    <row r="490">
      <c r="A490" s="119"/>
      <c r="J490" s="22"/>
    </row>
    <row r="491">
      <c r="A491" s="119"/>
      <c r="J491" s="22"/>
    </row>
    <row r="492">
      <c r="A492" s="119"/>
      <c r="J492" s="22"/>
    </row>
    <row r="493">
      <c r="A493" s="119"/>
      <c r="J493" s="22"/>
    </row>
    <row r="494">
      <c r="A494" s="119"/>
      <c r="J494" s="22"/>
    </row>
    <row r="495">
      <c r="A495" s="119"/>
      <c r="J495" s="22"/>
    </row>
    <row r="496">
      <c r="A496" s="119"/>
      <c r="J496" s="22"/>
    </row>
    <row r="497">
      <c r="A497" s="119"/>
      <c r="J497" s="22"/>
    </row>
    <row r="498">
      <c r="A498" s="119"/>
      <c r="J498" s="22"/>
    </row>
    <row r="499">
      <c r="A499" s="119"/>
      <c r="J499" s="22"/>
    </row>
    <row r="500">
      <c r="A500" s="119"/>
      <c r="J500" s="22"/>
    </row>
    <row r="501">
      <c r="A501" s="119"/>
      <c r="J501" s="22"/>
    </row>
    <row r="502">
      <c r="A502" s="119"/>
      <c r="J502" s="22"/>
    </row>
    <row r="503">
      <c r="A503" s="119"/>
      <c r="J503" s="22"/>
    </row>
    <row r="504">
      <c r="A504" s="119"/>
      <c r="J504" s="22"/>
    </row>
    <row r="505">
      <c r="A505" s="119"/>
      <c r="J505" s="22"/>
    </row>
    <row r="506">
      <c r="A506" s="119"/>
      <c r="J506" s="22"/>
    </row>
    <row r="507">
      <c r="A507" s="119"/>
      <c r="J507" s="22"/>
    </row>
    <row r="508">
      <c r="A508" s="119"/>
      <c r="J508" s="22"/>
    </row>
    <row r="509">
      <c r="A509" s="119"/>
      <c r="J509" s="22"/>
    </row>
    <row r="510">
      <c r="A510" s="119"/>
      <c r="J510" s="22"/>
    </row>
    <row r="511">
      <c r="A511" s="119"/>
      <c r="J511" s="22"/>
    </row>
    <row r="512">
      <c r="A512" s="119"/>
      <c r="J512" s="22"/>
    </row>
    <row r="513">
      <c r="A513" s="119"/>
      <c r="J513" s="22"/>
    </row>
    <row r="514">
      <c r="A514" s="119"/>
      <c r="J514" s="22"/>
    </row>
    <row r="515">
      <c r="A515" s="119"/>
      <c r="J515" s="22"/>
    </row>
    <row r="516">
      <c r="A516" s="119"/>
      <c r="J516" s="22"/>
    </row>
    <row r="517">
      <c r="A517" s="119"/>
      <c r="J517" s="22"/>
    </row>
    <row r="518">
      <c r="A518" s="119"/>
      <c r="J518" s="22"/>
    </row>
    <row r="519">
      <c r="A519" s="119"/>
      <c r="J519" s="22"/>
    </row>
    <row r="520">
      <c r="A520" s="119"/>
      <c r="J520" s="22"/>
    </row>
    <row r="521">
      <c r="A521" s="119"/>
      <c r="J521" s="22"/>
    </row>
    <row r="522">
      <c r="A522" s="119"/>
      <c r="J522" s="22"/>
    </row>
    <row r="523">
      <c r="A523" s="119"/>
      <c r="J523" s="22"/>
    </row>
    <row r="524">
      <c r="A524" s="119"/>
      <c r="J524" s="22"/>
    </row>
    <row r="525">
      <c r="A525" s="119"/>
      <c r="J525" s="22"/>
    </row>
    <row r="526">
      <c r="A526" s="119"/>
      <c r="J526" s="22"/>
    </row>
    <row r="527">
      <c r="A527" s="119"/>
      <c r="J527" s="22"/>
    </row>
    <row r="528">
      <c r="A528" s="119"/>
      <c r="J528" s="22"/>
    </row>
    <row r="529">
      <c r="A529" s="119"/>
      <c r="J529" s="22"/>
    </row>
    <row r="530">
      <c r="A530" s="119"/>
      <c r="J530" s="22"/>
    </row>
    <row r="531">
      <c r="A531" s="119"/>
      <c r="J531" s="22"/>
    </row>
    <row r="532">
      <c r="A532" s="119"/>
      <c r="J532" s="22"/>
    </row>
    <row r="533">
      <c r="A533" s="119"/>
      <c r="J533" s="22"/>
    </row>
    <row r="534">
      <c r="A534" s="119"/>
      <c r="J534" s="22"/>
    </row>
    <row r="535">
      <c r="A535" s="119"/>
      <c r="J535" s="22"/>
    </row>
    <row r="536">
      <c r="A536" s="119"/>
      <c r="J536" s="22"/>
    </row>
    <row r="537">
      <c r="A537" s="119"/>
      <c r="J537" s="22"/>
    </row>
    <row r="538">
      <c r="A538" s="119"/>
      <c r="J538" s="22"/>
    </row>
    <row r="539">
      <c r="A539" s="119"/>
      <c r="J539" s="22"/>
    </row>
    <row r="540">
      <c r="A540" s="119"/>
      <c r="J540" s="22"/>
    </row>
    <row r="541">
      <c r="A541" s="119"/>
      <c r="J541" s="22"/>
    </row>
    <row r="542">
      <c r="A542" s="119"/>
      <c r="J542" s="22"/>
    </row>
    <row r="543">
      <c r="A543" s="119"/>
      <c r="J543" s="22"/>
    </row>
    <row r="544">
      <c r="A544" s="119"/>
      <c r="J544" s="22"/>
    </row>
    <row r="545">
      <c r="A545" s="119"/>
      <c r="J545" s="22"/>
    </row>
    <row r="546">
      <c r="A546" s="119"/>
      <c r="J546" s="22"/>
    </row>
    <row r="547">
      <c r="A547" s="119"/>
      <c r="J547" s="22"/>
    </row>
    <row r="548">
      <c r="A548" s="119"/>
      <c r="J548" s="22"/>
    </row>
    <row r="549">
      <c r="A549" s="119"/>
      <c r="J549" s="22"/>
    </row>
    <row r="550">
      <c r="A550" s="119"/>
      <c r="J550" s="22"/>
    </row>
    <row r="551">
      <c r="A551" s="119"/>
      <c r="J551" s="22"/>
    </row>
    <row r="552">
      <c r="A552" s="119"/>
      <c r="J552" s="22"/>
    </row>
    <row r="553">
      <c r="A553" s="119"/>
      <c r="J553" s="22"/>
    </row>
    <row r="554">
      <c r="A554" s="119"/>
      <c r="J554" s="22"/>
    </row>
    <row r="555">
      <c r="A555" s="119"/>
      <c r="J555" s="22"/>
    </row>
    <row r="556">
      <c r="A556" s="119"/>
      <c r="J556" s="22"/>
    </row>
    <row r="557">
      <c r="A557" s="119"/>
      <c r="J557" s="22"/>
    </row>
    <row r="558">
      <c r="A558" s="119"/>
      <c r="J558" s="22"/>
    </row>
    <row r="559">
      <c r="A559" s="119"/>
      <c r="J559" s="22"/>
    </row>
    <row r="560">
      <c r="A560" s="119"/>
      <c r="J560" s="22"/>
    </row>
    <row r="561">
      <c r="A561" s="119"/>
      <c r="J561" s="22"/>
    </row>
    <row r="562">
      <c r="A562" s="119"/>
      <c r="J562" s="22"/>
    </row>
    <row r="563">
      <c r="A563" s="119"/>
      <c r="J563" s="22"/>
    </row>
    <row r="564">
      <c r="A564" s="119"/>
      <c r="J564" s="22"/>
    </row>
    <row r="565">
      <c r="A565" s="119"/>
      <c r="J565" s="22"/>
    </row>
    <row r="566">
      <c r="A566" s="119"/>
      <c r="J566" s="22"/>
    </row>
    <row r="567">
      <c r="A567" s="119"/>
      <c r="J567" s="22"/>
    </row>
    <row r="568">
      <c r="A568" s="119"/>
      <c r="J568" s="22"/>
    </row>
    <row r="569">
      <c r="A569" s="119"/>
      <c r="J569" s="22"/>
    </row>
    <row r="570">
      <c r="A570" s="119"/>
      <c r="J570" s="22"/>
    </row>
    <row r="571">
      <c r="A571" s="119"/>
      <c r="J571" s="22"/>
    </row>
    <row r="572">
      <c r="A572" s="119"/>
      <c r="J572" s="22"/>
    </row>
    <row r="573">
      <c r="A573" s="119"/>
      <c r="J573" s="22"/>
    </row>
    <row r="574">
      <c r="A574" s="119"/>
      <c r="J574" s="22"/>
    </row>
    <row r="575">
      <c r="A575" s="119"/>
      <c r="J575" s="22"/>
    </row>
    <row r="576">
      <c r="A576" s="119"/>
      <c r="J576" s="22"/>
    </row>
    <row r="577">
      <c r="A577" s="119"/>
      <c r="J577" s="22"/>
    </row>
    <row r="578">
      <c r="A578" s="119"/>
      <c r="J578" s="22"/>
    </row>
    <row r="579">
      <c r="A579" s="119"/>
      <c r="J579" s="22"/>
    </row>
    <row r="580">
      <c r="A580" s="119"/>
      <c r="J580" s="22"/>
    </row>
    <row r="581">
      <c r="A581" s="119"/>
      <c r="J581" s="22"/>
    </row>
    <row r="582">
      <c r="A582" s="119"/>
      <c r="J582" s="22"/>
    </row>
    <row r="583">
      <c r="A583" s="119"/>
      <c r="J583" s="22"/>
    </row>
    <row r="584">
      <c r="A584" s="119"/>
      <c r="J584" s="22"/>
    </row>
    <row r="585">
      <c r="A585" s="119"/>
      <c r="J585" s="22"/>
    </row>
    <row r="586">
      <c r="A586" s="119"/>
      <c r="J586" s="22"/>
    </row>
    <row r="587">
      <c r="A587" s="119"/>
      <c r="J587" s="22"/>
    </row>
    <row r="588">
      <c r="A588" s="119"/>
      <c r="J588" s="22"/>
    </row>
    <row r="589">
      <c r="A589" s="119"/>
      <c r="J589" s="22"/>
    </row>
    <row r="590">
      <c r="A590" s="119"/>
      <c r="J590" s="22"/>
    </row>
    <row r="591">
      <c r="A591" s="119"/>
      <c r="J591" s="22"/>
    </row>
    <row r="592">
      <c r="A592" s="119"/>
      <c r="J592" s="22"/>
    </row>
    <row r="593">
      <c r="A593" s="119"/>
      <c r="J593" s="22"/>
    </row>
    <row r="594">
      <c r="A594" s="119"/>
      <c r="J594" s="22"/>
    </row>
    <row r="595">
      <c r="A595" s="119"/>
      <c r="J595" s="22"/>
    </row>
    <row r="596">
      <c r="A596" s="119"/>
      <c r="J596" s="22"/>
    </row>
    <row r="597">
      <c r="A597" s="119"/>
      <c r="J597" s="22"/>
    </row>
    <row r="598">
      <c r="A598" s="119"/>
      <c r="J598" s="22"/>
    </row>
    <row r="599">
      <c r="A599" s="119"/>
      <c r="J599" s="22"/>
    </row>
    <row r="600">
      <c r="A600" s="119"/>
      <c r="J600" s="22"/>
    </row>
    <row r="601">
      <c r="A601" s="119"/>
      <c r="J601" s="22"/>
    </row>
    <row r="602">
      <c r="A602" s="119"/>
      <c r="J602" s="22"/>
    </row>
    <row r="603">
      <c r="A603" s="119"/>
      <c r="J603" s="22"/>
    </row>
    <row r="604">
      <c r="A604" s="119"/>
      <c r="J604" s="22"/>
    </row>
    <row r="605">
      <c r="A605" s="119"/>
      <c r="J605" s="22"/>
    </row>
    <row r="606">
      <c r="A606" s="119"/>
      <c r="J606" s="22"/>
    </row>
    <row r="607">
      <c r="A607" s="119"/>
      <c r="J607" s="22"/>
    </row>
    <row r="608">
      <c r="A608" s="119"/>
      <c r="J608" s="22"/>
    </row>
    <row r="609">
      <c r="A609" s="119"/>
      <c r="J609" s="22"/>
    </row>
    <row r="610">
      <c r="A610" s="119"/>
      <c r="J610" s="22"/>
    </row>
    <row r="611">
      <c r="A611" s="119"/>
      <c r="J611" s="22"/>
    </row>
    <row r="612">
      <c r="A612" s="119"/>
      <c r="J612" s="22"/>
    </row>
    <row r="613">
      <c r="A613" s="119"/>
      <c r="J613" s="22"/>
    </row>
    <row r="614">
      <c r="A614" s="119"/>
      <c r="J614" s="22"/>
    </row>
    <row r="615">
      <c r="A615" s="119"/>
      <c r="J615" s="22"/>
    </row>
    <row r="616">
      <c r="A616" s="119"/>
      <c r="J616" s="22"/>
    </row>
    <row r="617">
      <c r="A617" s="119"/>
      <c r="J617" s="22"/>
    </row>
    <row r="618">
      <c r="A618" s="119"/>
      <c r="J618" s="22"/>
    </row>
    <row r="619">
      <c r="A619" s="119"/>
      <c r="J619" s="22"/>
    </row>
    <row r="620">
      <c r="A620" s="119"/>
      <c r="J620" s="22"/>
    </row>
    <row r="621">
      <c r="A621" s="119"/>
      <c r="J621" s="22"/>
    </row>
    <row r="622">
      <c r="A622" s="119"/>
      <c r="J622" s="22"/>
    </row>
    <row r="623">
      <c r="A623" s="119"/>
      <c r="J623" s="22"/>
    </row>
    <row r="624">
      <c r="A624" s="119"/>
      <c r="J624" s="22"/>
    </row>
    <row r="625">
      <c r="A625" s="119"/>
      <c r="J625" s="22"/>
    </row>
    <row r="626">
      <c r="A626" s="119"/>
      <c r="J626" s="22"/>
    </row>
    <row r="627">
      <c r="A627" s="119"/>
      <c r="J627" s="22"/>
    </row>
    <row r="628">
      <c r="A628" s="119"/>
      <c r="J628" s="22"/>
    </row>
    <row r="629">
      <c r="A629" s="119"/>
      <c r="J629" s="22"/>
    </row>
    <row r="630">
      <c r="A630" s="119"/>
      <c r="J630" s="22"/>
    </row>
    <row r="631">
      <c r="A631" s="119"/>
      <c r="J631" s="22"/>
    </row>
    <row r="632">
      <c r="A632" s="119"/>
      <c r="J632" s="22"/>
    </row>
    <row r="633">
      <c r="A633" s="119"/>
      <c r="J633" s="22"/>
    </row>
    <row r="634">
      <c r="A634" s="119"/>
      <c r="J634" s="22"/>
    </row>
    <row r="635">
      <c r="A635" s="119"/>
      <c r="J635" s="22"/>
    </row>
    <row r="636">
      <c r="A636" s="119"/>
      <c r="J636" s="22"/>
    </row>
    <row r="637">
      <c r="A637" s="119"/>
      <c r="J637" s="22"/>
    </row>
    <row r="638">
      <c r="A638" s="119"/>
      <c r="J638" s="22"/>
    </row>
    <row r="639">
      <c r="A639" s="119"/>
      <c r="J639" s="22"/>
    </row>
    <row r="640">
      <c r="A640" s="119"/>
      <c r="J640" s="22"/>
    </row>
    <row r="641">
      <c r="A641" s="119"/>
      <c r="J641" s="22"/>
    </row>
    <row r="642">
      <c r="A642" s="119"/>
      <c r="J642" s="22"/>
    </row>
    <row r="643">
      <c r="A643" s="119"/>
      <c r="J643" s="22"/>
    </row>
    <row r="644">
      <c r="A644" s="119"/>
      <c r="J644" s="22"/>
    </row>
    <row r="645">
      <c r="A645" s="119"/>
      <c r="J645" s="22"/>
    </row>
    <row r="646">
      <c r="A646" s="119"/>
      <c r="J646" s="22"/>
    </row>
    <row r="647">
      <c r="A647" s="119"/>
      <c r="J647" s="22"/>
    </row>
    <row r="648">
      <c r="A648" s="119"/>
      <c r="J648" s="22"/>
    </row>
    <row r="649">
      <c r="A649" s="119"/>
      <c r="J649" s="22"/>
    </row>
    <row r="650">
      <c r="A650" s="119"/>
      <c r="J650" s="22"/>
    </row>
    <row r="651">
      <c r="A651" s="119"/>
      <c r="J651" s="22"/>
    </row>
    <row r="652">
      <c r="A652" s="119"/>
      <c r="J652" s="22"/>
    </row>
    <row r="653">
      <c r="A653" s="119"/>
      <c r="J653" s="22"/>
    </row>
    <row r="654">
      <c r="A654" s="119"/>
      <c r="J654" s="22"/>
    </row>
    <row r="655">
      <c r="A655" s="119"/>
      <c r="J655" s="22"/>
    </row>
    <row r="656">
      <c r="A656" s="119"/>
      <c r="J656" s="22"/>
    </row>
    <row r="657">
      <c r="A657" s="119"/>
      <c r="J657" s="22"/>
    </row>
    <row r="658">
      <c r="A658" s="119"/>
      <c r="J658" s="22"/>
    </row>
    <row r="659">
      <c r="A659" s="119"/>
      <c r="J659" s="22"/>
    </row>
    <row r="660">
      <c r="A660" s="119"/>
      <c r="J660" s="22"/>
    </row>
    <row r="661">
      <c r="A661" s="119"/>
      <c r="J661" s="22"/>
    </row>
    <row r="662">
      <c r="A662" s="119"/>
      <c r="J662" s="22"/>
    </row>
    <row r="663">
      <c r="A663" s="119"/>
      <c r="J663" s="22"/>
    </row>
    <row r="664">
      <c r="A664" s="119"/>
      <c r="J664" s="22"/>
    </row>
    <row r="665">
      <c r="A665" s="119"/>
      <c r="J665" s="22"/>
    </row>
    <row r="666">
      <c r="A666" s="119"/>
      <c r="J666" s="22"/>
    </row>
    <row r="667">
      <c r="A667" s="119"/>
      <c r="J667" s="22"/>
    </row>
    <row r="668">
      <c r="A668" s="119"/>
      <c r="J668" s="22"/>
    </row>
    <row r="669">
      <c r="A669" s="119"/>
      <c r="J669" s="22"/>
    </row>
    <row r="670">
      <c r="A670" s="119"/>
      <c r="J670" s="22"/>
    </row>
    <row r="671">
      <c r="A671" s="119"/>
      <c r="J671" s="22"/>
    </row>
    <row r="672">
      <c r="A672" s="119"/>
      <c r="J672" s="22"/>
    </row>
    <row r="673">
      <c r="A673" s="119"/>
      <c r="J673" s="22"/>
    </row>
    <row r="674">
      <c r="A674" s="119"/>
      <c r="J674" s="22"/>
    </row>
    <row r="675">
      <c r="A675" s="119"/>
      <c r="J675" s="22"/>
    </row>
    <row r="676">
      <c r="A676" s="119"/>
      <c r="J676" s="22"/>
    </row>
    <row r="677">
      <c r="A677" s="119"/>
      <c r="J677" s="22"/>
    </row>
    <row r="678">
      <c r="A678" s="119"/>
      <c r="J678" s="22"/>
    </row>
    <row r="679">
      <c r="A679" s="119"/>
      <c r="J679" s="22"/>
    </row>
    <row r="680">
      <c r="A680" s="119"/>
      <c r="J680" s="22"/>
    </row>
    <row r="681">
      <c r="A681" s="119"/>
      <c r="J681" s="22"/>
    </row>
    <row r="682">
      <c r="A682" s="119"/>
      <c r="J682" s="22"/>
    </row>
    <row r="683">
      <c r="A683" s="119"/>
      <c r="J683" s="22"/>
    </row>
    <row r="684">
      <c r="A684" s="119"/>
      <c r="J684" s="22"/>
    </row>
    <row r="685">
      <c r="A685" s="119"/>
      <c r="J685" s="22"/>
    </row>
    <row r="686">
      <c r="A686" s="119"/>
      <c r="J686" s="22"/>
    </row>
    <row r="687">
      <c r="A687" s="119"/>
      <c r="J687" s="22"/>
    </row>
    <row r="688">
      <c r="A688" s="119"/>
      <c r="J688" s="22"/>
    </row>
    <row r="689">
      <c r="A689" s="119"/>
      <c r="J689" s="22"/>
    </row>
    <row r="690">
      <c r="A690" s="119"/>
      <c r="J690" s="22"/>
    </row>
    <row r="691">
      <c r="A691" s="119"/>
      <c r="J691" s="22"/>
    </row>
    <row r="692">
      <c r="A692" s="119"/>
      <c r="J692" s="22"/>
    </row>
    <row r="693">
      <c r="A693" s="119"/>
      <c r="J693" s="22"/>
    </row>
    <row r="694">
      <c r="A694" s="119"/>
      <c r="J694" s="22"/>
    </row>
    <row r="695">
      <c r="A695" s="119"/>
      <c r="J695" s="22"/>
    </row>
    <row r="696">
      <c r="A696" s="119"/>
      <c r="J696" s="22"/>
    </row>
    <row r="697">
      <c r="A697" s="119"/>
      <c r="J697" s="22"/>
    </row>
    <row r="698">
      <c r="A698" s="119"/>
      <c r="J698" s="22"/>
    </row>
    <row r="699">
      <c r="A699" s="119"/>
      <c r="J699" s="22"/>
    </row>
    <row r="700">
      <c r="A700" s="119"/>
      <c r="J700" s="22"/>
    </row>
    <row r="701">
      <c r="A701" s="119"/>
      <c r="J701" s="22"/>
    </row>
    <row r="702">
      <c r="A702" s="119"/>
      <c r="J702" s="22"/>
    </row>
    <row r="703">
      <c r="A703" s="119"/>
      <c r="J703" s="22"/>
    </row>
    <row r="704">
      <c r="A704" s="119"/>
      <c r="J704" s="22"/>
    </row>
    <row r="705">
      <c r="A705" s="119"/>
      <c r="J705" s="22"/>
    </row>
    <row r="706">
      <c r="A706" s="119"/>
      <c r="J706" s="22"/>
    </row>
    <row r="707">
      <c r="A707" s="119"/>
      <c r="J707" s="22"/>
    </row>
    <row r="708">
      <c r="A708" s="119"/>
      <c r="J708" s="22"/>
    </row>
    <row r="709">
      <c r="A709" s="119"/>
      <c r="J709" s="22"/>
    </row>
    <row r="710">
      <c r="A710" s="119"/>
      <c r="J710" s="22"/>
    </row>
    <row r="711">
      <c r="A711" s="119"/>
      <c r="J711" s="22"/>
    </row>
    <row r="712">
      <c r="A712" s="119"/>
      <c r="J712" s="22"/>
    </row>
    <row r="713">
      <c r="A713" s="119"/>
      <c r="J713" s="22"/>
    </row>
    <row r="714">
      <c r="A714" s="119"/>
      <c r="J714" s="22"/>
    </row>
    <row r="715">
      <c r="A715" s="119"/>
      <c r="J715" s="22"/>
    </row>
    <row r="716">
      <c r="A716" s="119"/>
      <c r="J716" s="22"/>
    </row>
    <row r="717">
      <c r="A717" s="119"/>
      <c r="J717" s="22"/>
    </row>
    <row r="718">
      <c r="A718" s="119"/>
      <c r="J718" s="22"/>
    </row>
    <row r="719">
      <c r="A719" s="119"/>
      <c r="J719" s="22"/>
    </row>
    <row r="720">
      <c r="A720" s="119"/>
      <c r="J720" s="22"/>
    </row>
    <row r="721">
      <c r="A721" s="119"/>
      <c r="J721" s="22"/>
    </row>
    <row r="722">
      <c r="A722" s="119"/>
      <c r="J722" s="22"/>
    </row>
    <row r="723">
      <c r="A723" s="119"/>
      <c r="J723" s="22"/>
    </row>
    <row r="724">
      <c r="A724" s="119"/>
      <c r="J724" s="22"/>
    </row>
    <row r="725">
      <c r="A725" s="119"/>
      <c r="J725" s="22"/>
    </row>
    <row r="726">
      <c r="A726" s="119"/>
      <c r="J726" s="22"/>
    </row>
    <row r="727">
      <c r="A727" s="119"/>
      <c r="J727" s="22"/>
    </row>
    <row r="728">
      <c r="A728" s="119"/>
      <c r="J728" s="22"/>
    </row>
    <row r="729">
      <c r="A729" s="119"/>
      <c r="J729" s="22"/>
    </row>
    <row r="730">
      <c r="A730" s="119"/>
      <c r="J730" s="22"/>
    </row>
    <row r="731">
      <c r="A731" s="119"/>
      <c r="J731" s="22"/>
    </row>
    <row r="732">
      <c r="A732" s="119"/>
      <c r="J732" s="22"/>
    </row>
    <row r="733">
      <c r="A733" s="119"/>
      <c r="J733" s="22"/>
    </row>
    <row r="734">
      <c r="A734" s="119"/>
      <c r="J734" s="22"/>
    </row>
    <row r="735">
      <c r="A735" s="119"/>
      <c r="J735" s="22"/>
    </row>
    <row r="736">
      <c r="A736" s="119"/>
      <c r="J736" s="22"/>
    </row>
    <row r="737">
      <c r="A737" s="119"/>
      <c r="J737" s="22"/>
    </row>
    <row r="738">
      <c r="A738" s="119"/>
      <c r="J738" s="22"/>
    </row>
    <row r="739">
      <c r="A739" s="119"/>
      <c r="J739" s="22"/>
    </row>
    <row r="740">
      <c r="A740" s="119"/>
      <c r="J740" s="22"/>
    </row>
    <row r="741">
      <c r="A741" s="119"/>
      <c r="J741" s="22"/>
    </row>
    <row r="742">
      <c r="A742" s="119"/>
      <c r="J742" s="22"/>
    </row>
    <row r="743">
      <c r="A743" s="119"/>
      <c r="J743" s="22"/>
    </row>
    <row r="744">
      <c r="A744" s="119"/>
      <c r="J744" s="22"/>
    </row>
    <row r="745">
      <c r="A745" s="119"/>
      <c r="J745" s="22"/>
    </row>
    <row r="746">
      <c r="A746" s="119"/>
      <c r="J746" s="22"/>
    </row>
    <row r="747">
      <c r="A747" s="119"/>
      <c r="J747" s="22"/>
    </row>
    <row r="748">
      <c r="A748" s="119"/>
      <c r="J748" s="22"/>
    </row>
    <row r="749">
      <c r="A749" s="119"/>
      <c r="J749" s="22"/>
    </row>
    <row r="750">
      <c r="A750" s="119"/>
      <c r="J750" s="22"/>
    </row>
    <row r="751">
      <c r="A751" s="119"/>
      <c r="J751" s="22"/>
    </row>
    <row r="752">
      <c r="A752" s="119"/>
      <c r="J752" s="22"/>
    </row>
    <row r="753">
      <c r="A753" s="119"/>
      <c r="J753" s="22"/>
    </row>
    <row r="754">
      <c r="A754" s="119"/>
      <c r="J754" s="22"/>
    </row>
    <row r="755">
      <c r="A755" s="119"/>
      <c r="J755" s="22"/>
    </row>
    <row r="756">
      <c r="A756" s="119"/>
      <c r="J756" s="22"/>
    </row>
    <row r="757">
      <c r="A757" s="119"/>
      <c r="J757" s="22"/>
    </row>
    <row r="758">
      <c r="A758" s="119"/>
      <c r="J758" s="22"/>
    </row>
    <row r="759">
      <c r="A759" s="119"/>
      <c r="J759" s="22"/>
    </row>
    <row r="760">
      <c r="A760" s="119"/>
      <c r="J760" s="22"/>
    </row>
    <row r="761">
      <c r="A761" s="119"/>
      <c r="J761" s="22"/>
    </row>
    <row r="762">
      <c r="A762" s="119"/>
      <c r="J762" s="22"/>
    </row>
    <row r="763">
      <c r="A763" s="119"/>
      <c r="J763" s="22"/>
    </row>
    <row r="764">
      <c r="A764" s="119"/>
      <c r="J764" s="22"/>
    </row>
    <row r="765">
      <c r="A765" s="119"/>
      <c r="J765" s="22"/>
    </row>
    <row r="766">
      <c r="A766" s="119"/>
      <c r="J766" s="22"/>
    </row>
    <row r="767">
      <c r="A767" s="119"/>
      <c r="J767" s="22"/>
    </row>
    <row r="768">
      <c r="A768" s="119"/>
      <c r="J768" s="22"/>
    </row>
    <row r="769">
      <c r="A769" s="119"/>
      <c r="J769" s="22"/>
    </row>
    <row r="770">
      <c r="A770" s="119"/>
      <c r="J770" s="22"/>
    </row>
    <row r="771">
      <c r="A771" s="119"/>
      <c r="J771" s="22"/>
    </row>
    <row r="772">
      <c r="A772" s="119"/>
      <c r="J772" s="22"/>
    </row>
    <row r="773">
      <c r="A773" s="119"/>
      <c r="J773" s="22"/>
    </row>
    <row r="774">
      <c r="A774" s="119"/>
      <c r="J774" s="22"/>
    </row>
    <row r="775">
      <c r="A775" s="119"/>
      <c r="J775" s="22"/>
    </row>
    <row r="776">
      <c r="A776" s="119"/>
      <c r="J776" s="22"/>
    </row>
    <row r="777">
      <c r="A777" s="119"/>
      <c r="J777" s="22"/>
    </row>
    <row r="778">
      <c r="A778" s="119"/>
      <c r="J778" s="22"/>
    </row>
    <row r="779">
      <c r="A779" s="119"/>
      <c r="J779" s="22"/>
    </row>
    <row r="780">
      <c r="A780" s="119"/>
      <c r="J780" s="22"/>
    </row>
    <row r="781">
      <c r="A781" s="119"/>
      <c r="J781" s="22"/>
    </row>
    <row r="782">
      <c r="A782" s="119"/>
      <c r="J782" s="22"/>
    </row>
    <row r="783">
      <c r="A783" s="119"/>
      <c r="J783" s="22"/>
    </row>
    <row r="784">
      <c r="A784" s="119"/>
      <c r="J784" s="22"/>
    </row>
    <row r="785">
      <c r="A785" s="119"/>
      <c r="J785" s="22"/>
    </row>
    <row r="786">
      <c r="A786" s="119"/>
      <c r="J786" s="22"/>
    </row>
    <row r="787">
      <c r="A787" s="119"/>
      <c r="J787" s="22"/>
    </row>
    <row r="788">
      <c r="A788" s="119"/>
      <c r="J788" s="22"/>
    </row>
    <row r="789">
      <c r="A789" s="119"/>
      <c r="J789" s="22"/>
    </row>
    <row r="790">
      <c r="A790" s="119"/>
      <c r="J790" s="22"/>
    </row>
    <row r="791">
      <c r="A791" s="119"/>
      <c r="J791" s="22"/>
    </row>
    <row r="792">
      <c r="A792" s="119"/>
      <c r="J792" s="22"/>
    </row>
    <row r="793">
      <c r="A793" s="119"/>
      <c r="J793" s="22"/>
    </row>
    <row r="794">
      <c r="A794" s="119"/>
      <c r="J794" s="22"/>
    </row>
    <row r="795">
      <c r="A795" s="119"/>
      <c r="J795" s="22"/>
    </row>
    <row r="796">
      <c r="A796" s="119"/>
      <c r="J796" s="22"/>
    </row>
    <row r="797">
      <c r="A797" s="119"/>
      <c r="J797" s="22"/>
    </row>
    <row r="798">
      <c r="A798" s="119"/>
      <c r="J798" s="22"/>
    </row>
    <row r="799">
      <c r="A799" s="119"/>
      <c r="J799" s="22"/>
    </row>
    <row r="800">
      <c r="A800" s="119"/>
      <c r="J800" s="22"/>
    </row>
    <row r="801">
      <c r="A801" s="119"/>
      <c r="J801" s="22"/>
    </row>
    <row r="802">
      <c r="A802" s="119"/>
      <c r="J802" s="22"/>
    </row>
    <row r="803">
      <c r="A803" s="119"/>
      <c r="J803" s="22"/>
    </row>
    <row r="804">
      <c r="A804" s="119"/>
      <c r="J804" s="22"/>
    </row>
    <row r="805">
      <c r="A805" s="119"/>
      <c r="J805" s="22"/>
    </row>
    <row r="806">
      <c r="A806" s="119"/>
      <c r="J806" s="22"/>
    </row>
    <row r="807">
      <c r="A807" s="119"/>
      <c r="J807" s="22"/>
    </row>
    <row r="808">
      <c r="A808" s="119"/>
      <c r="J808" s="22"/>
    </row>
    <row r="809">
      <c r="A809" s="119"/>
      <c r="J809" s="22"/>
    </row>
    <row r="810">
      <c r="A810" s="119"/>
      <c r="J810" s="22"/>
    </row>
    <row r="811">
      <c r="A811" s="119"/>
      <c r="J811" s="22"/>
    </row>
    <row r="812">
      <c r="A812" s="119"/>
      <c r="J812" s="22"/>
    </row>
    <row r="813">
      <c r="A813" s="119"/>
      <c r="J813" s="22"/>
    </row>
    <row r="814">
      <c r="A814" s="119"/>
      <c r="J814" s="22"/>
    </row>
    <row r="815">
      <c r="A815" s="119"/>
      <c r="J815" s="22"/>
    </row>
    <row r="816">
      <c r="A816" s="119"/>
      <c r="J816" s="22"/>
    </row>
    <row r="817">
      <c r="A817" s="119"/>
      <c r="J817" s="22"/>
    </row>
    <row r="818">
      <c r="A818" s="119"/>
      <c r="J818" s="22"/>
    </row>
    <row r="819">
      <c r="A819" s="119"/>
      <c r="J819" s="22"/>
    </row>
    <row r="820">
      <c r="A820" s="119"/>
      <c r="J820" s="22"/>
    </row>
    <row r="821">
      <c r="A821" s="119"/>
      <c r="J821" s="22"/>
    </row>
    <row r="822">
      <c r="A822" s="119"/>
      <c r="J822" s="22"/>
    </row>
    <row r="823">
      <c r="A823" s="119"/>
      <c r="J823" s="22"/>
    </row>
    <row r="824">
      <c r="A824" s="119"/>
      <c r="J824" s="22"/>
    </row>
    <row r="825">
      <c r="A825" s="119"/>
      <c r="J825" s="22"/>
    </row>
    <row r="826">
      <c r="A826" s="119"/>
      <c r="J826" s="22"/>
    </row>
    <row r="827">
      <c r="A827" s="119"/>
      <c r="J827" s="22"/>
    </row>
    <row r="828">
      <c r="A828" s="119"/>
      <c r="J828" s="22"/>
    </row>
    <row r="829">
      <c r="A829" s="119"/>
      <c r="J829" s="22"/>
    </row>
    <row r="830">
      <c r="A830" s="119"/>
      <c r="J830" s="22"/>
    </row>
    <row r="831">
      <c r="A831" s="119"/>
      <c r="J831" s="22"/>
    </row>
    <row r="832">
      <c r="A832" s="119"/>
      <c r="J832" s="22"/>
    </row>
    <row r="833">
      <c r="A833" s="119"/>
      <c r="J833" s="22"/>
    </row>
    <row r="834">
      <c r="A834" s="119"/>
      <c r="J834" s="22"/>
    </row>
    <row r="835">
      <c r="A835" s="119"/>
      <c r="J835" s="22"/>
    </row>
    <row r="836">
      <c r="A836" s="119"/>
      <c r="J836" s="22"/>
    </row>
    <row r="837">
      <c r="A837" s="119"/>
      <c r="J837" s="22"/>
    </row>
    <row r="838">
      <c r="A838" s="119"/>
      <c r="J838" s="22"/>
    </row>
    <row r="839">
      <c r="A839" s="119"/>
      <c r="J839" s="22"/>
    </row>
    <row r="840">
      <c r="A840" s="119"/>
      <c r="J840" s="22"/>
    </row>
    <row r="841">
      <c r="A841" s="119"/>
      <c r="J841" s="22"/>
    </row>
    <row r="842">
      <c r="A842" s="119"/>
      <c r="J842" s="22"/>
    </row>
    <row r="843">
      <c r="A843" s="119"/>
      <c r="J843" s="22"/>
    </row>
    <row r="844">
      <c r="A844" s="119"/>
      <c r="J844" s="22"/>
    </row>
    <row r="845">
      <c r="A845" s="119"/>
      <c r="J845" s="22"/>
    </row>
    <row r="846">
      <c r="A846" s="119"/>
      <c r="J846" s="22"/>
    </row>
    <row r="847">
      <c r="A847" s="119"/>
      <c r="J847" s="22"/>
    </row>
    <row r="848">
      <c r="A848" s="119"/>
      <c r="J848" s="22"/>
    </row>
    <row r="849">
      <c r="A849" s="119"/>
      <c r="J849" s="22"/>
    </row>
    <row r="850">
      <c r="A850" s="119"/>
      <c r="J850" s="22"/>
    </row>
    <row r="851">
      <c r="A851" s="119"/>
      <c r="J851" s="22"/>
    </row>
    <row r="852">
      <c r="A852" s="119"/>
      <c r="J852" s="22"/>
    </row>
    <row r="853">
      <c r="A853" s="119"/>
      <c r="J853" s="22"/>
    </row>
    <row r="854">
      <c r="A854" s="119"/>
      <c r="J854" s="22"/>
    </row>
    <row r="855">
      <c r="A855" s="119"/>
      <c r="J855" s="22"/>
    </row>
    <row r="856">
      <c r="A856" s="119"/>
      <c r="J856" s="22"/>
    </row>
    <row r="857">
      <c r="A857" s="119"/>
      <c r="J857" s="22"/>
    </row>
    <row r="858">
      <c r="A858" s="119"/>
      <c r="J858" s="22"/>
    </row>
    <row r="859">
      <c r="A859" s="119"/>
      <c r="J859" s="22"/>
    </row>
    <row r="860">
      <c r="A860" s="119"/>
      <c r="J860" s="22"/>
    </row>
    <row r="861">
      <c r="A861" s="119"/>
      <c r="J861" s="22"/>
    </row>
    <row r="862">
      <c r="A862" s="119"/>
      <c r="J862" s="22"/>
    </row>
    <row r="863">
      <c r="A863" s="119"/>
      <c r="J863" s="22"/>
    </row>
    <row r="864">
      <c r="A864" s="119"/>
      <c r="J864" s="22"/>
    </row>
    <row r="865">
      <c r="A865" s="119"/>
      <c r="J865" s="22"/>
    </row>
    <row r="866">
      <c r="A866" s="119"/>
      <c r="J866" s="22"/>
    </row>
    <row r="867">
      <c r="A867" s="119"/>
      <c r="J867" s="22"/>
    </row>
    <row r="868">
      <c r="A868" s="119"/>
      <c r="J868" s="22"/>
    </row>
    <row r="869">
      <c r="A869" s="119"/>
      <c r="J869" s="22"/>
    </row>
    <row r="870">
      <c r="A870" s="119"/>
      <c r="J870" s="22"/>
    </row>
    <row r="871">
      <c r="A871" s="119"/>
      <c r="J871" s="22"/>
    </row>
    <row r="872">
      <c r="A872" s="119"/>
      <c r="J872" s="22"/>
    </row>
    <row r="873">
      <c r="A873" s="119"/>
      <c r="J873" s="22"/>
    </row>
    <row r="874">
      <c r="A874" s="119"/>
      <c r="J874" s="22"/>
    </row>
    <row r="875">
      <c r="A875" s="119"/>
      <c r="J875" s="22"/>
    </row>
    <row r="876">
      <c r="A876" s="119"/>
      <c r="J876" s="22"/>
    </row>
    <row r="877">
      <c r="A877" s="119"/>
      <c r="J877" s="22"/>
    </row>
    <row r="878">
      <c r="A878" s="119"/>
      <c r="J878" s="22"/>
    </row>
    <row r="879">
      <c r="A879" s="119"/>
      <c r="J879" s="22"/>
    </row>
    <row r="880">
      <c r="A880" s="119"/>
      <c r="J880" s="22"/>
    </row>
    <row r="881">
      <c r="A881" s="119"/>
      <c r="J881" s="22"/>
    </row>
    <row r="882">
      <c r="A882" s="119"/>
      <c r="J882" s="22"/>
    </row>
    <row r="883">
      <c r="A883" s="119"/>
      <c r="J883" s="22"/>
    </row>
    <row r="884">
      <c r="A884" s="119"/>
      <c r="J884" s="22"/>
    </row>
    <row r="885">
      <c r="A885" s="119"/>
      <c r="J885" s="22"/>
    </row>
    <row r="886">
      <c r="A886" s="119"/>
      <c r="J886" s="22"/>
    </row>
    <row r="887">
      <c r="A887" s="119"/>
      <c r="J887" s="22"/>
    </row>
    <row r="888">
      <c r="A888" s="119"/>
      <c r="J888" s="22"/>
    </row>
    <row r="889">
      <c r="A889" s="119"/>
      <c r="J889" s="22"/>
    </row>
    <row r="890">
      <c r="A890" s="119"/>
      <c r="J890" s="22"/>
    </row>
    <row r="891">
      <c r="A891" s="119"/>
      <c r="J891" s="22"/>
    </row>
    <row r="892">
      <c r="A892" s="119"/>
      <c r="J892" s="22"/>
    </row>
    <row r="893">
      <c r="A893" s="119"/>
      <c r="J893" s="22"/>
    </row>
    <row r="894">
      <c r="A894" s="119"/>
      <c r="J894" s="22"/>
    </row>
    <row r="895">
      <c r="A895" s="119"/>
      <c r="J895" s="22"/>
    </row>
    <row r="896">
      <c r="A896" s="119"/>
      <c r="J896" s="22"/>
    </row>
    <row r="897">
      <c r="A897" s="119"/>
      <c r="J897" s="22"/>
    </row>
    <row r="898">
      <c r="A898" s="119"/>
      <c r="J898" s="22"/>
    </row>
    <row r="899">
      <c r="A899" s="119"/>
      <c r="J899" s="22"/>
    </row>
    <row r="900">
      <c r="A900" s="119"/>
      <c r="J900" s="22"/>
    </row>
    <row r="901">
      <c r="A901" s="119"/>
      <c r="J901" s="22"/>
    </row>
    <row r="902">
      <c r="A902" s="119"/>
      <c r="J902" s="22"/>
    </row>
    <row r="903">
      <c r="A903" s="119"/>
      <c r="J903" s="22"/>
    </row>
    <row r="904">
      <c r="A904" s="119"/>
      <c r="J904" s="22"/>
    </row>
    <row r="905">
      <c r="A905" s="119"/>
      <c r="J905" s="22"/>
    </row>
    <row r="906">
      <c r="A906" s="119"/>
      <c r="J906" s="22"/>
    </row>
    <row r="907">
      <c r="A907" s="119"/>
      <c r="J907" s="22"/>
    </row>
    <row r="908">
      <c r="A908" s="119"/>
      <c r="J908" s="22"/>
    </row>
    <row r="909">
      <c r="A909" s="119"/>
      <c r="J909" s="22"/>
    </row>
    <row r="910">
      <c r="A910" s="119"/>
      <c r="J910" s="22"/>
    </row>
    <row r="911">
      <c r="A911" s="119"/>
      <c r="J911" s="22"/>
    </row>
    <row r="912">
      <c r="A912" s="119"/>
      <c r="J912" s="22"/>
    </row>
    <row r="913">
      <c r="A913" s="119"/>
      <c r="J913" s="22"/>
    </row>
    <row r="914">
      <c r="A914" s="119"/>
      <c r="J914" s="22"/>
    </row>
    <row r="915">
      <c r="A915" s="119"/>
      <c r="J915" s="22"/>
    </row>
    <row r="916">
      <c r="A916" s="119"/>
      <c r="J916" s="22"/>
    </row>
    <row r="917">
      <c r="A917" s="119"/>
      <c r="J917" s="22"/>
    </row>
    <row r="918">
      <c r="A918" s="119"/>
      <c r="J918" s="22"/>
    </row>
    <row r="919">
      <c r="A919" s="119"/>
      <c r="J919" s="22"/>
    </row>
    <row r="920">
      <c r="A920" s="119"/>
      <c r="J920" s="22"/>
    </row>
    <row r="921">
      <c r="A921" s="119"/>
      <c r="J921" s="22"/>
    </row>
    <row r="922">
      <c r="A922" s="119"/>
      <c r="J922" s="22"/>
    </row>
    <row r="923">
      <c r="A923" s="119"/>
      <c r="J923" s="22"/>
    </row>
    <row r="924">
      <c r="A924" s="119"/>
      <c r="J924" s="22"/>
    </row>
    <row r="925">
      <c r="A925" s="119"/>
      <c r="J925" s="22"/>
    </row>
    <row r="926">
      <c r="A926" s="119"/>
      <c r="J926" s="22"/>
    </row>
    <row r="927">
      <c r="A927" s="119"/>
      <c r="J927" s="22"/>
    </row>
    <row r="928">
      <c r="A928" s="119"/>
      <c r="J928" s="22"/>
    </row>
    <row r="929">
      <c r="A929" s="119"/>
      <c r="J929" s="22"/>
    </row>
    <row r="930">
      <c r="A930" s="119"/>
      <c r="J930" s="22"/>
    </row>
    <row r="931">
      <c r="A931" s="119"/>
      <c r="J931" s="22"/>
    </row>
    <row r="932">
      <c r="A932" s="119"/>
      <c r="J932" s="22"/>
    </row>
    <row r="933">
      <c r="A933" s="119"/>
      <c r="J933" s="22"/>
    </row>
    <row r="934">
      <c r="A934" s="119"/>
      <c r="J934" s="22"/>
    </row>
    <row r="935">
      <c r="A935" s="119"/>
      <c r="J935" s="22"/>
    </row>
    <row r="936">
      <c r="A936" s="119"/>
      <c r="J936" s="22"/>
    </row>
    <row r="937">
      <c r="A937" s="119"/>
      <c r="J937" s="22"/>
    </row>
    <row r="938">
      <c r="A938" s="119"/>
      <c r="J938" s="22"/>
    </row>
    <row r="939">
      <c r="A939" s="119"/>
      <c r="J939" s="22"/>
    </row>
    <row r="940">
      <c r="A940" s="119"/>
      <c r="J940" s="22"/>
    </row>
    <row r="941">
      <c r="A941" s="119"/>
      <c r="J941" s="22"/>
    </row>
    <row r="942">
      <c r="A942" s="119"/>
      <c r="J942" s="22"/>
    </row>
    <row r="943">
      <c r="A943" s="119"/>
      <c r="J943" s="22"/>
    </row>
    <row r="944">
      <c r="A944" s="119"/>
      <c r="J944" s="22"/>
    </row>
    <row r="945">
      <c r="A945" s="119"/>
      <c r="J945" s="22"/>
    </row>
    <row r="946">
      <c r="A946" s="119"/>
      <c r="J946" s="22"/>
    </row>
    <row r="947">
      <c r="A947" s="119"/>
      <c r="J947" s="22"/>
    </row>
    <row r="948">
      <c r="A948" s="119"/>
      <c r="J948" s="22"/>
    </row>
    <row r="949">
      <c r="A949" s="119"/>
      <c r="J949" s="22"/>
    </row>
    <row r="950">
      <c r="A950" s="119"/>
      <c r="J950" s="22"/>
    </row>
    <row r="951">
      <c r="A951" s="119"/>
      <c r="J951" s="22"/>
    </row>
    <row r="952">
      <c r="A952" s="119"/>
      <c r="J952" s="22"/>
    </row>
    <row r="953">
      <c r="A953" s="119"/>
      <c r="J953" s="22"/>
    </row>
    <row r="954">
      <c r="A954" s="119"/>
      <c r="J954" s="22"/>
    </row>
    <row r="955">
      <c r="A955" s="119"/>
      <c r="J955" s="22"/>
    </row>
    <row r="956">
      <c r="A956" s="119"/>
      <c r="J956" s="22"/>
    </row>
    <row r="957">
      <c r="A957" s="119"/>
      <c r="J957" s="22"/>
    </row>
    <row r="958">
      <c r="A958" s="119"/>
      <c r="J958" s="22"/>
    </row>
    <row r="959">
      <c r="A959" s="119"/>
      <c r="J959" s="22"/>
    </row>
    <row r="960">
      <c r="A960" s="119"/>
      <c r="J960" s="22"/>
    </row>
    <row r="961">
      <c r="A961" s="119"/>
      <c r="J961" s="22"/>
    </row>
    <row r="962">
      <c r="A962" s="119"/>
      <c r="J962" s="22"/>
    </row>
    <row r="963">
      <c r="A963" s="119"/>
      <c r="J963" s="22"/>
    </row>
    <row r="964">
      <c r="A964" s="119"/>
      <c r="J964" s="22"/>
    </row>
    <row r="965">
      <c r="A965" s="119"/>
      <c r="J965" s="22"/>
    </row>
    <row r="966">
      <c r="A966" s="119"/>
      <c r="J966" s="22"/>
    </row>
    <row r="967">
      <c r="A967" s="119"/>
      <c r="J967" s="22"/>
    </row>
    <row r="968">
      <c r="A968" s="119"/>
      <c r="J968" s="22"/>
    </row>
    <row r="969">
      <c r="A969" s="119"/>
      <c r="J969" s="22"/>
    </row>
    <row r="970">
      <c r="A970" s="119"/>
      <c r="J970" s="22"/>
    </row>
    <row r="971">
      <c r="A971" s="119"/>
      <c r="J971" s="22"/>
    </row>
    <row r="972">
      <c r="A972" s="119"/>
      <c r="J972" s="22"/>
    </row>
    <row r="973">
      <c r="A973" s="119"/>
      <c r="J973" s="22"/>
    </row>
    <row r="974">
      <c r="A974" s="119"/>
      <c r="J974" s="22"/>
    </row>
    <row r="975">
      <c r="A975" s="119"/>
      <c r="J975" s="22"/>
    </row>
    <row r="976">
      <c r="A976" s="119"/>
      <c r="J976" s="22"/>
    </row>
    <row r="977">
      <c r="A977" s="119"/>
      <c r="J977" s="22"/>
    </row>
    <row r="978">
      <c r="A978" s="119"/>
      <c r="J978" s="22"/>
    </row>
    <row r="979">
      <c r="A979" s="119"/>
      <c r="J979" s="22"/>
    </row>
    <row r="980">
      <c r="A980" s="119"/>
      <c r="J980" s="22"/>
    </row>
    <row r="981">
      <c r="A981" s="119"/>
      <c r="J981" s="22"/>
    </row>
    <row r="982">
      <c r="A982" s="119"/>
      <c r="J982" s="22"/>
    </row>
    <row r="983">
      <c r="A983" s="119"/>
      <c r="J983" s="22"/>
    </row>
    <row r="984">
      <c r="A984" s="119"/>
      <c r="J984" s="22"/>
    </row>
    <row r="985">
      <c r="A985" s="119"/>
      <c r="J985" s="22"/>
    </row>
    <row r="986">
      <c r="A986" s="119"/>
      <c r="J986" s="22"/>
    </row>
    <row r="987">
      <c r="A987" s="119"/>
      <c r="J987" s="22"/>
    </row>
    <row r="988">
      <c r="A988" s="119"/>
      <c r="J988" s="22"/>
    </row>
    <row r="989">
      <c r="A989" s="119"/>
      <c r="J989" s="22"/>
    </row>
    <row r="990">
      <c r="A990" s="119"/>
      <c r="J990" s="22"/>
    </row>
    <row r="991">
      <c r="A991" s="119"/>
      <c r="J991" s="22"/>
    </row>
    <row r="992">
      <c r="A992" s="119"/>
      <c r="J992" s="22"/>
    </row>
    <row r="993">
      <c r="A993" s="119"/>
      <c r="J993" s="22"/>
    </row>
    <row r="994">
      <c r="A994" s="119"/>
      <c r="J994" s="22"/>
    </row>
    <row r="995">
      <c r="A995" s="119"/>
      <c r="J995" s="22"/>
    </row>
    <row r="996">
      <c r="A996" s="119"/>
      <c r="J996" s="22"/>
    </row>
    <row r="997">
      <c r="A997" s="119"/>
      <c r="J997" s="22"/>
    </row>
    <row r="998">
      <c r="A998" s="119"/>
      <c r="J998" s="22"/>
    </row>
    <row r="999">
      <c r="A999" s="119"/>
      <c r="J999" s="22"/>
    </row>
    <row r="1000">
      <c r="A1000" s="119"/>
      <c r="J1000" s="22"/>
    </row>
    <row r="1001">
      <c r="A1001" s="119"/>
      <c r="J1001" s="22"/>
    </row>
  </sheetData>
  <autoFilter ref="$A$1:$N$386"/>
  <conditionalFormatting sqref="N101 N143">
    <cfRule type="containsText" dxfId="6" priority="1" operator="containsText" text="RESOLVED">
      <formula>NOT(ISERROR(SEARCH(("RESOLVED"),(N101))))</formula>
    </cfRule>
  </conditionalFormatting>
  <conditionalFormatting sqref="N101 N143">
    <cfRule type="containsText" dxfId="7" priority="2" operator="containsText" text="ON GOING ISSUE">
      <formula>NOT(ISERROR(SEARCH(("ON GOING ISSUE"),(N101))))</formula>
    </cfRule>
  </conditionalFormatting>
  <conditionalFormatting sqref="G2:G77 G84:G1001">
    <cfRule type="cellIs" dxfId="7" priority="3" operator="greaterThan">
      <formula>"4:00:00 AM"</formula>
    </cfRule>
  </conditionalFormatting>
  <conditionalFormatting sqref="H2:H77 H84:H1001">
    <cfRule type="cellIs" dxfId="7" priority="4" operator="greaterThan">
      <formula>"5:00:00 AM"</formula>
    </cfRule>
  </conditionalFormatting>
  <conditionalFormatting sqref="I1:I1001">
    <cfRule type="cellIs" dxfId="6" priority="5" operator="lessThanOrEqual">
      <formula>"6:00:59"</formula>
    </cfRule>
  </conditionalFormatting>
  <conditionalFormatting sqref="I1:I1001">
    <cfRule type="cellIs" dxfId="7" priority="6" operator="greaterThanOrEqual">
      <formula>"6:30:59 AM"</formula>
    </cfRule>
  </conditionalFormatting>
  <hyperlinks>
    <hyperlink r:id="rId1" ref="M118"/>
    <hyperlink r:id="rId2" ref="M120"/>
    <hyperlink r:id="rId3" ref="M143"/>
    <hyperlink r:id="rId4" ref="M146"/>
    <hyperlink r:id="rId5" ref="M222"/>
    <hyperlink r:id="rId6" ref="M321"/>
    <hyperlink r:id="rId7" ref="M323"/>
    <hyperlink r:id="rId8" ref="M352"/>
  </hyperlinks>
  <drawing r:id="rId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67" t="s">
        <v>213</v>
      </c>
      <c r="B1" s="168" t="s">
        <v>81</v>
      </c>
      <c r="C1" s="168" t="s">
        <v>339</v>
      </c>
      <c r="D1" s="169" t="s">
        <v>82</v>
      </c>
      <c r="E1" s="46" t="s">
        <v>340</v>
      </c>
    </row>
    <row r="2">
      <c r="A2" s="170">
        <v>41519.0</v>
      </c>
      <c r="B2" s="168" t="s">
        <v>341</v>
      </c>
      <c r="C2" s="168" t="s">
        <v>342</v>
      </c>
      <c r="D2" s="169" t="s">
        <v>340</v>
      </c>
      <c r="E2" s="46" t="s">
        <v>343</v>
      </c>
    </row>
    <row r="3">
      <c r="A3" s="170">
        <v>41520.0</v>
      </c>
      <c r="B3" s="171" t="s">
        <v>341</v>
      </c>
      <c r="C3" s="171" t="s">
        <v>342</v>
      </c>
      <c r="D3" s="172" t="s">
        <v>340</v>
      </c>
      <c r="E3" s="46" t="s">
        <v>344</v>
      </c>
    </row>
    <row r="4">
      <c r="A4" s="170">
        <v>41521.0</v>
      </c>
      <c r="B4" s="171" t="s">
        <v>341</v>
      </c>
      <c r="C4" s="171" t="s">
        <v>342</v>
      </c>
      <c r="D4" s="172" t="s">
        <v>340</v>
      </c>
      <c r="E4" s="46" t="s">
        <v>345</v>
      </c>
    </row>
    <row r="5">
      <c r="A5" s="170">
        <v>41522.0</v>
      </c>
      <c r="B5" s="171" t="s">
        <v>341</v>
      </c>
      <c r="C5" s="171" t="s">
        <v>342</v>
      </c>
      <c r="D5" s="172" t="s">
        <v>340</v>
      </c>
      <c r="E5" s="46" t="s">
        <v>346</v>
      </c>
    </row>
    <row r="6">
      <c r="A6" s="170">
        <v>41523.0</v>
      </c>
      <c r="B6" s="171" t="s">
        <v>341</v>
      </c>
      <c r="C6" s="171" t="s">
        <v>342</v>
      </c>
      <c r="D6" s="172" t="s">
        <v>340</v>
      </c>
      <c r="E6" s="46" t="s">
        <v>347</v>
      </c>
    </row>
    <row r="7">
      <c r="A7" s="170">
        <v>41524.0</v>
      </c>
      <c r="B7" s="171" t="s">
        <v>341</v>
      </c>
      <c r="C7" s="171" t="s">
        <v>342</v>
      </c>
      <c r="D7" s="172" t="s">
        <v>340</v>
      </c>
      <c r="E7" s="46" t="s">
        <v>348</v>
      </c>
    </row>
    <row r="8">
      <c r="A8" s="170">
        <v>41525.0</v>
      </c>
      <c r="B8" s="171" t="s">
        <v>341</v>
      </c>
      <c r="C8" s="171" t="s">
        <v>342</v>
      </c>
      <c r="D8" s="172" t="s">
        <v>340</v>
      </c>
      <c r="E8" s="46" t="s">
        <v>349</v>
      </c>
    </row>
    <row r="9">
      <c r="A9" s="170">
        <v>41526.0</v>
      </c>
      <c r="B9" s="171" t="s">
        <v>350</v>
      </c>
      <c r="C9" s="171" t="s">
        <v>342</v>
      </c>
      <c r="D9" s="172" t="s">
        <v>340</v>
      </c>
      <c r="E9" s="46" t="s">
        <v>351</v>
      </c>
    </row>
    <row r="10">
      <c r="A10" s="170">
        <v>41527.0</v>
      </c>
      <c r="B10" s="171" t="s">
        <v>350</v>
      </c>
      <c r="C10" s="171" t="s">
        <v>342</v>
      </c>
      <c r="D10" s="172" t="s">
        <v>340</v>
      </c>
      <c r="E10" s="46" t="s">
        <v>352</v>
      </c>
    </row>
    <row r="11">
      <c r="A11" s="170">
        <v>41528.0</v>
      </c>
      <c r="B11" s="171" t="s">
        <v>350</v>
      </c>
      <c r="C11" s="171" t="s">
        <v>342</v>
      </c>
      <c r="D11" s="172" t="s">
        <v>340</v>
      </c>
      <c r="E11" s="46" t="s">
        <v>353</v>
      </c>
    </row>
    <row r="12">
      <c r="A12" s="170">
        <v>41529.0</v>
      </c>
      <c r="B12" s="171" t="s">
        <v>350</v>
      </c>
      <c r="C12" s="171" t="s">
        <v>342</v>
      </c>
      <c r="D12" s="172" t="s">
        <v>340</v>
      </c>
      <c r="E12" s="46" t="s">
        <v>354</v>
      </c>
    </row>
    <row r="13">
      <c r="A13" s="170">
        <v>41530.0</v>
      </c>
      <c r="B13" s="171" t="s">
        <v>350</v>
      </c>
      <c r="C13" s="171" t="s">
        <v>342</v>
      </c>
      <c r="D13" s="172" t="s">
        <v>340</v>
      </c>
      <c r="E13" s="46" t="s">
        <v>134</v>
      </c>
    </row>
    <row r="14">
      <c r="A14" s="170">
        <v>41531.0</v>
      </c>
      <c r="B14" s="171" t="s">
        <v>350</v>
      </c>
      <c r="C14" s="171" t="s">
        <v>342</v>
      </c>
      <c r="D14" s="172" t="s">
        <v>340</v>
      </c>
    </row>
    <row r="15">
      <c r="A15" s="170">
        <v>41532.0</v>
      </c>
      <c r="B15" s="171" t="s">
        <v>350</v>
      </c>
      <c r="C15" s="171" t="s">
        <v>342</v>
      </c>
      <c r="D15" s="172" t="s">
        <v>340</v>
      </c>
    </row>
    <row r="16">
      <c r="A16" s="170">
        <v>41533.0</v>
      </c>
      <c r="B16" s="171" t="s">
        <v>355</v>
      </c>
      <c r="C16" s="171" t="s">
        <v>342</v>
      </c>
      <c r="D16" s="172" t="s">
        <v>340</v>
      </c>
    </row>
    <row r="17">
      <c r="A17" s="170">
        <v>41534.0</v>
      </c>
      <c r="B17" s="171" t="s">
        <v>355</v>
      </c>
      <c r="C17" s="171" t="s">
        <v>342</v>
      </c>
      <c r="D17" s="172" t="s">
        <v>340</v>
      </c>
    </row>
    <row r="18">
      <c r="A18" s="170">
        <v>41535.0</v>
      </c>
      <c r="B18" s="171" t="s">
        <v>355</v>
      </c>
      <c r="C18" s="171" t="s">
        <v>342</v>
      </c>
      <c r="D18" s="172" t="s">
        <v>340</v>
      </c>
    </row>
    <row r="19">
      <c r="A19" s="170">
        <v>41536.0</v>
      </c>
      <c r="B19" s="171" t="s">
        <v>355</v>
      </c>
      <c r="C19" s="171" t="s">
        <v>342</v>
      </c>
      <c r="D19" s="172" t="s">
        <v>340</v>
      </c>
    </row>
    <row r="20">
      <c r="A20" s="170">
        <v>41537.0</v>
      </c>
      <c r="B20" s="171" t="s">
        <v>355</v>
      </c>
      <c r="C20" s="171" t="s">
        <v>342</v>
      </c>
      <c r="D20" s="172" t="s">
        <v>340</v>
      </c>
    </row>
    <row r="21">
      <c r="A21" s="170">
        <v>41538.0</v>
      </c>
      <c r="B21" s="171" t="s">
        <v>355</v>
      </c>
      <c r="C21" s="171" t="s">
        <v>342</v>
      </c>
      <c r="D21" s="172" t="s">
        <v>340</v>
      </c>
    </row>
    <row r="22">
      <c r="A22" s="170">
        <v>41539.0</v>
      </c>
      <c r="B22" s="168" t="s">
        <v>355</v>
      </c>
      <c r="C22" s="168" t="s">
        <v>342</v>
      </c>
      <c r="D22" s="169" t="s">
        <v>340</v>
      </c>
    </row>
    <row r="23">
      <c r="A23" s="170">
        <v>41540.0</v>
      </c>
      <c r="B23" s="171" t="s">
        <v>356</v>
      </c>
      <c r="C23" s="171" t="s">
        <v>342</v>
      </c>
      <c r="D23" s="172" t="s">
        <v>340</v>
      </c>
    </row>
    <row r="24">
      <c r="A24" s="170">
        <v>41541.0</v>
      </c>
      <c r="B24" s="171" t="s">
        <v>356</v>
      </c>
      <c r="C24" s="171" t="s">
        <v>342</v>
      </c>
      <c r="D24" s="172" t="s">
        <v>340</v>
      </c>
    </row>
    <row r="25">
      <c r="A25" s="170">
        <v>41542.0</v>
      </c>
      <c r="B25" s="171" t="s">
        <v>356</v>
      </c>
      <c r="C25" s="171" t="s">
        <v>342</v>
      </c>
      <c r="D25" s="172" t="s">
        <v>340</v>
      </c>
    </row>
    <row r="26">
      <c r="A26" s="170">
        <v>41543.0</v>
      </c>
      <c r="B26" s="171" t="s">
        <v>356</v>
      </c>
      <c r="C26" s="171" t="s">
        <v>342</v>
      </c>
      <c r="D26" s="172" t="s">
        <v>340</v>
      </c>
    </row>
    <row r="27">
      <c r="A27" s="170">
        <v>41544.0</v>
      </c>
      <c r="B27" s="171" t="s">
        <v>356</v>
      </c>
      <c r="C27" s="171" t="s">
        <v>342</v>
      </c>
      <c r="D27" s="172" t="s">
        <v>340</v>
      </c>
    </row>
    <row r="28">
      <c r="A28" s="170">
        <v>41545.0</v>
      </c>
      <c r="B28" s="171" t="s">
        <v>356</v>
      </c>
      <c r="C28" s="171" t="s">
        <v>342</v>
      </c>
      <c r="D28" s="172" t="s">
        <v>340</v>
      </c>
    </row>
    <row r="29">
      <c r="A29" s="170">
        <v>41546.0</v>
      </c>
      <c r="B29" s="171" t="s">
        <v>356</v>
      </c>
      <c r="C29" s="171" t="s">
        <v>342</v>
      </c>
      <c r="D29" s="172" t="s">
        <v>340</v>
      </c>
    </row>
    <row r="30">
      <c r="A30" s="170">
        <v>41547.0</v>
      </c>
      <c r="B30" s="171" t="s">
        <v>357</v>
      </c>
      <c r="C30" s="171" t="s">
        <v>342</v>
      </c>
      <c r="D30" s="172" t="s">
        <v>343</v>
      </c>
    </row>
    <row r="31">
      <c r="A31" s="170">
        <v>41548.0</v>
      </c>
      <c r="B31" s="171" t="s">
        <v>357</v>
      </c>
      <c r="C31" s="171" t="s">
        <v>342</v>
      </c>
      <c r="D31" s="172" t="s">
        <v>343</v>
      </c>
    </row>
    <row r="32">
      <c r="A32" s="170">
        <v>41549.0</v>
      </c>
      <c r="B32" s="171" t="s">
        <v>357</v>
      </c>
      <c r="C32" s="171" t="s">
        <v>342</v>
      </c>
      <c r="D32" s="172" t="s">
        <v>343</v>
      </c>
    </row>
    <row r="33">
      <c r="A33" s="170">
        <v>41550.0</v>
      </c>
      <c r="B33" s="171" t="s">
        <v>357</v>
      </c>
      <c r="C33" s="171" t="s">
        <v>342</v>
      </c>
      <c r="D33" s="172" t="s">
        <v>343</v>
      </c>
    </row>
    <row r="34">
      <c r="A34" s="170">
        <v>41551.0</v>
      </c>
      <c r="B34" s="171" t="s">
        <v>357</v>
      </c>
      <c r="C34" s="171" t="s">
        <v>342</v>
      </c>
      <c r="D34" s="172" t="s">
        <v>343</v>
      </c>
    </row>
    <row r="35">
      <c r="A35" s="170">
        <v>41552.0</v>
      </c>
      <c r="B35" s="171" t="s">
        <v>357</v>
      </c>
      <c r="C35" s="171" t="s">
        <v>342</v>
      </c>
      <c r="D35" s="172" t="s">
        <v>343</v>
      </c>
    </row>
    <row r="36">
      <c r="A36" s="170">
        <v>41553.0</v>
      </c>
      <c r="B36" s="171" t="s">
        <v>357</v>
      </c>
      <c r="C36" s="171" t="s">
        <v>342</v>
      </c>
      <c r="D36" s="172" t="s">
        <v>343</v>
      </c>
    </row>
    <row r="37">
      <c r="A37" s="170">
        <v>41554.0</v>
      </c>
      <c r="B37" s="171" t="s">
        <v>358</v>
      </c>
      <c r="C37" s="171" t="s">
        <v>342</v>
      </c>
      <c r="D37" s="172" t="s">
        <v>343</v>
      </c>
    </row>
    <row r="38">
      <c r="A38" s="170">
        <v>41555.0</v>
      </c>
      <c r="B38" s="171" t="s">
        <v>358</v>
      </c>
      <c r="C38" s="171" t="s">
        <v>342</v>
      </c>
      <c r="D38" s="172" t="s">
        <v>343</v>
      </c>
    </row>
    <row r="39">
      <c r="A39" s="170">
        <v>41556.0</v>
      </c>
      <c r="B39" s="168" t="s">
        <v>358</v>
      </c>
      <c r="C39" s="168" t="s">
        <v>342</v>
      </c>
      <c r="D39" s="169" t="s">
        <v>343</v>
      </c>
    </row>
    <row r="40">
      <c r="A40" s="170">
        <v>41557.0</v>
      </c>
      <c r="B40" s="171" t="s">
        <v>358</v>
      </c>
      <c r="C40" s="171" t="s">
        <v>342</v>
      </c>
      <c r="D40" s="172" t="s">
        <v>343</v>
      </c>
    </row>
    <row r="41">
      <c r="A41" s="170">
        <v>41558.0</v>
      </c>
      <c r="B41" s="171" t="s">
        <v>358</v>
      </c>
      <c r="C41" s="171" t="s">
        <v>342</v>
      </c>
      <c r="D41" s="172" t="s">
        <v>343</v>
      </c>
    </row>
    <row r="42">
      <c r="A42" s="170">
        <v>41559.0</v>
      </c>
      <c r="B42" s="171" t="s">
        <v>358</v>
      </c>
      <c r="C42" s="171" t="s">
        <v>342</v>
      </c>
      <c r="D42" s="172" t="s">
        <v>343</v>
      </c>
    </row>
    <row r="43">
      <c r="A43" s="170">
        <v>41560.0</v>
      </c>
      <c r="B43" s="171" t="s">
        <v>358</v>
      </c>
      <c r="C43" s="171" t="s">
        <v>342</v>
      </c>
      <c r="D43" s="172" t="s">
        <v>343</v>
      </c>
    </row>
    <row r="44">
      <c r="A44" s="170">
        <v>41561.0</v>
      </c>
      <c r="B44" s="168" t="s">
        <v>359</v>
      </c>
      <c r="C44" s="168" t="s">
        <v>342</v>
      </c>
      <c r="D44" s="169" t="s">
        <v>343</v>
      </c>
    </row>
    <row r="45">
      <c r="A45" s="170">
        <v>41562.0</v>
      </c>
      <c r="B45" s="171" t="s">
        <v>359</v>
      </c>
      <c r="C45" s="171" t="s">
        <v>342</v>
      </c>
      <c r="D45" s="172" t="s">
        <v>343</v>
      </c>
    </row>
    <row r="46">
      <c r="A46" s="170">
        <v>41563.0</v>
      </c>
      <c r="B46" s="171" t="s">
        <v>359</v>
      </c>
      <c r="C46" s="171" t="s">
        <v>342</v>
      </c>
      <c r="D46" s="172" t="s">
        <v>343</v>
      </c>
    </row>
    <row r="47">
      <c r="A47" s="170">
        <v>41564.0</v>
      </c>
      <c r="B47" s="171" t="s">
        <v>359</v>
      </c>
      <c r="C47" s="171" t="s">
        <v>342</v>
      </c>
      <c r="D47" s="172" t="s">
        <v>343</v>
      </c>
    </row>
    <row r="48">
      <c r="A48" s="170">
        <v>41565.0</v>
      </c>
      <c r="B48" s="171" t="s">
        <v>359</v>
      </c>
      <c r="C48" s="171" t="s">
        <v>342</v>
      </c>
      <c r="D48" s="172" t="s">
        <v>343</v>
      </c>
    </row>
    <row r="49">
      <c r="A49" s="170">
        <v>41566.0</v>
      </c>
      <c r="B49" s="171" t="s">
        <v>359</v>
      </c>
      <c r="C49" s="171" t="s">
        <v>342</v>
      </c>
      <c r="D49" s="172" t="s">
        <v>343</v>
      </c>
    </row>
    <row r="50">
      <c r="A50" s="170">
        <v>41567.0</v>
      </c>
      <c r="B50" s="171" t="s">
        <v>359</v>
      </c>
      <c r="C50" s="171" t="s">
        <v>342</v>
      </c>
      <c r="D50" s="172" t="s">
        <v>343</v>
      </c>
    </row>
    <row r="51">
      <c r="A51" s="170">
        <v>41568.0</v>
      </c>
      <c r="B51" s="168" t="s">
        <v>360</v>
      </c>
      <c r="C51" s="168" t="s">
        <v>342</v>
      </c>
      <c r="D51" s="169" t="s">
        <v>343</v>
      </c>
    </row>
    <row r="52">
      <c r="A52" s="170">
        <v>41569.0</v>
      </c>
      <c r="B52" s="171" t="s">
        <v>360</v>
      </c>
      <c r="C52" s="171" t="s">
        <v>342</v>
      </c>
      <c r="D52" s="172" t="s">
        <v>343</v>
      </c>
    </row>
    <row r="53">
      <c r="A53" s="170">
        <v>41570.0</v>
      </c>
      <c r="B53" s="171" t="s">
        <v>360</v>
      </c>
      <c r="C53" s="171" t="s">
        <v>342</v>
      </c>
      <c r="D53" s="172" t="s">
        <v>343</v>
      </c>
    </row>
    <row r="54">
      <c r="A54" s="170">
        <v>41571.0</v>
      </c>
      <c r="B54" s="171" t="s">
        <v>360</v>
      </c>
      <c r="C54" s="171" t="s">
        <v>342</v>
      </c>
      <c r="D54" s="172" t="s">
        <v>343</v>
      </c>
    </row>
    <row r="55">
      <c r="A55" s="170">
        <v>41572.0</v>
      </c>
      <c r="B55" s="171" t="s">
        <v>360</v>
      </c>
      <c r="C55" s="171" t="s">
        <v>342</v>
      </c>
      <c r="D55" s="172" t="s">
        <v>343</v>
      </c>
    </row>
    <row r="56">
      <c r="A56" s="170">
        <v>41573.0</v>
      </c>
      <c r="B56" s="171" t="s">
        <v>360</v>
      </c>
      <c r="C56" s="171" t="s">
        <v>342</v>
      </c>
      <c r="D56" s="172" t="s">
        <v>343</v>
      </c>
    </row>
    <row r="57">
      <c r="A57" s="170">
        <v>41574.0</v>
      </c>
      <c r="B57" s="171" t="s">
        <v>360</v>
      </c>
      <c r="C57" s="171" t="s">
        <v>342</v>
      </c>
      <c r="D57" s="172" t="s">
        <v>343</v>
      </c>
    </row>
    <row r="58">
      <c r="A58" s="170">
        <v>41575.0</v>
      </c>
      <c r="B58" s="171" t="s">
        <v>361</v>
      </c>
      <c r="C58" s="171" t="s">
        <v>342</v>
      </c>
      <c r="D58" s="172" t="s">
        <v>344</v>
      </c>
    </row>
    <row r="59">
      <c r="A59" s="170">
        <v>41576.0</v>
      </c>
      <c r="B59" s="171" t="s">
        <v>361</v>
      </c>
      <c r="C59" s="171" t="s">
        <v>342</v>
      </c>
      <c r="D59" s="172" t="s">
        <v>344</v>
      </c>
    </row>
    <row r="60">
      <c r="A60" s="170">
        <v>41577.0</v>
      </c>
      <c r="B60" s="171" t="s">
        <v>361</v>
      </c>
      <c r="C60" s="171" t="s">
        <v>342</v>
      </c>
      <c r="D60" s="172" t="s">
        <v>344</v>
      </c>
    </row>
    <row r="61">
      <c r="A61" s="170">
        <v>41578.0</v>
      </c>
      <c r="B61" s="171" t="s">
        <v>361</v>
      </c>
      <c r="C61" s="171" t="s">
        <v>342</v>
      </c>
      <c r="D61" s="172" t="s">
        <v>344</v>
      </c>
    </row>
    <row r="62">
      <c r="A62" s="170">
        <v>41579.0</v>
      </c>
      <c r="B62" s="168" t="s">
        <v>361</v>
      </c>
      <c r="C62" s="168" t="s">
        <v>342</v>
      </c>
      <c r="D62" s="169" t="s">
        <v>344</v>
      </c>
    </row>
    <row r="63">
      <c r="A63" s="170">
        <v>41580.0</v>
      </c>
      <c r="B63" s="168" t="s">
        <v>361</v>
      </c>
      <c r="C63" s="168" t="s">
        <v>342</v>
      </c>
      <c r="D63" s="169" t="s">
        <v>344</v>
      </c>
    </row>
    <row r="64">
      <c r="A64" s="170">
        <v>41581.0</v>
      </c>
      <c r="B64" s="168" t="s">
        <v>361</v>
      </c>
      <c r="C64" s="168" t="s">
        <v>342</v>
      </c>
      <c r="D64" s="169" t="s">
        <v>344</v>
      </c>
    </row>
    <row r="65">
      <c r="A65" s="170">
        <v>41582.0</v>
      </c>
      <c r="B65" s="168" t="s">
        <v>362</v>
      </c>
      <c r="C65" s="168" t="s">
        <v>342</v>
      </c>
      <c r="D65" s="169" t="s">
        <v>344</v>
      </c>
    </row>
    <row r="66">
      <c r="A66" s="170">
        <v>41583.0</v>
      </c>
      <c r="B66" s="168" t="s">
        <v>362</v>
      </c>
      <c r="C66" s="168" t="s">
        <v>342</v>
      </c>
      <c r="D66" s="169" t="s">
        <v>344</v>
      </c>
    </row>
    <row r="67">
      <c r="A67" s="170">
        <v>41584.0</v>
      </c>
      <c r="B67" s="168" t="s">
        <v>362</v>
      </c>
      <c r="C67" s="168" t="s">
        <v>342</v>
      </c>
      <c r="D67" s="169" t="s">
        <v>344</v>
      </c>
    </row>
    <row r="68">
      <c r="A68" s="170">
        <v>41585.0</v>
      </c>
      <c r="B68" s="168" t="s">
        <v>362</v>
      </c>
      <c r="C68" s="168" t="s">
        <v>342</v>
      </c>
      <c r="D68" s="169" t="s">
        <v>344</v>
      </c>
    </row>
    <row r="69">
      <c r="A69" s="170">
        <v>41586.0</v>
      </c>
      <c r="B69" s="168" t="s">
        <v>362</v>
      </c>
      <c r="C69" s="168" t="s">
        <v>342</v>
      </c>
      <c r="D69" s="169" t="s">
        <v>344</v>
      </c>
    </row>
    <row r="70">
      <c r="A70" s="170">
        <v>41587.0</v>
      </c>
      <c r="B70" s="168" t="s">
        <v>362</v>
      </c>
      <c r="C70" s="168" t="s">
        <v>342</v>
      </c>
      <c r="D70" s="169" t="s">
        <v>344</v>
      </c>
    </row>
    <row r="71">
      <c r="A71" s="170">
        <v>41588.0</v>
      </c>
      <c r="B71" s="168" t="s">
        <v>362</v>
      </c>
      <c r="C71" s="168" t="s">
        <v>342</v>
      </c>
      <c r="D71" s="169" t="s">
        <v>344</v>
      </c>
    </row>
    <row r="72">
      <c r="A72" s="170">
        <v>41589.0</v>
      </c>
      <c r="B72" s="168" t="s">
        <v>363</v>
      </c>
      <c r="C72" s="168" t="s">
        <v>342</v>
      </c>
      <c r="D72" s="169" t="s">
        <v>344</v>
      </c>
    </row>
    <row r="73">
      <c r="A73" s="170">
        <v>41590.0</v>
      </c>
      <c r="B73" s="168" t="s">
        <v>363</v>
      </c>
      <c r="C73" s="168" t="s">
        <v>342</v>
      </c>
      <c r="D73" s="169" t="s">
        <v>344</v>
      </c>
    </row>
    <row r="74">
      <c r="A74" s="170">
        <v>41591.0</v>
      </c>
      <c r="B74" s="168" t="s">
        <v>363</v>
      </c>
      <c r="C74" s="168" t="s">
        <v>342</v>
      </c>
      <c r="D74" s="169" t="s">
        <v>344</v>
      </c>
    </row>
    <row r="75">
      <c r="A75" s="170">
        <v>41592.0</v>
      </c>
      <c r="B75" s="168" t="s">
        <v>363</v>
      </c>
      <c r="C75" s="168" t="s">
        <v>342</v>
      </c>
      <c r="D75" s="169" t="s">
        <v>344</v>
      </c>
    </row>
    <row r="76">
      <c r="A76" s="170">
        <v>41593.0</v>
      </c>
      <c r="B76" s="168" t="s">
        <v>363</v>
      </c>
      <c r="C76" s="168" t="s">
        <v>342</v>
      </c>
      <c r="D76" s="169" t="s">
        <v>344</v>
      </c>
    </row>
    <row r="77">
      <c r="A77" s="170">
        <v>41594.0</v>
      </c>
      <c r="B77" s="168" t="s">
        <v>363</v>
      </c>
      <c r="C77" s="168" t="s">
        <v>342</v>
      </c>
      <c r="D77" s="169" t="s">
        <v>344</v>
      </c>
    </row>
    <row r="78">
      <c r="A78" s="170">
        <v>41595.0</v>
      </c>
      <c r="B78" s="168" t="s">
        <v>363</v>
      </c>
      <c r="C78" s="168" t="s">
        <v>342</v>
      </c>
      <c r="D78" s="169" t="s">
        <v>344</v>
      </c>
    </row>
    <row r="79">
      <c r="A79" s="170">
        <v>41596.0</v>
      </c>
      <c r="B79" s="168" t="s">
        <v>364</v>
      </c>
      <c r="C79" s="168" t="s">
        <v>342</v>
      </c>
      <c r="D79" s="169" t="s">
        <v>344</v>
      </c>
    </row>
    <row r="80">
      <c r="A80" s="170">
        <v>41597.0</v>
      </c>
      <c r="B80" s="168" t="s">
        <v>364</v>
      </c>
      <c r="C80" s="168" t="s">
        <v>342</v>
      </c>
      <c r="D80" s="169" t="s">
        <v>344</v>
      </c>
    </row>
    <row r="81">
      <c r="A81" s="170">
        <v>41598.0</v>
      </c>
      <c r="B81" s="168" t="s">
        <v>364</v>
      </c>
      <c r="C81" s="168" t="s">
        <v>342</v>
      </c>
      <c r="D81" s="169" t="s">
        <v>344</v>
      </c>
    </row>
    <row r="82">
      <c r="A82" s="170">
        <v>41599.0</v>
      </c>
      <c r="B82" s="168" t="s">
        <v>364</v>
      </c>
      <c r="C82" s="168" t="s">
        <v>342</v>
      </c>
      <c r="D82" s="169" t="s">
        <v>344</v>
      </c>
    </row>
    <row r="83">
      <c r="A83" s="170">
        <v>41600.0</v>
      </c>
      <c r="B83" s="168" t="s">
        <v>364</v>
      </c>
      <c r="C83" s="168" t="s">
        <v>342</v>
      </c>
      <c r="D83" s="169" t="s">
        <v>344</v>
      </c>
    </row>
    <row r="84">
      <c r="A84" s="170">
        <v>41601.0</v>
      </c>
      <c r="B84" s="168" t="s">
        <v>364</v>
      </c>
      <c r="C84" s="168" t="s">
        <v>342</v>
      </c>
      <c r="D84" s="169" t="s">
        <v>344</v>
      </c>
    </row>
    <row r="85">
      <c r="A85" s="170">
        <v>41602.0</v>
      </c>
      <c r="B85" s="168" t="s">
        <v>364</v>
      </c>
      <c r="C85" s="168" t="s">
        <v>342</v>
      </c>
      <c r="D85" s="169" t="s">
        <v>344</v>
      </c>
    </row>
    <row r="86">
      <c r="A86" s="170">
        <v>41603.0</v>
      </c>
      <c r="B86" s="168" t="s">
        <v>365</v>
      </c>
      <c r="C86" s="168" t="s">
        <v>342</v>
      </c>
      <c r="D86" s="169" t="s">
        <v>345</v>
      </c>
    </row>
    <row r="87">
      <c r="A87" s="170">
        <v>41604.0</v>
      </c>
      <c r="B87" s="168" t="s">
        <v>365</v>
      </c>
      <c r="C87" s="168" t="s">
        <v>342</v>
      </c>
      <c r="D87" s="169" t="s">
        <v>345</v>
      </c>
    </row>
    <row r="88">
      <c r="A88" s="170">
        <v>41605.0</v>
      </c>
      <c r="B88" s="168" t="s">
        <v>365</v>
      </c>
      <c r="C88" s="168" t="s">
        <v>342</v>
      </c>
      <c r="D88" s="169" t="s">
        <v>345</v>
      </c>
    </row>
    <row r="89">
      <c r="A89" s="170">
        <v>41606.0</v>
      </c>
      <c r="B89" s="168" t="s">
        <v>365</v>
      </c>
      <c r="C89" s="168" t="s">
        <v>342</v>
      </c>
      <c r="D89" s="169" t="s">
        <v>345</v>
      </c>
    </row>
    <row r="90">
      <c r="A90" s="170">
        <v>41607.0</v>
      </c>
      <c r="B90" s="168" t="s">
        <v>365</v>
      </c>
      <c r="C90" s="168" t="s">
        <v>342</v>
      </c>
      <c r="D90" s="169" t="s">
        <v>345</v>
      </c>
    </row>
    <row r="91">
      <c r="A91" s="170">
        <v>41608.0</v>
      </c>
      <c r="B91" s="168" t="s">
        <v>365</v>
      </c>
      <c r="C91" s="168" t="s">
        <v>342</v>
      </c>
      <c r="D91" s="169" t="s">
        <v>345</v>
      </c>
    </row>
    <row r="92">
      <c r="A92" s="170">
        <v>41609.0</v>
      </c>
      <c r="B92" s="168" t="s">
        <v>365</v>
      </c>
      <c r="C92" s="168" t="s">
        <v>342</v>
      </c>
      <c r="D92" s="169" t="s">
        <v>345</v>
      </c>
    </row>
    <row r="93">
      <c r="A93" s="170">
        <v>41610.0</v>
      </c>
      <c r="B93" s="168" t="s">
        <v>366</v>
      </c>
      <c r="C93" s="168" t="s">
        <v>342</v>
      </c>
      <c r="D93" s="169" t="s">
        <v>345</v>
      </c>
    </row>
    <row r="94">
      <c r="A94" s="170">
        <v>41611.0</v>
      </c>
      <c r="B94" s="168" t="s">
        <v>366</v>
      </c>
      <c r="C94" s="168" t="s">
        <v>342</v>
      </c>
      <c r="D94" s="169" t="s">
        <v>345</v>
      </c>
    </row>
    <row r="95">
      <c r="A95" s="170">
        <v>41612.0</v>
      </c>
      <c r="B95" s="168" t="s">
        <v>366</v>
      </c>
      <c r="C95" s="168" t="s">
        <v>342</v>
      </c>
      <c r="D95" s="169" t="s">
        <v>345</v>
      </c>
    </row>
    <row r="96">
      <c r="A96" s="170">
        <v>41613.0</v>
      </c>
      <c r="B96" s="168" t="s">
        <v>366</v>
      </c>
      <c r="C96" s="168" t="s">
        <v>342</v>
      </c>
      <c r="D96" s="169" t="s">
        <v>345</v>
      </c>
    </row>
    <row r="97">
      <c r="A97" s="170">
        <v>41614.0</v>
      </c>
      <c r="B97" s="168" t="s">
        <v>366</v>
      </c>
      <c r="C97" s="168" t="s">
        <v>342</v>
      </c>
      <c r="D97" s="169" t="s">
        <v>345</v>
      </c>
    </row>
    <row r="98">
      <c r="A98" s="170">
        <v>41615.0</v>
      </c>
      <c r="B98" s="168" t="s">
        <v>366</v>
      </c>
      <c r="C98" s="168" t="s">
        <v>342</v>
      </c>
      <c r="D98" s="169" t="s">
        <v>345</v>
      </c>
    </row>
    <row r="99">
      <c r="A99" s="170">
        <v>41616.0</v>
      </c>
      <c r="B99" s="168" t="s">
        <v>366</v>
      </c>
      <c r="C99" s="168" t="s">
        <v>342</v>
      </c>
      <c r="D99" s="169" t="s">
        <v>345</v>
      </c>
    </row>
    <row r="100">
      <c r="A100" s="170">
        <v>41617.0</v>
      </c>
      <c r="B100" s="168" t="s">
        <v>367</v>
      </c>
      <c r="C100" s="168" t="s">
        <v>342</v>
      </c>
      <c r="D100" s="169" t="s">
        <v>345</v>
      </c>
    </row>
    <row r="101">
      <c r="A101" s="170">
        <v>41618.0</v>
      </c>
      <c r="B101" s="168" t="s">
        <v>367</v>
      </c>
      <c r="C101" s="168" t="s">
        <v>342</v>
      </c>
      <c r="D101" s="169" t="s">
        <v>345</v>
      </c>
    </row>
    <row r="102">
      <c r="A102" s="170">
        <v>41619.0</v>
      </c>
      <c r="B102" s="168" t="s">
        <v>367</v>
      </c>
      <c r="C102" s="168" t="s">
        <v>342</v>
      </c>
      <c r="D102" s="169" t="s">
        <v>345</v>
      </c>
    </row>
    <row r="103">
      <c r="A103" s="170">
        <v>41620.0</v>
      </c>
      <c r="B103" s="168" t="s">
        <v>367</v>
      </c>
      <c r="C103" s="168" t="s">
        <v>342</v>
      </c>
      <c r="D103" s="169" t="s">
        <v>345</v>
      </c>
    </row>
    <row r="104">
      <c r="A104" s="170">
        <v>41621.0</v>
      </c>
      <c r="B104" s="168" t="s">
        <v>367</v>
      </c>
      <c r="C104" s="168" t="s">
        <v>342</v>
      </c>
      <c r="D104" s="169" t="s">
        <v>345</v>
      </c>
    </row>
    <row r="105">
      <c r="A105" s="170">
        <v>41622.0</v>
      </c>
      <c r="B105" s="168" t="s">
        <v>367</v>
      </c>
      <c r="C105" s="168" t="s">
        <v>342</v>
      </c>
      <c r="D105" s="169" t="s">
        <v>345</v>
      </c>
    </row>
    <row r="106">
      <c r="A106" s="170">
        <v>41623.0</v>
      </c>
      <c r="B106" s="168" t="s">
        <v>367</v>
      </c>
      <c r="C106" s="168" t="s">
        <v>342</v>
      </c>
      <c r="D106" s="169" t="s">
        <v>345</v>
      </c>
    </row>
    <row r="107">
      <c r="A107" s="170">
        <v>41624.0</v>
      </c>
      <c r="B107" s="168" t="s">
        <v>368</v>
      </c>
      <c r="C107" s="168" t="s">
        <v>342</v>
      </c>
      <c r="D107" s="169" t="s">
        <v>345</v>
      </c>
    </row>
    <row r="108">
      <c r="A108" s="170">
        <v>41625.0</v>
      </c>
      <c r="B108" s="168" t="s">
        <v>368</v>
      </c>
      <c r="C108" s="168" t="s">
        <v>342</v>
      </c>
      <c r="D108" s="169" t="s">
        <v>345</v>
      </c>
    </row>
    <row r="109">
      <c r="A109" s="170">
        <v>41626.0</v>
      </c>
      <c r="B109" s="168" t="s">
        <v>368</v>
      </c>
      <c r="C109" s="168" t="s">
        <v>342</v>
      </c>
      <c r="D109" s="169" t="s">
        <v>345</v>
      </c>
    </row>
    <row r="110">
      <c r="A110" s="170">
        <v>41627.0</v>
      </c>
      <c r="B110" s="168" t="s">
        <v>368</v>
      </c>
      <c r="C110" s="168" t="s">
        <v>342</v>
      </c>
      <c r="D110" s="169" t="s">
        <v>345</v>
      </c>
    </row>
    <row r="111">
      <c r="A111" s="170">
        <v>41628.0</v>
      </c>
      <c r="B111" s="168" t="s">
        <v>368</v>
      </c>
      <c r="C111" s="168" t="s">
        <v>342</v>
      </c>
      <c r="D111" s="169" t="s">
        <v>345</v>
      </c>
    </row>
    <row r="112">
      <c r="A112" s="170">
        <v>41629.0</v>
      </c>
      <c r="B112" s="168" t="s">
        <v>368</v>
      </c>
      <c r="C112" s="168" t="s">
        <v>342</v>
      </c>
      <c r="D112" s="169" t="s">
        <v>345</v>
      </c>
    </row>
    <row r="113">
      <c r="A113" s="170">
        <v>41630.0</v>
      </c>
      <c r="B113" s="168" t="s">
        <v>368</v>
      </c>
      <c r="C113" s="168" t="s">
        <v>342</v>
      </c>
      <c r="D113" s="169" t="s">
        <v>345</v>
      </c>
    </row>
    <row r="114">
      <c r="A114" s="170">
        <v>41631.0</v>
      </c>
      <c r="B114" s="168" t="s">
        <v>369</v>
      </c>
      <c r="C114" s="168" t="s">
        <v>342</v>
      </c>
      <c r="D114" s="169" t="s">
        <v>346</v>
      </c>
    </row>
    <row r="115">
      <c r="A115" s="170">
        <v>41632.0</v>
      </c>
      <c r="B115" s="168" t="s">
        <v>369</v>
      </c>
      <c r="C115" s="168" t="s">
        <v>342</v>
      </c>
      <c r="D115" s="169" t="s">
        <v>346</v>
      </c>
    </row>
    <row r="116">
      <c r="A116" s="170">
        <v>41633.0</v>
      </c>
      <c r="B116" s="168" t="s">
        <v>369</v>
      </c>
      <c r="C116" s="168" t="s">
        <v>342</v>
      </c>
      <c r="D116" s="169" t="s">
        <v>346</v>
      </c>
    </row>
    <row r="117">
      <c r="A117" s="170">
        <v>41634.0</v>
      </c>
      <c r="B117" s="168" t="s">
        <v>369</v>
      </c>
      <c r="C117" s="168" t="s">
        <v>342</v>
      </c>
      <c r="D117" s="169" t="s">
        <v>346</v>
      </c>
    </row>
    <row r="118">
      <c r="A118" s="170">
        <v>41635.0</v>
      </c>
      <c r="B118" s="168" t="s">
        <v>369</v>
      </c>
      <c r="C118" s="168" t="s">
        <v>342</v>
      </c>
      <c r="D118" s="169" t="s">
        <v>346</v>
      </c>
    </row>
    <row r="119">
      <c r="A119" s="170">
        <v>41636.0</v>
      </c>
      <c r="B119" s="168" t="s">
        <v>369</v>
      </c>
      <c r="C119" s="168" t="s">
        <v>342</v>
      </c>
      <c r="D119" s="169" t="s">
        <v>346</v>
      </c>
    </row>
    <row r="120">
      <c r="A120" s="170">
        <v>41637.0</v>
      </c>
      <c r="B120" s="168" t="s">
        <v>369</v>
      </c>
      <c r="C120" s="168" t="s">
        <v>342</v>
      </c>
      <c r="D120" s="169" t="s">
        <v>346</v>
      </c>
    </row>
    <row r="121">
      <c r="A121" s="170">
        <v>41638.0</v>
      </c>
      <c r="B121" s="168" t="s">
        <v>370</v>
      </c>
      <c r="C121" s="168" t="s">
        <v>342</v>
      </c>
      <c r="D121" s="169" t="s">
        <v>346</v>
      </c>
    </row>
    <row r="122">
      <c r="A122" s="170">
        <v>41639.0</v>
      </c>
      <c r="B122" s="168" t="s">
        <v>370</v>
      </c>
      <c r="C122" s="168" t="s">
        <v>342</v>
      </c>
      <c r="D122" s="169" t="s">
        <v>346</v>
      </c>
    </row>
    <row r="123">
      <c r="A123" s="170">
        <v>41640.0</v>
      </c>
      <c r="B123" s="168" t="s">
        <v>370</v>
      </c>
      <c r="C123" s="168" t="s">
        <v>342</v>
      </c>
      <c r="D123" s="169" t="s">
        <v>346</v>
      </c>
    </row>
    <row r="124">
      <c r="A124" s="170">
        <v>41641.0</v>
      </c>
      <c r="B124" s="168" t="s">
        <v>370</v>
      </c>
      <c r="C124" s="168" t="s">
        <v>342</v>
      </c>
      <c r="D124" s="169" t="s">
        <v>346</v>
      </c>
    </row>
    <row r="125">
      <c r="A125" s="170">
        <v>41642.0</v>
      </c>
      <c r="B125" s="168" t="s">
        <v>370</v>
      </c>
      <c r="C125" s="168" t="s">
        <v>342</v>
      </c>
      <c r="D125" s="169" t="s">
        <v>346</v>
      </c>
    </row>
    <row r="126">
      <c r="A126" s="170">
        <v>41643.0</v>
      </c>
      <c r="B126" s="168" t="s">
        <v>370</v>
      </c>
      <c r="C126" s="168" t="s">
        <v>342</v>
      </c>
      <c r="D126" s="169" t="s">
        <v>346</v>
      </c>
    </row>
    <row r="127">
      <c r="A127" s="170">
        <v>41644.0</v>
      </c>
      <c r="B127" s="168" t="s">
        <v>370</v>
      </c>
      <c r="C127" s="168" t="s">
        <v>342</v>
      </c>
      <c r="D127" s="169" t="s">
        <v>346</v>
      </c>
    </row>
    <row r="128">
      <c r="A128" s="170">
        <v>41645.0</v>
      </c>
      <c r="B128" s="168" t="s">
        <v>371</v>
      </c>
      <c r="C128" s="168" t="s">
        <v>342</v>
      </c>
      <c r="D128" s="169" t="s">
        <v>346</v>
      </c>
    </row>
    <row r="129">
      <c r="A129" s="170">
        <v>41646.0</v>
      </c>
      <c r="B129" s="168" t="s">
        <v>371</v>
      </c>
      <c r="C129" s="168" t="s">
        <v>342</v>
      </c>
      <c r="D129" s="169" t="s">
        <v>346</v>
      </c>
    </row>
    <row r="130">
      <c r="A130" s="170">
        <v>41647.0</v>
      </c>
      <c r="B130" s="168" t="s">
        <v>371</v>
      </c>
      <c r="C130" s="168" t="s">
        <v>342</v>
      </c>
      <c r="D130" s="169" t="s">
        <v>346</v>
      </c>
    </row>
    <row r="131">
      <c r="A131" s="170">
        <v>41648.0</v>
      </c>
      <c r="B131" s="168" t="s">
        <v>371</v>
      </c>
      <c r="C131" s="168" t="s">
        <v>342</v>
      </c>
      <c r="D131" s="169" t="s">
        <v>346</v>
      </c>
    </row>
    <row r="132">
      <c r="A132" s="170">
        <v>41649.0</v>
      </c>
      <c r="B132" s="168" t="s">
        <v>371</v>
      </c>
      <c r="C132" s="168" t="s">
        <v>342</v>
      </c>
      <c r="D132" s="169" t="s">
        <v>346</v>
      </c>
    </row>
    <row r="133">
      <c r="A133" s="170">
        <v>41650.0</v>
      </c>
      <c r="B133" s="168" t="s">
        <v>371</v>
      </c>
      <c r="C133" s="168" t="s">
        <v>342</v>
      </c>
      <c r="D133" s="169" t="s">
        <v>346</v>
      </c>
    </row>
    <row r="134">
      <c r="A134" s="170">
        <v>41651.0</v>
      </c>
      <c r="B134" s="168" t="s">
        <v>371</v>
      </c>
      <c r="C134" s="168" t="s">
        <v>342</v>
      </c>
      <c r="D134" s="169" t="s">
        <v>346</v>
      </c>
    </row>
    <row r="135">
      <c r="A135" s="170">
        <v>41652.0</v>
      </c>
      <c r="B135" s="168" t="s">
        <v>372</v>
      </c>
      <c r="C135" s="168" t="s">
        <v>342</v>
      </c>
      <c r="D135" s="169" t="s">
        <v>346</v>
      </c>
    </row>
    <row r="136">
      <c r="A136" s="170">
        <v>41653.0</v>
      </c>
      <c r="B136" s="168" t="s">
        <v>372</v>
      </c>
      <c r="C136" s="168" t="s">
        <v>342</v>
      </c>
      <c r="D136" s="169" t="s">
        <v>346</v>
      </c>
    </row>
    <row r="137">
      <c r="A137" s="170">
        <v>41654.0</v>
      </c>
      <c r="B137" s="168" t="s">
        <v>372</v>
      </c>
      <c r="C137" s="168" t="s">
        <v>342</v>
      </c>
      <c r="D137" s="169" t="s">
        <v>346</v>
      </c>
    </row>
    <row r="138">
      <c r="A138" s="170">
        <v>41655.0</v>
      </c>
      <c r="B138" s="168" t="s">
        <v>372</v>
      </c>
      <c r="C138" s="168" t="s">
        <v>342</v>
      </c>
      <c r="D138" s="169" t="s">
        <v>346</v>
      </c>
    </row>
    <row r="139">
      <c r="A139" s="170">
        <v>41656.0</v>
      </c>
      <c r="B139" s="168" t="s">
        <v>372</v>
      </c>
      <c r="C139" s="168" t="s">
        <v>342</v>
      </c>
      <c r="D139" s="169" t="s">
        <v>346</v>
      </c>
    </row>
    <row r="140">
      <c r="A140" s="170">
        <v>41657.0</v>
      </c>
      <c r="B140" s="168" t="s">
        <v>372</v>
      </c>
      <c r="C140" s="168" t="s">
        <v>342</v>
      </c>
      <c r="D140" s="169" t="s">
        <v>346</v>
      </c>
    </row>
    <row r="141">
      <c r="A141" s="170">
        <v>41658.0</v>
      </c>
      <c r="B141" s="168" t="s">
        <v>372</v>
      </c>
      <c r="C141" s="168" t="s">
        <v>342</v>
      </c>
      <c r="D141" s="169" t="s">
        <v>346</v>
      </c>
    </row>
    <row r="142">
      <c r="A142" s="170">
        <v>41659.0</v>
      </c>
      <c r="B142" s="168" t="s">
        <v>373</v>
      </c>
      <c r="C142" s="168" t="s">
        <v>342</v>
      </c>
      <c r="D142" s="169" t="s">
        <v>347</v>
      </c>
    </row>
    <row r="143">
      <c r="A143" s="170">
        <v>41660.0</v>
      </c>
      <c r="B143" s="168" t="s">
        <v>373</v>
      </c>
      <c r="C143" s="168" t="s">
        <v>342</v>
      </c>
      <c r="D143" s="169" t="s">
        <v>347</v>
      </c>
    </row>
    <row r="144">
      <c r="A144" s="170">
        <v>41661.0</v>
      </c>
      <c r="B144" s="168" t="s">
        <v>373</v>
      </c>
      <c r="C144" s="168" t="s">
        <v>342</v>
      </c>
      <c r="D144" s="169" t="s">
        <v>347</v>
      </c>
    </row>
    <row r="145">
      <c r="A145" s="170">
        <v>41662.0</v>
      </c>
      <c r="B145" s="168" t="s">
        <v>373</v>
      </c>
      <c r="C145" s="168" t="s">
        <v>342</v>
      </c>
      <c r="D145" s="169" t="s">
        <v>347</v>
      </c>
    </row>
    <row r="146">
      <c r="A146" s="170">
        <v>41663.0</v>
      </c>
      <c r="B146" s="168" t="s">
        <v>373</v>
      </c>
      <c r="C146" s="168" t="s">
        <v>342</v>
      </c>
      <c r="D146" s="169" t="s">
        <v>347</v>
      </c>
    </row>
    <row r="147">
      <c r="A147" s="170">
        <v>41664.0</v>
      </c>
      <c r="B147" s="168" t="s">
        <v>373</v>
      </c>
      <c r="C147" s="168" t="s">
        <v>342</v>
      </c>
      <c r="D147" s="169" t="s">
        <v>347</v>
      </c>
    </row>
    <row r="148">
      <c r="A148" s="170">
        <v>41665.0</v>
      </c>
      <c r="B148" s="168" t="s">
        <v>373</v>
      </c>
      <c r="C148" s="168" t="s">
        <v>342</v>
      </c>
      <c r="D148" s="169" t="s">
        <v>347</v>
      </c>
    </row>
    <row r="149">
      <c r="A149" s="170">
        <v>41666.0</v>
      </c>
      <c r="B149" s="168" t="s">
        <v>374</v>
      </c>
      <c r="C149" s="168" t="s">
        <v>342</v>
      </c>
      <c r="D149" s="169" t="s">
        <v>347</v>
      </c>
    </row>
    <row r="150">
      <c r="A150" s="170">
        <v>41667.0</v>
      </c>
      <c r="B150" s="168" t="s">
        <v>374</v>
      </c>
      <c r="C150" s="168" t="s">
        <v>342</v>
      </c>
      <c r="D150" s="169" t="s">
        <v>347</v>
      </c>
    </row>
    <row r="151">
      <c r="A151" s="170">
        <v>41668.0</v>
      </c>
      <c r="B151" s="168" t="s">
        <v>374</v>
      </c>
      <c r="C151" s="168" t="s">
        <v>342</v>
      </c>
      <c r="D151" s="169" t="s">
        <v>347</v>
      </c>
    </row>
    <row r="152">
      <c r="A152" s="170">
        <v>41669.0</v>
      </c>
      <c r="B152" s="168" t="s">
        <v>374</v>
      </c>
      <c r="C152" s="168" t="s">
        <v>342</v>
      </c>
      <c r="D152" s="169" t="s">
        <v>347</v>
      </c>
    </row>
    <row r="153">
      <c r="A153" s="170">
        <v>41670.0</v>
      </c>
      <c r="B153" s="168" t="s">
        <v>374</v>
      </c>
      <c r="C153" s="168" t="s">
        <v>342</v>
      </c>
      <c r="D153" s="169" t="s">
        <v>347</v>
      </c>
    </row>
    <row r="154">
      <c r="A154" s="170">
        <v>41671.0</v>
      </c>
      <c r="B154" s="168" t="s">
        <v>374</v>
      </c>
      <c r="C154" s="168" t="s">
        <v>342</v>
      </c>
      <c r="D154" s="169" t="s">
        <v>347</v>
      </c>
    </row>
    <row r="155">
      <c r="A155" s="170">
        <v>41672.0</v>
      </c>
      <c r="B155" s="168" t="s">
        <v>374</v>
      </c>
      <c r="C155" s="168" t="s">
        <v>342</v>
      </c>
      <c r="D155" s="169" t="s">
        <v>347</v>
      </c>
    </row>
    <row r="156">
      <c r="A156" s="170">
        <v>41673.0</v>
      </c>
      <c r="B156" s="168" t="s">
        <v>375</v>
      </c>
      <c r="C156" s="168" t="s">
        <v>342</v>
      </c>
      <c r="D156" s="169" t="s">
        <v>347</v>
      </c>
    </row>
    <row r="157">
      <c r="A157" s="170">
        <v>41674.0</v>
      </c>
      <c r="B157" s="168" t="s">
        <v>375</v>
      </c>
      <c r="C157" s="168" t="s">
        <v>342</v>
      </c>
      <c r="D157" s="169" t="s">
        <v>347</v>
      </c>
    </row>
    <row r="158">
      <c r="A158" s="170">
        <v>41675.0</v>
      </c>
      <c r="B158" s="168" t="s">
        <v>375</v>
      </c>
      <c r="C158" s="168" t="s">
        <v>342</v>
      </c>
      <c r="D158" s="169" t="s">
        <v>347</v>
      </c>
    </row>
    <row r="159">
      <c r="A159" s="170">
        <v>41676.0</v>
      </c>
      <c r="B159" s="168" t="s">
        <v>375</v>
      </c>
      <c r="C159" s="168" t="s">
        <v>342</v>
      </c>
      <c r="D159" s="169" t="s">
        <v>347</v>
      </c>
    </row>
    <row r="160">
      <c r="A160" s="170">
        <v>41677.0</v>
      </c>
      <c r="B160" s="168" t="s">
        <v>375</v>
      </c>
      <c r="C160" s="168" t="s">
        <v>342</v>
      </c>
      <c r="D160" s="169" t="s">
        <v>347</v>
      </c>
    </row>
    <row r="161">
      <c r="A161" s="170">
        <v>41678.0</v>
      </c>
      <c r="B161" s="168" t="s">
        <v>375</v>
      </c>
      <c r="C161" s="168" t="s">
        <v>342</v>
      </c>
      <c r="D161" s="169" t="s">
        <v>347</v>
      </c>
    </row>
    <row r="162">
      <c r="A162" s="170">
        <v>41679.0</v>
      </c>
      <c r="B162" s="168" t="s">
        <v>375</v>
      </c>
      <c r="C162" s="168" t="s">
        <v>342</v>
      </c>
      <c r="D162" s="169" t="s">
        <v>347</v>
      </c>
    </row>
    <row r="163">
      <c r="A163" s="170">
        <v>41680.0</v>
      </c>
      <c r="B163" s="168" t="s">
        <v>376</v>
      </c>
      <c r="C163" s="168" t="s">
        <v>342</v>
      </c>
      <c r="D163" s="169" t="s">
        <v>347</v>
      </c>
    </row>
    <row r="164">
      <c r="A164" s="170">
        <v>41681.0</v>
      </c>
      <c r="B164" s="168" t="s">
        <v>376</v>
      </c>
      <c r="C164" s="168" t="s">
        <v>342</v>
      </c>
      <c r="D164" s="169" t="s">
        <v>347</v>
      </c>
    </row>
    <row r="165">
      <c r="A165" s="170">
        <v>41682.0</v>
      </c>
      <c r="B165" s="168" t="s">
        <v>376</v>
      </c>
      <c r="C165" s="168" t="s">
        <v>342</v>
      </c>
      <c r="D165" s="169" t="s">
        <v>347</v>
      </c>
    </row>
    <row r="166">
      <c r="A166" s="170">
        <v>41683.0</v>
      </c>
      <c r="B166" s="168" t="s">
        <v>376</v>
      </c>
      <c r="C166" s="168" t="s">
        <v>342</v>
      </c>
      <c r="D166" s="169" t="s">
        <v>347</v>
      </c>
    </row>
    <row r="167">
      <c r="A167" s="170">
        <v>41684.0</v>
      </c>
      <c r="B167" s="168" t="s">
        <v>376</v>
      </c>
      <c r="C167" s="168" t="s">
        <v>342</v>
      </c>
      <c r="D167" s="169" t="s">
        <v>347</v>
      </c>
    </row>
    <row r="168">
      <c r="A168" s="170">
        <v>41685.0</v>
      </c>
      <c r="B168" s="168" t="s">
        <v>376</v>
      </c>
      <c r="C168" s="168" t="s">
        <v>342</v>
      </c>
      <c r="D168" s="169" t="s">
        <v>347</v>
      </c>
    </row>
    <row r="169">
      <c r="A169" s="170">
        <v>41686.0</v>
      </c>
      <c r="B169" s="168" t="s">
        <v>376</v>
      </c>
      <c r="C169" s="168" t="s">
        <v>342</v>
      </c>
      <c r="D169" s="169" t="s">
        <v>347</v>
      </c>
    </row>
    <row r="170">
      <c r="A170" s="170">
        <v>41687.0</v>
      </c>
      <c r="B170" s="168" t="s">
        <v>377</v>
      </c>
      <c r="C170" s="168" t="s">
        <v>342</v>
      </c>
      <c r="D170" s="169" t="s">
        <v>348</v>
      </c>
    </row>
    <row r="171">
      <c r="A171" s="170">
        <v>41688.0</v>
      </c>
      <c r="B171" s="168" t="s">
        <v>377</v>
      </c>
      <c r="C171" s="168" t="s">
        <v>342</v>
      </c>
      <c r="D171" s="169" t="s">
        <v>348</v>
      </c>
    </row>
    <row r="172">
      <c r="A172" s="170">
        <v>41689.0</v>
      </c>
      <c r="B172" s="168" t="s">
        <v>377</v>
      </c>
      <c r="C172" s="168" t="s">
        <v>342</v>
      </c>
      <c r="D172" s="169" t="s">
        <v>348</v>
      </c>
    </row>
    <row r="173">
      <c r="A173" s="170">
        <v>41690.0</v>
      </c>
      <c r="B173" s="168" t="s">
        <v>377</v>
      </c>
      <c r="C173" s="168" t="s">
        <v>342</v>
      </c>
      <c r="D173" s="169" t="s">
        <v>348</v>
      </c>
    </row>
    <row r="174">
      <c r="A174" s="170">
        <v>41691.0</v>
      </c>
      <c r="B174" s="168" t="s">
        <v>377</v>
      </c>
      <c r="C174" s="168" t="s">
        <v>342</v>
      </c>
      <c r="D174" s="169" t="s">
        <v>348</v>
      </c>
    </row>
    <row r="175">
      <c r="A175" s="170">
        <v>41692.0</v>
      </c>
      <c r="B175" s="168" t="s">
        <v>377</v>
      </c>
      <c r="C175" s="168" t="s">
        <v>342</v>
      </c>
      <c r="D175" s="169" t="s">
        <v>348</v>
      </c>
    </row>
    <row r="176">
      <c r="A176" s="170">
        <v>41693.0</v>
      </c>
      <c r="B176" s="168" t="s">
        <v>377</v>
      </c>
      <c r="C176" s="168" t="s">
        <v>342</v>
      </c>
      <c r="D176" s="169" t="s">
        <v>348</v>
      </c>
    </row>
    <row r="177">
      <c r="A177" s="170">
        <v>41694.0</v>
      </c>
      <c r="B177" s="168" t="s">
        <v>378</v>
      </c>
      <c r="C177" s="168" t="s">
        <v>342</v>
      </c>
      <c r="D177" s="169" t="s">
        <v>348</v>
      </c>
    </row>
    <row r="178">
      <c r="A178" s="170">
        <v>41695.0</v>
      </c>
      <c r="B178" s="168" t="s">
        <v>378</v>
      </c>
      <c r="C178" s="168" t="s">
        <v>342</v>
      </c>
      <c r="D178" s="169" t="s">
        <v>348</v>
      </c>
    </row>
    <row r="179">
      <c r="A179" s="170">
        <v>41696.0</v>
      </c>
      <c r="B179" s="168" t="s">
        <v>378</v>
      </c>
      <c r="C179" s="168" t="s">
        <v>342</v>
      </c>
      <c r="D179" s="169" t="s">
        <v>348</v>
      </c>
    </row>
    <row r="180">
      <c r="A180" s="170">
        <v>41697.0</v>
      </c>
      <c r="B180" s="168" t="s">
        <v>378</v>
      </c>
      <c r="C180" s="168" t="s">
        <v>342</v>
      </c>
      <c r="D180" s="169" t="s">
        <v>348</v>
      </c>
    </row>
    <row r="181">
      <c r="A181" s="170">
        <v>41698.0</v>
      </c>
      <c r="B181" s="168" t="s">
        <v>378</v>
      </c>
      <c r="C181" s="168" t="s">
        <v>342</v>
      </c>
      <c r="D181" s="169" t="s">
        <v>348</v>
      </c>
    </row>
    <row r="182">
      <c r="A182" s="170">
        <v>41699.0</v>
      </c>
      <c r="B182" s="168" t="s">
        <v>378</v>
      </c>
      <c r="C182" s="168" t="s">
        <v>342</v>
      </c>
      <c r="D182" s="169" t="s">
        <v>348</v>
      </c>
    </row>
    <row r="183">
      <c r="A183" s="170">
        <v>41700.0</v>
      </c>
      <c r="B183" s="168" t="s">
        <v>378</v>
      </c>
      <c r="C183" s="168" t="s">
        <v>342</v>
      </c>
      <c r="D183" s="169" t="s">
        <v>348</v>
      </c>
    </row>
    <row r="184">
      <c r="A184" s="170">
        <v>41701.0</v>
      </c>
      <c r="B184" s="168" t="s">
        <v>379</v>
      </c>
      <c r="C184" s="168" t="s">
        <v>342</v>
      </c>
      <c r="D184" s="169" t="s">
        <v>348</v>
      </c>
    </row>
    <row r="185">
      <c r="A185" s="170">
        <v>41702.0</v>
      </c>
      <c r="B185" s="168" t="s">
        <v>379</v>
      </c>
      <c r="C185" s="168" t="s">
        <v>342</v>
      </c>
      <c r="D185" s="169" t="s">
        <v>348</v>
      </c>
    </row>
    <row r="186">
      <c r="A186" s="170">
        <v>41703.0</v>
      </c>
      <c r="B186" s="168" t="s">
        <v>379</v>
      </c>
      <c r="C186" s="168" t="s">
        <v>342</v>
      </c>
      <c r="D186" s="169" t="s">
        <v>348</v>
      </c>
    </row>
    <row r="187">
      <c r="A187" s="170">
        <v>41704.0</v>
      </c>
      <c r="B187" s="168" t="s">
        <v>379</v>
      </c>
      <c r="C187" s="168" t="s">
        <v>342</v>
      </c>
      <c r="D187" s="169" t="s">
        <v>348</v>
      </c>
    </row>
    <row r="188">
      <c r="A188" s="170">
        <v>41705.0</v>
      </c>
      <c r="B188" s="168" t="s">
        <v>379</v>
      </c>
      <c r="C188" s="168" t="s">
        <v>342</v>
      </c>
      <c r="D188" s="169" t="s">
        <v>348</v>
      </c>
    </row>
    <row r="189">
      <c r="A189" s="170">
        <v>41706.0</v>
      </c>
      <c r="B189" s="168" t="s">
        <v>379</v>
      </c>
      <c r="C189" s="168" t="s">
        <v>342</v>
      </c>
      <c r="D189" s="169" t="s">
        <v>348</v>
      </c>
    </row>
    <row r="190">
      <c r="A190" s="170">
        <v>41707.0</v>
      </c>
      <c r="B190" s="168" t="s">
        <v>379</v>
      </c>
      <c r="C190" s="168" t="s">
        <v>342</v>
      </c>
      <c r="D190" s="169" t="s">
        <v>348</v>
      </c>
    </row>
    <row r="191">
      <c r="A191" s="170">
        <v>41708.0</v>
      </c>
      <c r="B191" s="168" t="s">
        <v>380</v>
      </c>
      <c r="C191" s="168" t="s">
        <v>342</v>
      </c>
      <c r="D191" s="169" t="s">
        <v>348</v>
      </c>
    </row>
    <row r="192">
      <c r="A192" s="170">
        <v>41709.0</v>
      </c>
      <c r="B192" s="168" t="s">
        <v>380</v>
      </c>
      <c r="C192" s="168" t="s">
        <v>342</v>
      </c>
      <c r="D192" s="169" t="s">
        <v>348</v>
      </c>
    </row>
    <row r="193">
      <c r="A193" s="170">
        <v>41710.0</v>
      </c>
      <c r="B193" s="168" t="s">
        <v>380</v>
      </c>
      <c r="C193" s="168" t="s">
        <v>342</v>
      </c>
      <c r="D193" s="169" t="s">
        <v>348</v>
      </c>
    </row>
    <row r="194">
      <c r="A194" s="170">
        <v>41711.0</v>
      </c>
      <c r="B194" s="168" t="s">
        <v>380</v>
      </c>
      <c r="C194" s="168" t="s">
        <v>342</v>
      </c>
      <c r="D194" s="169" t="s">
        <v>348</v>
      </c>
    </row>
    <row r="195">
      <c r="A195" s="170">
        <v>41712.0</v>
      </c>
      <c r="B195" s="168" t="s">
        <v>380</v>
      </c>
      <c r="C195" s="168" t="s">
        <v>342</v>
      </c>
      <c r="D195" s="169" t="s">
        <v>348</v>
      </c>
    </row>
    <row r="196">
      <c r="A196" s="170">
        <v>41713.0</v>
      </c>
      <c r="B196" s="168" t="s">
        <v>380</v>
      </c>
      <c r="C196" s="168" t="s">
        <v>342</v>
      </c>
      <c r="D196" s="169" t="s">
        <v>348</v>
      </c>
    </row>
    <row r="197">
      <c r="A197" s="170">
        <v>41714.0</v>
      </c>
      <c r="B197" s="168" t="s">
        <v>380</v>
      </c>
      <c r="C197" s="168" t="s">
        <v>342</v>
      </c>
      <c r="D197" s="169" t="s">
        <v>348</v>
      </c>
    </row>
    <row r="198">
      <c r="A198" s="170">
        <v>41715.0</v>
      </c>
      <c r="B198" s="168" t="s">
        <v>381</v>
      </c>
      <c r="C198" s="168" t="s">
        <v>342</v>
      </c>
      <c r="D198" s="169" t="s">
        <v>349</v>
      </c>
    </row>
    <row r="199">
      <c r="A199" s="170">
        <v>41716.0</v>
      </c>
      <c r="B199" s="168" t="s">
        <v>381</v>
      </c>
      <c r="C199" s="168" t="s">
        <v>342</v>
      </c>
      <c r="D199" s="169" t="s">
        <v>349</v>
      </c>
    </row>
    <row r="200">
      <c r="A200" s="170">
        <v>41717.0</v>
      </c>
      <c r="B200" s="168" t="s">
        <v>381</v>
      </c>
      <c r="C200" s="168" t="s">
        <v>342</v>
      </c>
      <c r="D200" s="169" t="s">
        <v>349</v>
      </c>
    </row>
    <row r="201">
      <c r="A201" s="170">
        <v>41718.0</v>
      </c>
      <c r="B201" s="168" t="s">
        <v>381</v>
      </c>
      <c r="C201" s="168" t="s">
        <v>342</v>
      </c>
      <c r="D201" s="169" t="s">
        <v>349</v>
      </c>
    </row>
    <row r="202">
      <c r="A202" s="170">
        <v>41719.0</v>
      </c>
      <c r="B202" s="168" t="s">
        <v>381</v>
      </c>
      <c r="C202" s="168" t="s">
        <v>342</v>
      </c>
      <c r="D202" s="169" t="s">
        <v>349</v>
      </c>
    </row>
    <row r="203">
      <c r="A203" s="170">
        <v>41720.0</v>
      </c>
      <c r="B203" s="168" t="s">
        <v>381</v>
      </c>
      <c r="C203" s="168" t="s">
        <v>342</v>
      </c>
      <c r="D203" s="169" t="s">
        <v>349</v>
      </c>
    </row>
    <row r="204">
      <c r="A204" s="170">
        <v>41721.0</v>
      </c>
      <c r="B204" s="168" t="s">
        <v>381</v>
      </c>
      <c r="C204" s="168" t="s">
        <v>342</v>
      </c>
      <c r="D204" s="169" t="s">
        <v>349</v>
      </c>
    </row>
    <row r="205">
      <c r="A205" s="170">
        <v>41722.0</v>
      </c>
      <c r="B205" s="168" t="s">
        <v>382</v>
      </c>
      <c r="C205" s="168" t="s">
        <v>342</v>
      </c>
      <c r="D205" s="169" t="s">
        <v>349</v>
      </c>
    </row>
    <row r="206">
      <c r="A206" s="170">
        <v>41723.0</v>
      </c>
      <c r="B206" s="168" t="s">
        <v>382</v>
      </c>
      <c r="C206" s="168" t="s">
        <v>342</v>
      </c>
      <c r="D206" s="169" t="s">
        <v>349</v>
      </c>
    </row>
    <row r="207">
      <c r="A207" s="170">
        <v>41724.0</v>
      </c>
      <c r="B207" s="168" t="s">
        <v>382</v>
      </c>
      <c r="C207" s="168" t="s">
        <v>342</v>
      </c>
      <c r="D207" s="169" t="s">
        <v>349</v>
      </c>
    </row>
    <row r="208">
      <c r="A208" s="170">
        <v>41725.0</v>
      </c>
      <c r="B208" s="168" t="s">
        <v>382</v>
      </c>
      <c r="C208" s="168" t="s">
        <v>342</v>
      </c>
      <c r="D208" s="169" t="s">
        <v>349</v>
      </c>
    </row>
    <row r="209">
      <c r="A209" s="170">
        <v>41726.0</v>
      </c>
      <c r="B209" s="168" t="s">
        <v>382</v>
      </c>
      <c r="C209" s="168" t="s">
        <v>342</v>
      </c>
      <c r="D209" s="169" t="s">
        <v>349</v>
      </c>
    </row>
    <row r="210">
      <c r="A210" s="170">
        <v>41727.0</v>
      </c>
      <c r="B210" s="168" t="s">
        <v>382</v>
      </c>
      <c r="C210" s="168" t="s">
        <v>342</v>
      </c>
      <c r="D210" s="169" t="s">
        <v>349</v>
      </c>
    </row>
    <row r="211">
      <c r="A211" s="170">
        <v>41728.0</v>
      </c>
      <c r="B211" s="168" t="s">
        <v>382</v>
      </c>
      <c r="C211" s="168" t="s">
        <v>342</v>
      </c>
      <c r="D211" s="169" t="s">
        <v>349</v>
      </c>
    </row>
    <row r="212">
      <c r="A212" s="170">
        <v>41729.0</v>
      </c>
      <c r="B212" s="168" t="s">
        <v>383</v>
      </c>
      <c r="C212" s="168" t="s">
        <v>342</v>
      </c>
      <c r="D212" s="169" t="s">
        <v>349</v>
      </c>
    </row>
    <row r="213">
      <c r="A213" s="170">
        <v>41730.0</v>
      </c>
      <c r="B213" s="168" t="s">
        <v>383</v>
      </c>
      <c r="C213" s="168" t="s">
        <v>342</v>
      </c>
      <c r="D213" s="169" t="s">
        <v>349</v>
      </c>
    </row>
    <row r="214">
      <c r="A214" s="170">
        <v>41731.0</v>
      </c>
      <c r="B214" s="168" t="s">
        <v>383</v>
      </c>
      <c r="C214" s="168" t="s">
        <v>342</v>
      </c>
      <c r="D214" s="169" t="s">
        <v>349</v>
      </c>
    </row>
    <row r="215">
      <c r="A215" s="170">
        <v>41732.0</v>
      </c>
      <c r="B215" s="168" t="s">
        <v>383</v>
      </c>
      <c r="C215" s="168" t="s">
        <v>342</v>
      </c>
      <c r="D215" s="169" t="s">
        <v>349</v>
      </c>
    </row>
    <row r="216">
      <c r="A216" s="170">
        <v>41733.0</v>
      </c>
      <c r="B216" s="168" t="s">
        <v>383</v>
      </c>
      <c r="C216" s="168" t="s">
        <v>342</v>
      </c>
      <c r="D216" s="169" t="s">
        <v>349</v>
      </c>
    </row>
    <row r="217">
      <c r="A217" s="170">
        <v>41734.0</v>
      </c>
      <c r="B217" s="168" t="s">
        <v>383</v>
      </c>
      <c r="C217" s="168" t="s">
        <v>342</v>
      </c>
      <c r="D217" s="169" t="s">
        <v>349</v>
      </c>
    </row>
    <row r="218">
      <c r="A218" s="170">
        <v>41735.0</v>
      </c>
      <c r="B218" s="168" t="s">
        <v>383</v>
      </c>
      <c r="C218" s="168" t="s">
        <v>342</v>
      </c>
      <c r="D218" s="169" t="s">
        <v>349</v>
      </c>
    </row>
    <row r="219">
      <c r="A219" s="170">
        <v>41736.0</v>
      </c>
      <c r="B219" s="168" t="s">
        <v>384</v>
      </c>
      <c r="C219" s="168" t="s">
        <v>342</v>
      </c>
      <c r="D219" s="169" t="s">
        <v>349</v>
      </c>
    </row>
    <row r="220">
      <c r="A220" s="170">
        <v>41737.0</v>
      </c>
      <c r="B220" s="168" t="s">
        <v>384</v>
      </c>
      <c r="C220" s="168" t="s">
        <v>342</v>
      </c>
      <c r="D220" s="169" t="s">
        <v>349</v>
      </c>
    </row>
    <row r="221">
      <c r="A221" s="170">
        <v>41738.0</v>
      </c>
      <c r="B221" s="168" t="s">
        <v>384</v>
      </c>
      <c r="C221" s="168" t="s">
        <v>342</v>
      </c>
      <c r="D221" s="169" t="s">
        <v>349</v>
      </c>
    </row>
    <row r="222">
      <c r="A222" s="170">
        <v>41739.0</v>
      </c>
      <c r="B222" s="168" t="s">
        <v>384</v>
      </c>
      <c r="C222" s="168" t="s">
        <v>342</v>
      </c>
      <c r="D222" s="169" t="s">
        <v>349</v>
      </c>
    </row>
    <row r="223">
      <c r="A223" s="170">
        <v>41740.0</v>
      </c>
      <c r="B223" s="168" t="s">
        <v>384</v>
      </c>
      <c r="C223" s="168" t="s">
        <v>342</v>
      </c>
      <c r="D223" s="169" t="s">
        <v>349</v>
      </c>
    </row>
    <row r="224">
      <c r="A224" s="170">
        <v>41741.0</v>
      </c>
      <c r="B224" s="168" t="s">
        <v>384</v>
      </c>
      <c r="C224" s="168" t="s">
        <v>342</v>
      </c>
      <c r="D224" s="169" t="s">
        <v>349</v>
      </c>
    </row>
    <row r="225">
      <c r="A225" s="170">
        <v>41742.0</v>
      </c>
      <c r="B225" s="168" t="s">
        <v>384</v>
      </c>
      <c r="C225" s="168" t="s">
        <v>342</v>
      </c>
      <c r="D225" s="169" t="s">
        <v>349</v>
      </c>
    </row>
    <row r="226">
      <c r="A226" s="170">
        <v>41743.0</v>
      </c>
      <c r="B226" s="168" t="s">
        <v>385</v>
      </c>
      <c r="C226" s="168" t="s">
        <v>342</v>
      </c>
      <c r="D226" s="169" t="s">
        <v>351</v>
      </c>
    </row>
    <row r="227">
      <c r="A227" s="170">
        <v>41744.0</v>
      </c>
      <c r="B227" s="168" t="s">
        <v>385</v>
      </c>
      <c r="C227" s="168" t="s">
        <v>342</v>
      </c>
      <c r="D227" s="169" t="s">
        <v>351</v>
      </c>
    </row>
    <row r="228">
      <c r="A228" s="170">
        <v>41745.0</v>
      </c>
      <c r="B228" s="168" t="s">
        <v>385</v>
      </c>
      <c r="C228" s="168" t="s">
        <v>342</v>
      </c>
      <c r="D228" s="169" t="s">
        <v>351</v>
      </c>
    </row>
    <row r="229">
      <c r="A229" s="170">
        <v>41746.0</v>
      </c>
      <c r="B229" s="168" t="s">
        <v>385</v>
      </c>
      <c r="C229" s="168" t="s">
        <v>342</v>
      </c>
      <c r="D229" s="169" t="s">
        <v>351</v>
      </c>
    </row>
    <row r="230">
      <c r="A230" s="170">
        <v>41747.0</v>
      </c>
      <c r="B230" s="168" t="s">
        <v>385</v>
      </c>
      <c r="C230" s="168" t="s">
        <v>342</v>
      </c>
      <c r="D230" s="169" t="s">
        <v>351</v>
      </c>
    </row>
    <row r="231">
      <c r="A231" s="170">
        <v>41748.0</v>
      </c>
      <c r="B231" s="168" t="s">
        <v>385</v>
      </c>
      <c r="C231" s="168" t="s">
        <v>342</v>
      </c>
      <c r="D231" s="169" t="s">
        <v>351</v>
      </c>
    </row>
    <row r="232">
      <c r="A232" s="170">
        <v>41749.0</v>
      </c>
      <c r="B232" s="168" t="s">
        <v>385</v>
      </c>
      <c r="C232" s="168" t="s">
        <v>342</v>
      </c>
      <c r="D232" s="169" t="s">
        <v>351</v>
      </c>
    </row>
    <row r="233">
      <c r="A233" s="170">
        <v>41750.0</v>
      </c>
      <c r="B233" s="168" t="s">
        <v>386</v>
      </c>
      <c r="C233" s="168" t="s">
        <v>342</v>
      </c>
      <c r="D233" s="169" t="s">
        <v>351</v>
      </c>
    </row>
    <row r="234">
      <c r="A234" s="170">
        <v>41751.0</v>
      </c>
      <c r="B234" s="168" t="s">
        <v>386</v>
      </c>
      <c r="C234" s="168" t="s">
        <v>342</v>
      </c>
      <c r="D234" s="169" t="s">
        <v>351</v>
      </c>
    </row>
    <row r="235">
      <c r="A235" s="170">
        <v>41752.0</v>
      </c>
      <c r="B235" s="168" t="s">
        <v>386</v>
      </c>
      <c r="C235" s="168" t="s">
        <v>342</v>
      </c>
      <c r="D235" s="169" t="s">
        <v>351</v>
      </c>
    </row>
    <row r="236">
      <c r="A236" s="170">
        <v>41753.0</v>
      </c>
      <c r="B236" s="168" t="s">
        <v>386</v>
      </c>
      <c r="C236" s="168" t="s">
        <v>342</v>
      </c>
      <c r="D236" s="169" t="s">
        <v>351</v>
      </c>
    </row>
    <row r="237">
      <c r="A237" s="170">
        <v>41754.0</v>
      </c>
      <c r="B237" s="168" t="s">
        <v>386</v>
      </c>
      <c r="C237" s="168" t="s">
        <v>342</v>
      </c>
      <c r="D237" s="169" t="s">
        <v>351</v>
      </c>
    </row>
    <row r="238">
      <c r="A238" s="170">
        <v>41755.0</v>
      </c>
      <c r="B238" s="168" t="s">
        <v>386</v>
      </c>
      <c r="C238" s="168" t="s">
        <v>342</v>
      </c>
      <c r="D238" s="169" t="s">
        <v>351</v>
      </c>
    </row>
    <row r="239">
      <c r="A239" s="170">
        <v>41756.0</v>
      </c>
      <c r="B239" s="168" t="s">
        <v>386</v>
      </c>
      <c r="C239" s="168" t="s">
        <v>342</v>
      </c>
      <c r="D239" s="169" t="s">
        <v>351</v>
      </c>
    </row>
    <row r="240">
      <c r="A240" s="170">
        <v>41757.0</v>
      </c>
      <c r="B240" s="168" t="s">
        <v>387</v>
      </c>
      <c r="C240" s="168" t="s">
        <v>342</v>
      </c>
      <c r="D240" s="169" t="s">
        <v>351</v>
      </c>
    </row>
    <row r="241">
      <c r="A241" s="170">
        <v>41758.0</v>
      </c>
      <c r="B241" s="168" t="s">
        <v>387</v>
      </c>
      <c r="C241" s="168" t="s">
        <v>342</v>
      </c>
      <c r="D241" s="169" t="s">
        <v>351</v>
      </c>
    </row>
    <row r="242">
      <c r="A242" s="170">
        <v>41759.0</v>
      </c>
      <c r="B242" s="168" t="s">
        <v>387</v>
      </c>
      <c r="C242" s="168" t="s">
        <v>342</v>
      </c>
      <c r="D242" s="169" t="s">
        <v>351</v>
      </c>
    </row>
    <row r="243">
      <c r="A243" s="170">
        <v>41760.0</v>
      </c>
      <c r="B243" s="168" t="s">
        <v>387</v>
      </c>
      <c r="C243" s="168" t="s">
        <v>342</v>
      </c>
      <c r="D243" s="169" t="s">
        <v>351</v>
      </c>
    </row>
    <row r="244">
      <c r="A244" s="170">
        <v>41761.0</v>
      </c>
      <c r="B244" s="168" t="s">
        <v>387</v>
      </c>
      <c r="C244" s="168" t="s">
        <v>342</v>
      </c>
      <c r="D244" s="169" t="s">
        <v>351</v>
      </c>
    </row>
    <row r="245">
      <c r="A245" s="170">
        <v>41762.0</v>
      </c>
      <c r="B245" s="168" t="s">
        <v>387</v>
      </c>
      <c r="C245" s="168" t="s">
        <v>342</v>
      </c>
      <c r="D245" s="169" t="s">
        <v>351</v>
      </c>
    </row>
    <row r="246">
      <c r="A246" s="170">
        <v>41763.0</v>
      </c>
      <c r="B246" s="168" t="s">
        <v>387</v>
      </c>
      <c r="C246" s="168" t="s">
        <v>342</v>
      </c>
      <c r="D246" s="169" t="s">
        <v>351</v>
      </c>
    </row>
    <row r="247">
      <c r="A247" s="170">
        <v>41764.0</v>
      </c>
      <c r="B247" s="168" t="s">
        <v>388</v>
      </c>
      <c r="C247" s="168" t="s">
        <v>342</v>
      </c>
      <c r="D247" s="169" t="s">
        <v>351</v>
      </c>
    </row>
    <row r="248">
      <c r="A248" s="170">
        <v>41765.0</v>
      </c>
      <c r="B248" s="168" t="s">
        <v>388</v>
      </c>
      <c r="C248" s="168" t="s">
        <v>342</v>
      </c>
      <c r="D248" s="169" t="s">
        <v>351</v>
      </c>
    </row>
    <row r="249">
      <c r="A249" s="170">
        <v>41766.0</v>
      </c>
      <c r="B249" s="168" t="s">
        <v>388</v>
      </c>
      <c r="C249" s="168" t="s">
        <v>342</v>
      </c>
      <c r="D249" s="169" t="s">
        <v>351</v>
      </c>
    </row>
    <row r="250">
      <c r="A250" s="170">
        <v>41767.0</v>
      </c>
      <c r="B250" s="168" t="s">
        <v>388</v>
      </c>
      <c r="C250" s="168" t="s">
        <v>342</v>
      </c>
      <c r="D250" s="169" t="s">
        <v>351</v>
      </c>
    </row>
    <row r="251">
      <c r="A251" s="170">
        <v>41768.0</v>
      </c>
      <c r="B251" s="168" t="s">
        <v>388</v>
      </c>
      <c r="C251" s="168" t="s">
        <v>342</v>
      </c>
      <c r="D251" s="169" t="s">
        <v>351</v>
      </c>
    </row>
    <row r="252">
      <c r="A252" s="170">
        <v>41769.0</v>
      </c>
      <c r="B252" s="168" t="s">
        <v>388</v>
      </c>
      <c r="C252" s="168" t="s">
        <v>342</v>
      </c>
      <c r="D252" s="169" t="s">
        <v>351</v>
      </c>
    </row>
    <row r="253">
      <c r="A253" s="170">
        <v>41770.0</v>
      </c>
      <c r="B253" s="168" t="s">
        <v>388</v>
      </c>
      <c r="C253" s="168" t="s">
        <v>342</v>
      </c>
      <c r="D253" s="169" t="s">
        <v>351</v>
      </c>
    </row>
    <row r="254">
      <c r="A254" s="170">
        <v>41771.0</v>
      </c>
      <c r="B254" s="168" t="s">
        <v>389</v>
      </c>
      <c r="C254" s="168" t="s">
        <v>342</v>
      </c>
      <c r="D254" s="169" t="s">
        <v>352</v>
      </c>
    </row>
    <row r="255">
      <c r="A255" s="170">
        <v>41772.0</v>
      </c>
      <c r="B255" s="168" t="s">
        <v>389</v>
      </c>
      <c r="C255" s="168" t="s">
        <v>342</v>
      </c>
      <c r="D255" s="169" t="s">
        <v>352</v>
      </c>
    </row>
    <row r="256">
      <c r="A256" s="170">
        <v>41773.0</v>
      </c>
      <c r="B256" s="168" t="s">
        <v>389</v>
      </c>
      <c r="C256" s="168" t="s">
        <v>342</v>
      </c>
      <c r="D256" s="169" t="s">
        <v>352</v>
      </c>
    </row>
    <row r="257">
      <c r="A257" s="170">
        <v>41774.0</v>
      </c>
      <c r="B257" s="168" t="s">
        <v>389</v>
      </c>
      <c r="C257" s="168" t="s">
        <v>342</v>
      </c>
      <c r="D257" s="169" t="s">
        <v>352</v>
      </c>
    </row>
    <row r="258">
      <c r="A258" s="170">
        <v>41775.0</v>
      </c>
      <c r="B258" s="168" t="s">
        <v>389</v>
      </c>
      <c r="C258" s="168" t="s">
        <v>342</v>
      </c>
      <c r="D258" s="169" t="s">
        <v>352</v>
      </c>
    </row>
    <row r="259">
      <c r="A259" s="170">
        <v>41776.0</v>
      </c>
      <c r="B259" s="168" t="s">
        <v>389</v>
      </c>
      <c r="C259" s="168" t="s">
        <v>342</v>
      </c>
      <c r="D259" s="169" t="s">
        <v>352</v>
      </c>
    </row>
    <row r="260">
      <c r="A260" s="170">
        <v>41777.0</v>
      </c>
      <c r="B260" s="168" t="s">
        <v>389</v>
      </c>
      <c r="C260" s="168" t="s">
        <v>342</v>
      </c>
      <c r="D260" s="169" t="s">
        <v>352</v>
      </c>
    </row>
    <row r="261">
      <c r="A261" s="170">
        <v>41778.0</v>
      </c>
      <c r="B261" s="168" t="s">
        <v>390</v>
      </c>
      <c r="C261" s="168" t="s">
        <v>342</v>
      </c>
      <c r="D261" s="169" t="s">
        <v>352</v>
      </c>
    </row>
    <row r="262">
      <c r="A262" s="170">
        <v>41779.0</v>
      </c>
      <c r="B262" s="168" t="s">
        <v>390</v>
      </c>
      <c r="C262" s="168" t="s">
        <v>342</v>
      </c>
      <c r="D262" s="169" t="s">
        <v>352</v>
      </c>
    </row>
    <row r="263">
      <c r="A263" s="170">
        <v>41780.0</v>
      </c>
      <c r="B263" s="168" t="s">
        <v>390</v>
      </c>
      <c r="C263" s="168" t="s">
        <v>342</v>
      </c>
      <c r="D263" s="169" t="s">
        <v>352</v>
      </c>
    </row>
    <row r="264">
      <c r="A264" s="170">
        <v>41781.0</v>
      </c>
      <c r="B264" s="168" t="s">
        <v>390</v>
      </c>
      <c r="C264" s="168" t="s">
        <v>342</v>
      </c>
      <c r="D264" s="169" t="s">
        <v>352</v>
      </c>
    </row>
    <row r="265">
      <c r="A265" s="170">
        <v>41782.0</v>
      </c>
      <c r="B265" s="168" t="s">
        <v>390</v>
      </c>
      <c r="C265" s="168" t="s">
        <v>342</v>
      </c>
      <c r="D265" s="169" t="s">
        <v>352</v>
      </c>
    </row>
    <row r="266">
      <c r="A266" s="170">
        <v>41783.0</v>
      </c>
      <c r="B266" s="168" t="s">
        <v>390</v>
      </c>
      <c r="C266" s="168" t="s">
        <v>342</v>
      </c>
      <c r="D266" s="169" t="s">
        <v>352</v>
      </c>
    </row>
    <row r="267">
      <c r="A267" s="170">
        <v>41784.0</v>
      </c>
      <c r="B267" s="168" t="s">
        <v>390</v>
      </c>
      <c r="C267" s="168" t="s">
        <v>342</v>
      </c>
      <c r="D267" s="169" t="s">
        <v>352</v>
      </c>
    </row>
    <row r="268">
      <c r="A268" s="170">
        <v>41785.0</v>
      </c>
      <c r="B268" s="168" t="s">
        <v>391</v>
      </c>
      <c r="C268" s="168" t="s">
        <v>342</v>
      </c>
      <c r="D268" s="169" t="s">
        <v>352</v>
      </c>
    </row>
    <row r="269">
      <c r="A269" s="170">
        <v>41786.0</v>
      </c>
      <c r="B269" s="168" t="s">
        <v>391</v>
      </c>
      <c r="C269" s="168" t="s">
        <v>342</v>
      </c>
      <c r="D269" s="169" t="s">
        <v>352</v>
      </c>
    </row>
    <row r="270">
      <c r="A270" s="170">
        <v>41787.0</v>
      </c>
      <c r="B270" s="168" t="s">
        <v>391</v>
      </c>
      <c r="C270" s="168" t="s">
        <v>342</v>
      </c>
      <c r="D270" s="169" t="s">
        <v>352</v>
      </c>
    </row>
    <row r="271">
      <c r="A271" s="170">
        <v>41788.0</v>
      </c>
      <c r="B271" s="168" t="s">
        <v>391</v>
      </c>
      <c r="C271" s="168" t="s">
        <v>342</v>
      </c>
      <c r="D271" s="169" t="s">
        <v>352</v>
      </c>
    </row>
    <row r="272">
      <c r="A272" s="170">
        <v>41789.0</v>
      </c>
      <c r="B272" s="168" t="s">
        <v>391</v>
      </c>
      <c r="C272" s="168" t="s">
        <v>342</v>
      </c>
      <c r="D272" s="169" t="s">
        <v>352</v>
      </c>
    </row>
    <row r="273">
      <c r="A273" s="170">
        <v>41790.0</v>
      </c>
      <c r="B273" s="168" t="s">
        <v>391</v>
      </c>
      <c r="C273" s="168" t="s">
        <v>342</v>
      </c>
      <c r="D273" s="169" t="s">
        <v>352</v>
      </c>
    </row>
    <row r="274">
      <c r="A274" s="170">
        <v>41791.0</v>
      </c>
      <c r="B274" s="168" t="s">
        <v>391</v>
      </c>
      <c r="C274" s="168" t="s">
        <v>342</v>
      </c>
      <c r="D274" s="169" t="s">
        <v>352</v>
      </c>
    </row>
    <row r="275">
      <c r="A275" s="170">
        <v>41792.0</v>
      </c>
      <c r="B275" s="168" t="s">
        <v>392</v>
      </c>
      <c r="C275" s="168" t="s">
        <v>342</v>
      </c>
      <c r="D275" s="169" t="s">
        <v>352</v>
      </c>
    </row>
    <row r="276">
      <c r="A276" s="170">
        <v>41793.0</v>
      </c>
      <c r="B276" s="168" t="s">
        <v>392</v>
      </c>
      <c r="C276" s="168" t="s">
        <v>342</v>
      </c>
      <c r="D276" s="169" t="s">
        <v>352</v>
      </c>
    </row>
    <row r="277">
      <c r="A277" s="170">
        <v>41794.0</v>
      </c>
      <c r="B277" s="168" t="s">
        <v>392</v>
      </c>
      <c r="C277" s="168" t="s">
        <v>342</v>
      </c>
      <c r="D277" s="169" t="s">
        <v>352</v>
      </c>
    </row>
    <row r="278">
      <c r="A278" s="170">
        <v>41795.0</v>
      </c>
      <c r="B278" s="168" t="s">
        <v>392</v>
      </c>
      <c r="C278" s="168" t="s">
        <v>342</v>
      </c>
      <c r="D278" s="169" t="s">
        <v>352</v>
      </c>
    </row>
    <row r="279">
      <c r="A279" s="170">
        <v>41796.0</v>
      </c>
      <c r="B279" s="168" t="s">
        <v>392</v>
      </c>
      <c r="C279" s="168" t="s">
        <v>342</v>
      </c>
      <c r="D279" s="169" t="s">
        <v>352</v>
      </c>
    </row>
    <row r="280">
      <c r="A280" s="170">
        <v>41797.0</v>
      </c>
      <c r="B280" s="168" t="s">
        <v>392</v>
      </c>
      <c r="C280" s="168" t="s">
        <v>342</v>
      </c>
      <c r="D280" s="169" t="s">
        <v>352</v>
      </c>
    </row>
    <row r="281">
      <c r="A281" s="170">
        <v>41798.0</v>
      </c>
      <c r="B281" s="168" t="s">
        <v>392</v>
      </c>
      <c r="C281" s="168" t="s">
        <v>342</v>
      </c>
      <c r="D281" s="169" t="s">
        <v>352</v>
      </c>
    </row>
    <row r="282">
      <c r="A282" s="170">
        <v>41799.0</v>
      </c>
      <c r="B282" s="168" t="s">
        <v>393</v>
      </c>
      <c r="C282" s="168" t="s">
        <v>342</v>
      </c>
      <c r="D282" s="169" t="s">
        <v>353</v>
      </c>
    </row>
    <row r="283">
      <c r="A283" s="170">
        <v>41800.0</v>
      </c>
      <c r="B283" s="168" t="s">
        <v>393</v>
      </c>
      <c r="C283" s="168" t="s">
        <v>342</v>
      </c>
      <c r="D283" s="169" t="s">
        <v>353</v>
      </c>
    </row>
    <row r="284">
      <c r="A284" s="170">
        <v>41801.0</v>
      </c>
      <c r="B284" s="168" t="s">
        <v>393</v>
      </c>
      <c r="C284" s="168" t="s">
        <v>342</v>
      </c>
      <c r="D284" s="169" t="s">
        <v>353</v>
      </c>
    </row>
    <row r="285">
      <c r="A285" s="170">
        <v>41802.0</v>
      </c>
      <c r="B285" s="168" t="s">
        <v>393</v>
      </c>
      <c r="C285" s="168" t="s">
        <v>342</v>
      </c>
      <c r="D285" s="169" t="s">
        <v>353</v>
      </c>
    </row>
    <row r="286">
      <c r="A286" s="170">
        <v>41803.0</v>
      </c>
      <c r="B286" s="168" t="s">
        <v>393</v>
      </c>
      <c r="C286" s="168" t="s">
        <v>342</v>
      </c>
      <c r="D286" s="169" t="s">
        <v>353</v>
      </c>
    </row>
    <row r="287">
      <c r="A287" s="170">
        <v>41804.0</v>
      </c>
      <c r="B287" s="168" t="s">
        <v>393</v>
      </c>
      <c r="C287" s="168" t="s">
        <v>342</v>
      </c>
      <c r="D287" s="169" t="s">
        <v>353</v>
      </c>
    </row>
    <row r="288">
      <c r="A288" s="170">
        <v>41805.0</v>
      </c>
      <c r="B288" s="168" t="s">
        <v>393</v>
      </c>
      <c r="C288" s="168" t="s">
        <v>342</v>
      </c>
      <c r="D288" s="169" t="s">
        <v>353</v>
      </c>
    </row>
    <row r="289">
      <c r="A289" s="170">
        <v>41806.0</v>
      </c>
      <c r="B289" s="168" t="s">
        <v>394</v>
      </c>
      <c r="C289" s="168" t="s">
        <v>342</v>
      </c>
      <c r="D289" s="169" t="s">
        <v>353</v>
      </c>
    </row>
    <row r="290">
      <c r="A290" s="170">
        <v>41807.0</v>
      </c>
      <c r="B290" s="168" t="s">
        <v>394</v>
      </c>
      <c r="C290" s="168" t="s">
        <v>342</v>
      </c>
      <c r="D290" s="169" t="s">
        <v>353</v>
      </c>
    </row>
    <row r="291">
      <c r="A291" s="170">
        <v>41808.0</v>
      </c>
      <c r="B291" s="168" t="s">
        <v>394</v>
      </c>
      <c r="C291" s="168" t="s">
        <v>342</v>
      </c>
      <c r="D291" s="169" t="s">
        <v>353</v>
      </c>
    </row>
    <row r="292">
      <c r="A292" s="170">
        <v>41809.0</v>
      </c>
      <c r="B292" s="168" t="s">
        <v>394</v>
      </c>
      <c r="C292" s="168" t="s">
        <v>342</v>
      </c>
      <c r="D292" s="169" t="s">
        <v>353</v>
      </c>
    </row>
    <row r="293">
      <c r="A293" s="170">
        <v>41810.0</v>
      </c>
      <c r="B293" s="168" t="s">
        <v>394</v>
      </c>
      <c r="C293" s="168" t="s">
        <v>342</v>
      </c>
      <c r="D293" s="169" t="s">
        <v>353</v>
      </c>
    </row>
    <row r="294">
      <c r="A294" s="170">
        <v>41811.0</v>
      </c>
      <c r="B294" s="168" t="s">
        <v>394</v>
      </c>
      <c r="C294" s="168" t="s">
        <v>342</v>
      </c>
      <c r="D294" s="169" t="s">
        <v>353</v>
      </c>
    </row>
    <row r="295">
      <c r="A295" s="170">
        <v>41812.0</v>
      </c>
      <c r="B295" s="168" t="s">
        <v>394</v>
      </c>
      <c r="C295" s="168" t="s">
        <v>342</v>
      </c>
      <c r="D295" s="169" t="s">
        <v>353</v>
      </c>
    </row>
    <row r="296">
      <c r="A296" s="170">
        <v>41813.0</v>
      </c>
      <c r="B296" s="168" t="s">
        <v>395</v>
      </c>
      <c r="C296" s="168" t="s">
        <v>342</v>
      </c>
      <c r="D296" s="169" t="s">
        <v>353</v>
      </c>
    </row>
    <row r="297">
      <c r="A297" s="170">
        <v>41814.0</v>
      </c>
      <c r="B297" s="168" t="s">
        <v>395</v>
      </c>
      <c r="C297" s="168" t="s">
        <v>342</v>
      </c>
      <c r="D297" s="169" t="s">
        <v>353</v>
      </c>
    </row>
    <row r="298">
      <c r="A298" s="170">
        <v>41815.0</v>
      </c>
      <c r="B298" s="168" t="s">
        <v>395</v>
      </c>
      <c r="C298" s="168" t="s">
        <v>342</v>
      </c>
      <c r="D298" s="169" t="s">
        <v>353</v>
      </c>
    </row>
    <row r="299">
      <c r="A299" s="170">
        <v>41816.0</v>
      </c>
      <c r="B299" s="168" t="s">
        <v>395</v>
      </c>
      <c r="C299" s="168" t="s">
        <v>342</v>
      </c>
      <c r="D299" s="169" t="s">
        <v>353</v>
      </c>
    </row>
    <row r="300">
      <c r="A300" s="170">
        <v>41817.0</v>
      </c>
      <c r="B300" s="168" t="s">
        <v>395</v>
      </c>
      <c r="C300" s="168" t="s">
        <v>342</v>
      </c>
      <c r="D300" s="169" t="s">
        <v>353</v>
      </c>
    </row>
    <row r="301">
      <c r="A301" s="170">
        <v>41818.0</v>
      </c>
      <c r="B301" s="168" t="s">
        <v>395</v>
      </c>
      <c r="C301" s="168" t="s">
        <v>342</v>
      </c>
      <c r="D301" s="169" t="s">
        <v>353</v>
      </c>
    </row>
    <row r="302">
      <c r="A302" s="170">
        <v>41819.0</v>
      </c>
      <c r="B302" s="168" t="s">
        <v>395</v>
      </c>
      <c r="C302" s="168" t="s">
        <v>342</v>
      </c>
      <c r="D302" s="169" t="s">
        <v>353</v>
      </c>
    </row>
    <row r="303">
      <c r="A303" s="170">
        <v>41820.0</v>
      </c>
      <c r="B303" s="168" t="s">
        <v>396</v>
      </c>
      <c r="C303" s="168" t="s">
        <v>342</v>
      </c>
      <c r="D303" s="169" t="s">
        <v>353</v>
      </c>
    </row>
    <row r="304">
      <c r="A304" s="170">
        <v>41821.0</v>
      </c>
      <c r="B304" s="168" t="s">
        <v>396</v>
      </c>
      <c r="C304" s="168" t="s">
        <v>342</v>
      </c>
      <c r="D304" s="169" t="s">
        <v>353</v>
      </c>
    </row>
    <row r="305">
      <c r="A305" s="170">
        <v>41822.0</v>
      </c>
      <c r="B305" s="168" t="s">
        <v>396</v>
      </c>
      <c r="C305" s="168" t="s">
        <v>342</v>
      </c>
      <c r="D305" s="169" t="s">
        <v>353</v>
      </c>
    </row>
    <row r="306">
      <c r="A306" s="170">
        <v>41823.0</v>
      </c>
      <c r="B306" s="168" t="s">
        <v>396</v>
      </c>
      <c r="C306" s="168" t="s">
        <v>342</v>
      </c>
      <c r="D306" s="169" t="s">
        <v>353</v>
      </c>
    </row>
    <row r="307">
      <c r="A307" s="170">
        <v>41824.0</v>
      </c>
      <c r="B307" s="168" t="s">
        <v>396</v>
      </c>
      <c r="C307" s="168" t="s">
        <v>342</v>
      </c>
      <c r="D307" s="169" t="s">
        <v>353</v>
      </c>
    </row>
    <row r="308">
      <c r="A308" s="170">
        <v>41825.0</v>
      </c>
      <c r="B308" s="168" t="s">
        <v>396</v>
      </c>
      <c r="C308" s="168" t="s">
        <v>342</v>
      </c>
      <c r="D308" s="169" t="s">
        <v>353</v>
      </c>
    </row>
    <row r="309">
      <c r="A309" s="170">
        <v>41826.0</v>
      </c>
      <c r="B309" s="168" t="s">
        <v>396</v>
      </c>
      <c r="C309" s="168" t="s">
        <v>342</v>
      </c>
      <c r="D309" s="169" t="s">
        <v>353</v>
      </c>
    </row>
    <row r="310">
      <c r="A310" s="170">
        <v>41827.0</v>
      </c>
      <c r="B310" s="168" t="s">
        <v>397</v>
      </c>
      <c r="C310" s="168" t="s">
        <v>342</v>
      </c>
      <c r="D310" s="169" t="s">
        <v>354</v>
      </c>
    </row>
    <row r="311">
      <c r="A311" s="170">
        <v>41828.0</v>
      </c>
      <c r="B311" s="168" t="s">
        <v>397</v>
      </c>
      <c r="C311" s="168" t="s">
        <v>342</v>
      </c>
      <c r="D311" s="169" t="s">
        <v>354</v>
      </c>
    </row>
    <row r="312">
      <c r="A312" s="170">
        <v>41829.0</v>
      </c>
      <c r="B312" s="168" t="s">
        <v>397</v>
      </c>
      <c r="C312" s="168" t="s">
        <v>342</v>
      </c>
      <c r="D312" s="169" t="s">
        <v>354</v>
      </c>
    </row>
    <row r="313">
      <c r="A313" s="170">
        <v>41830.0</v>
      </c>
      <c r="B313" s="168" t="s">
        <v>397</v>
      </c>
      <c r="C313" s="168" t="s">
        <v>342</v>
      </c>
      <c r="D313" s="169" t="s">
        <v>354</v>
      </c>
    </row>
    <row r="314">
      <c r="A314" s="170">
        <v>41831.0</v>
      </c>
      <c r="B314" s="168" t="s">
        <v>397</v>
      </c>
      <c r="C314" s="168" t="s">
        <v>342</v>
      </c>
      <c r="D314" s="169" t="s">
        <v>354</v>
      </c>
    </row>
    <row r="315">
      <c r="A315" s="170">
        <v>41832.0</v>
      </c>
      <c r="B315" s="168" t="s">
        <v>397</v>
      </c>
      <c r="C315" s="168" t="s">
        <v>342</v>
      </c>
      <c r="D315" s="169" t="s">
        <v>354</v>
      </c>
    </row>
    <row r="316">
      <c r="A316" s="170">
        <v>41833.0</v>
      </c>
      <c r="B316" s="168" t="s">
        <v>397</v>
      </c>
      <c r="C316" s="168" t="s">
        <v>342</v>
      </c>
      <c r="D316" s="169" t="s">
        <v>354</v>
      </c>
    </row>
    <row r="317">
      <c r="A317" s="170">
        <v>41834.0</v>
      </c>
      <c r="B317" s="168" t="s">
        <v>398</v>
      </c>
      <c r="C317" s="168" t="s">
        <v>342</v>
      </c>
      <c r="D317" s="169" t="s">
        <v>354</v>
      </c>
    </row>
    <row r="318">
      <c r="A318" s="170">
        <v>41835.0</v>
      </c>
      <c r="B318" s="168" t="s">
        <v>398</v>
      </c>
      <c r="C318" s="168" t="s">
        <v>342</v>
      </c>
      <c r="D318" s="169" t="s">
        <v>354</v>
      </c>
    </row>
    <row r="319">
      <c r="A319" s="170">
        <v>41836.0</v>
      </c>
      <c r="B319" s="168" t="s">
        <v>398</v>
      </c>
      <c r="C319" s="168" t="s">
        <v>342</v>
      </c>
      <c r="D319" s="169" t="s">
        <v>354</v>
      </c>
    </row>
    <row r="320">
      <c r="A320" s="170">
        <v>41837.0</v>
      </c>
      <c r="B320" s="168" t="s">
        <v>398</v>
      </c>
      <c r="C320" s="168" t="s">
        <v>342</v>
      </c>
      <c r="D320" s="169" t="s">
        <v>354</v>
      </c>
    </row>
    <row r="321">
      <c r="A321" s="170">
        <v>41838.0</v>
      </c>
      <c r="B321" s="168" t="s">
        <v>398</v>
      </c>
      <c r="C321" s="168" t="s">
        <v>342</v>
      </c>
      <c r="D321" s="169" t="s">
        <v>354</v>
      </c>
    </row>
    <row r="322">
      <c r="A322" s="170">
        <v>41839.0</v>
      </c>
      <c r="B322" s="168" t="s">
        <v>398</v>
      </c>
      <c r="C322" s="168" t="s">
        <v>342</v>
      </c>
      <c r="D322" s="169" t="s">
        <v>354</v>
      </c>
    </row>
    <row r="323">
      <c r="A323" s="170">
        <v>41840.0</v>
      </c>
      <c r="B323" s="168" t="s">
        <v>398</v>
      </c>
      <c r="C323" s="168" t="s">
        <v>342</v>
      </c>
      <c r="D323" s="169" t="s">
        <v>354</v>
      </c>
    </row>
    <row r="324">
      <c r="A324" s="170">
        <v>41841.0</v>
      </c>
      <c r="B324" s="168" t="s">
        <v>399</v>
      </c>
      <c r="C324" s="168" t="s">
        <v>342</v>
      </c>
      <c r="D324" s="169" t="s">
        <v>354</v>
      </c>
    </row>
    <row r="325">
      <c r="A325" s="170">
        <v>41842.0</v>
      </c>
      <c r="B325" s="168" t="s">
        <v>399</v>
      </c>
      <c r="C325" s="168" t="s">
        <v>342</v>
      </c>
      <c r="D325" s="169" t="s">
        <v>354</v>
      </c>
    </row>
    <row r="326">
      <c r="A326" s="170">
        <v>41843.0</v>
      </c>
      <c r="B326" s="168" t="s">
        <v>399</v>
      </c>
      <c r="C326" s="168" t="s">
        <v>342</v>
      </c>
      <c r="D326" s="169" t="s">
        <v>354</v>
      </c>
    </row>
    <row r="327">
      <c r="A327" s="170">
        <v>41844.0</v>
      </c>
      <c r="B327" s="168" t="s">
        <v>399</v>
      </c>
      <c r="C327" s="168" t="s">
        <v>342</v>
      </c>
      <c r="D327" s="169" t="s">
        <v>354</v>
      </c>
    </row>
    <row r="328">
      <c r="A328" s="170">
        <v>41845.0</v>
      </c>
      <c r="B328" s="168" t="s">
        <v>399</v>
      </c>
      <c r="C328" s="168" t="s">
        <v>342</v>
      </c>
      <c r="D328" s="169" t="s">
        <v>354</v>
      </c>
    </row>
    <row r="329">
      <c r="A329" s="170">
        <v>41846.0</v>
      </c>
      <c r="B329" s="168" t="s">
        <v>399</v>
      </c>
      <c r="C329" s="168" t="s">
        <v>342</v>
      </c>
      <c r="D329" s="169" t="s">
        <v>354</v>
      </c>
    </row>
    <row r="330">
      <c r="A330" s="170">
        <v>41847.0</v>
      </c>
      <c r="B330" s="168" t="s">
        <v>399</v>
      </c>
      <c r="C330" s="168" t="s">
        <v>342</v>
      </c>
      <c r="D330" s="169" t="s">
        <v>354</v>
      </c>
    </row>
    <row r="331">
      <c r="A331" s="170">
        <v>41848.0</v>
      </c>
      <c r="B331" s="168" t="s">
        <v>400</v>
      </c>
      <c r="C331" s="168" t="s">
        <v>342</v>
      </c>
      <c r="D331" s="169" t="s">
        <v>354</v>
      </c>
    </row>
    <row r="332">
      <c r="A332" s="170">
        <v>41849.0</v>
      </c>
      <c r="B332" s="168" t="s">
        <v>400</v>
      </c>
      <c r="C332" s="168" t="s">
        <v>342</v>
      </c>
      <c r="D332" s="169" t="s">
        <v>354</v>
      </c>
    </row>
    <row r="333">
      <c r="A333" s="170">
        <v>41850.0</v>
      </c>
      <c r="B333" s="168" t="s">
        <v>400</v>
      </c>
      <c r="C333" s="168" t="s">
        <v>342</v>
      </c>
      <c r="D333" s="169" t="s">
        <v>354</v>
      </c>
    </row>
    <row r="334">
      <c r="A334" s="170">
        <v>41851.0</v>
      </c>
      <c r="B334" s="168" t="s">
        <v>400</v>
      </c>
      <c r="C334" s="168" t="s">
        <v>342</v>
      </c>
      <c r="D334" s="169" t="s">
        <v>354</v>
      </c>
    </row>
    <row r="335">
      <c r="A335" s="170">
        <v>41852.0</v>
      </c>
      <c r="B335" s="168" t="s">
        <v>400</v>
      </c>
      <c r="C335" s="168" t="s">
        <v>342</v>
      </c>
      <c r="D335" s="169" t="s">
        <v>354</v>
      </c>
    </row>
    <row r="336">
      <c r="A336" s="170">
        <v>41853.0</v>
      </c>
      <c r="B336" s="168" t="s">
        <v>400</v>
      </c>
      <c r="C336" s="168" t="s">
        <v>342</v>
      </c>
      <c r="D336" s="169" t="s">
        <v>354</v>
      </c>
    </row>
    <row r="337">
      <c r="A337" s="170">
        <v>41854.0</v>
      </c>
      <c r="B337" s="168" t="s">
        <v>400</v>
      </c>
      <c r="C337" s="168" t="s">
        <v>342</v>
      </c>
      <c r="D337" s="169" t="s">
        <v>354</v>
      </c>
    </row>
    <row r="338">
      <c r="A338" s="170">
        <v>41855.0</v>
      </c>
      <c r="B338" s="168" t="s">
        <v>401</v>
      </c>
      <c r="C338" s="168" t="s">
        <v>342</v>
      </c>
      <c r="D338" s="169" t="s">
        <v>134</v>
      </c>
    </row>
    <row r="339">
      <c r="A339" s="170">
        <v>41856.0</v>
      </c>
      <c r="B339" s="168" t="s">
        <v>401</v>
      </c>
      <c r="C339" s="168" t="s">
        <v>342</v>
      </c>
      <c r="D339" s="169" t="s">
        <v>134</v>
      </c>
    </row>
    <row r="340">
      <c r="A340" s="170">
        <v>41857.0</v>
      </c>
      <c r="B340" s="168" t="s">
        <v>401</v>
      </c>
      <c r="C340" s="168" t="s">
        <v>342</v>
      </c>
      <c r="D340" s="169" t="s">
        <v>134</v>
      </c>
    </row>
    <row r="341">
      <c r="A341" s="170">
        <v>41858.0</v>
      </c>
      <c r="B341" s="168" t="s">
        <v>401</v>
      </c>
      <c r="C341" s="168" t="s">
        <v>342</v>
      </c>
      <c r="D341" s="169" t="s">
        <v>134</v>
      </c>
    </row>
    <row r="342">
      <c r="A342" s="170">
        <v>41859.0</v>
      </c>
      <c r="B342" s="168" t="s">
        <v>401</v>
      </c>
      <c r="C342" s="168" t="s">
        <v>342</v>
      </c>
      <c r="D342" s="169" t="s">
        <v>134</v>
      </c>
    </row>
    <row r="343">
      <c r="A343" s="170">
        <v>41860.0</v>
      </c>
      <c r="B343" s="168" t="s">
        <v>401</v>
      </c>
      <c r="C343" s="168" t="s">
        <v>342</v>
      </c>
      <c r="D343" s="169" t="s">
        <v>134</v>
      </c>
    </row>
    <row r="344">
      <c r="A344" s="170">
        <v>41861.0</v>
      </c>
      <c r="B344" s="168" t="s">
        <v>401</v>
      </c>
      <c r="C344" s="168" t="s">
        <v>342</v>
      </c>
      <c r="D344" s="169" t="s">
        <v>134</v>
      </c>
    </row>
    <row r="345">
      <c r="A345" s="170">
        <v>41862.0</v>
      </c>
      <c r="B345" s="168" t="s">
        <v>402</v>
      </c>
      <c r="C345" s="168" t="s">
        <v>342</v>
      </c>
      <c r="D345" s="169" t="s">
        <v>134</v>
      </c>
    </row>
    <row r="346">
      <c r="A346" s="170">
        <v>41863.0</v>
      </c>
      <c r="B346" s="168" t="s">
        <v>402</v>
      </c>
      <c r="C346" s="168" t="s">
        <v>342</v>
      </c>
      <c r="D346" s="169" t="s">
        <v>134</v>
      </c>
    </row>
    <row r="347">
      <c r="A347" s="170">
        <v>41864.0</v>
      </c>
      <c r="B347" s="168" t="s">
        <v>402</v>
      </c>
      <c r="C347" s="168" t="s">
        <v>342</v>
      </c>
      <c r="D347" s="169" t="s">
        <v>134</v>
      </c>
    </row>
    <row r="348">
      <c r="A348" s="170">
        <v>41865.0</v>
      </c>
      <c r="B348" s="168" t="s">
        <v>402</v>
      </c>
      <c r="C348" s="168" t="s">
        <v>342</v>
      </c>
      <c r="D348" s="169" t="s">
        <v>134</v>
      </c>
    </row>
    <row r="349">
      <c r="A349" s="170">
        <v>41866.0</v>
      </c>
      <c r="B349" s="168" t="s">
        <v>402</v>
      </c>
      <c r="C349" s="168" t="s">
        <v>342</v>
      </c>
      <c r="D349" s="169" t="s">
        <v>134</v>
      </c>
    </row>
    <row r="350">
      <c r="A350" s="170">
        <v>41867.0</v>
      </c>
      <c r="B350" s="168" t="s">
        <v>402</v>
      </c>
      <c r="C350" s="168" t="s">
        <v>342</v>
      </c>
      <c r="D350" s="169" t="s">
        <v>134</v>
      </c>
    </row>
    <row r="351">
      <c r="A351" s="170">
        <v>41868.0</v>
      </c>
      <c r="B351" s="168" t="s">
        <v>402</v>
      </c>
      <c r="C351" s="168" t="s">
        <v>342</v>
      </c>
      <c r="D351" s="169" t="s">
        <v>134</v>
      </c>
    </row>
    <row r="352">
      <c r="A352" s="170">
        <v>41869.0</v>
      </c>
      <c r="B352" s="168" t="s">
        <v>403</v>
      </c>
      <c r="C352" s="168" t="s">
        <v>342</v>
      </c>
      <c r="D352" s="169" t="s">
        <v>134</v>
      </c>
    </row>
    <row r="353">
      <c r="A353" s="170">
        <v>41870.0</v>
      </c>
      <c r="B353" s="168" t="s">
        <v>403</v>
      </c>
      <c r="C353" s="168" t="s">
        <v>342</v>
      </c>
      <c r="D353" s="169" t="s">
        <v>134</v>
      </c>
    </row>
    <row r="354">
      <c r="A354" s="170">
        <v>41871.0</v>
      </c>
      <c r="B354" s="168" t="s">
        <v>403</v>
      </c>
      <c r="C354" s="168" t="s">
        <v>342</v>
      </c>
      <c r="D354" s="169" t="s">
        <v>134</v>
      </c>
    </row>
    <row r="355">
      <c r="A355" s="170">
        <v>41872.0</v>
      </c>
      <c r="B355" s="168" t="s">
        <v>403</v>
      </c>
      <c r="C355" s="168" t="s">
        <v>342</v>
      </c>
      <c r="D355" s="169" t="s">
        <v>134</v>
      </c>
    </row>
    <row r="356">
      <c r="A356" s="170">
        <v>41873.0</v>
      </c>
      <c r="B356" s="168" t="s">
        <v>403</v>
      </c>
      <c r="C356" s="168" t="s">
        <v>342</v>
      </c>
      <c r="D356" s="169" t="s">
        <v>134</v>
      </c>
    </row>
    <row r="357">
      <c r="A357" s="170">
        <v>41874.0</v>
      </c>
      <c r="B357" s="168" t="s">
        <v>403</v>
      </c>
      <c r="C357" s="168" t="s">
        <v>342</v>
      </c>
      <c r="D357" s="169" t="s">
        <v>134</v>
      </c>
    </row>
    <row r="358">
      <c r="A358" s="170">
        <v>41875.0</v>
      </c>
      <c r="B358" s="168" t="s">
        <v>403</v>
      </c>
      <c r="C358" s="168" t="s">
        <v>342</v>
      </c>
      <c r="D358" s="169" t="s">
        <v>134</v>
      </c>
    </row>
    <row r="359">
      <c r="A359" s="170">
        <v>41876.0</v>
      </c>
      <c r="B359" s="168" t="s">
        <v>404</v>
      </c>
      <c r="C359" s="168" t="s">
        <v>342</v>
      </c>
      <c r="D359" s="169" t="s">
        <v>134</v>
      </c>
    </row>
    <row r="360">
      <c r="A360" s="170">
        <v>41877.0</v>
      </c>
      <c r="B360" s="168" t="s">
        <v>404</v>
      </c>
      <c r="C360" s="168" t="s">
        <v>342</v>
      </c>
      <c r="D360" s="169" t="s">
        <v>134</v>
      </c>
    </row>
    <row r="361">
      <c r="A361" s="170">
        <v>41878.0</v>
      </c>
      <c r="B361" s="168" t="s">
        <v>404</v>
      </c>
      <c r="C361" s="168" t="s">
        <v>342</v>
      </c>
      <c r="D361" s="169" t="s">
        <v>134</v>
      </c>
    </row>
    <row r="362">
      <c r="A362" s="170">
        <v>41879.0</v>
      </c>
      <c r="B362" s="168" t="s">
        <v>404</v>
      </c>
      <c r="C362" s="168" t="s">
        <v>342</v>
      </c>
      <c r="D362" s="169" t="s">
        <v>134</v>
      </c>
    </row>
    <row r="363">
      <c r="A363" s="170">
        <v>41880.0</v>
      </c>
      <c r="B363" s="168" t="s">
        <v>404</v>
      </c>
      <c r="C363" s="168" t="s">
        <v>342</v>
      </c>
      <c r="D363" s="169" t="s">
        <v>134</v>
      </c>
    </row>
    <row r="364">
      <c r="A364" s="170">
        <v>41881.0</v>
      </c>
      <c r="B364" s="168" t="s">
        <v>404</v>
      </c>
      <c r="C364" s="168" t="s">
        <v>342</v>
      </c>
      <c r="D364" s="169" t="s">
        <v>134</v>
      </c>
    </row>
    <row r="365">
      <c r="A365" s="170">
        <v>41882.0</v>
      </c>
      <c r="B365" s="168" t="s">
        <v>404</v>
      </c>
      <c r="C365" s="168" t="s">
        <v>342</v>
      </c>
      <c r="D365" s="169" t="s">
        <v>134</v>
      </c>
    </row>
    <row r="366">
      <c r="A366" s="170">
        <v>41883.0</v>
      </c>
      <c r="B366" s="168" t="s">
        <v>341</v>
      </c>
      <c r="C366" s="168" t="s">
        <v>405</v>
      </c>
      <c r="D366" s="169" t="s">
        <v>340</v>
      </c>
    </row>
    <row r="367">
      <c r="A367" s="170">
        <v>41884.0</v>
      </c>
      <c r="B367" s="168" t="s">
        <v>341</v>
      </c>
      <c r="C367" s="168" t="s">
        <v>405</v>
      </c>
      <c r="D367" s="169" t="s">
        <v>340</v>
      </c>
    </row>
    <row r="368">
      <c r="A368" s="170">
        <v>41885.0</v>
      </c>
      <c r="B368" s="168" t="s">
        <v>341</v>
      </c>
      <c r="C368" s="168" t="s">
        <v>405</v>
      </c>
      <c r="D368" s="169" t="s">
        <v>340</v>
      </c>
    </row>
    <row r="369">
      <c r="A369" s="170">
        <v>41886.0</v>
      </c>
      <c r="B369" s="168" t="s">
        <v>341</v>
      </c>
      <c r="C369" s="168" t="s">
        <v>405</v>
      </c>
      <c r="D369" s="169" t="s">
        <v>340</v>
      </c>
    </row>
    <row r="370">
      <c r="A370" s="170">
        <v>41887.0</v>
      </c>
      <c r="B370" s="168" t="s">
        <v>341</v>
      </c>
      <c r="C370" s="168" t="s">
        <v>405</v>
      </c>
      <c r="D370" s="169" t="s">
        <v>340</v>
      </c>
    </row>
    <row r="371">
      <c r="A371" s="170">
        <v>41888.0</v>
      </c>
      <c r="B371" s="168" t="s">
        <v>341</v>
      </c>
      <c r="C371" s="168" t="s">
        <v>405</v>
      </c>
      <c r="D371" s="169" t="s">
        <v>340</v>
      </c>
    </row>
    <row r="372">
      <c r="A372" s="170">
        <v>41889.0</v>
      </c>
      <c r="B372" s="168" t="s">
        <v>341</v>
      </c>
      <c r="C372" s="168" t="s">
        <v>405</v>
      </c>
      <c r="D372" s="169" t="s">
        <v>340</v>
      </c>
    </row>
    <row r="373">
      <c r="A373" s="170">
        <v>41890.0</v>
      </c>
      <c r="B373" s="168" t="s">
        <v>350</v>
      </c>
      <c r="C373" s="168" t="s">
        <v>405</v>
      </c>
      <c r="D373" s="169" t="s">
        <v>340</v>
      </c>
    </row>
    <row r="374">
      <c r="A374" s="170">
        <v>41891.0</v>
      </c>
      <c r="B374" s="168" t="s">
        <v>350</v>
      </c>
      <c r="C374" s="168" t="s">
        <v>405</v>
      </c>
      <c r="D374" s="169" t="s">
        <v>340</v>
      </c>
    </row>
    <row r="375">
      <c r="A375" s="170">
        <v>41892.0</v>
      </c>
      <c r="B375" s="168" t="s">
        <v>350</v>
      </c>
      <c r="C375" s="168" t="s">
        <v>405</v>
      </c>
      <c r="D375" s="169" t="s">
        <v>340</v>
      </c>
    </row>
    <row r="376">
      <c r="A376" s="170">
        <v>41893.0</v>
      </c>
      <c r="B376" s="168" t="s">
        <v>350</v>
      </c>
      <c r="C376" s="168" t="s">
        <v>405</v>
      </c>
      <c r="D376" s="169" t="s">
        <v>340</v>
      </c>
    </row>
    <row r="377">
      <c r="A377" s="170">
        <v>41894.0</v>
      </c>
      <c r="B377" s="168" t="s">
        <v>350</v>
      </c>
      <c r="C377" s="168" t="s">
        <v>405</v>
      </c>
      <c r="D377" s="169" t="s">
        <v>340</v>
      </c>
    </row>
    <row r="378">
      <c r="A378" s="170">
        <v>41895.0</v>
      </c>
      <c r="B378" s="168" t="s">
        <v>350</v>
      </c>
      <c r="C378" s="168" t="s">
        <v>405</v>
      </c>
      <c r="D378" s="169" t="s">
        <v>340</v>
      </c>
    </row>
    <row r="379">
      <c r="A379" s="170">
        <v>41896.0</v>
      </c>
      <c r="B379" s="168" t="s">
        <v>350</v>
      </c>
      <c r="C379" s="168" t="s">
        <v>405</v>
      </c>
      <c r="D379" s="169" t="s">
        <v>340</v>
      </c>
    </row>
    <row r="380">
      <c r="A380" s="170">
        <v>41897.0</v>
      </c>
      <c r="B380" s="168" t="s">
        <v>355</v>
      </c>
      <c r="C380" s="168" t="s">
        <v>405</v>
      </c>
      <c r="D380" s="169" t="s">
        <v>340</v>
      </c>
    </row>
    <row r="381">
      <c r="A381" s="170">
        <v>41898.0</v>
      </c>
      <c r="B381" s="168" t="s">
        <v>355</v>
      </c>
      <c r="C381" s="168" t="s">
        <v>405</v>
      </c>
      <c r="D381" s="169" t="s">
        <v>340</v>
      </c>
    </row>
    <row r="382">
      <c r="A382" s="170">
        <v>41899.0</v>
      </c>
      <c r="B382" s="168" t="s">
        <v>355</v>
      </c>
      <c r="C382" s="168" t="s">
        <v>405</v>
      </c>
      <c r="D382" s="169" t="s">
        <v>340</v>
      </c>
    </row>
    <row r="383">
      <c r="A383" s="170">
        <v>41900.0</v>
      </c>
      <c r="B383" s="168" t="s">
        <v>355</v>
      </c>
      <c r="C383" s="168" t="s">
        <v>405</v>
      </c>
      <c r="D383" s="169" t="s">
        <v>340</v>
      </c>
    </row>
    <row r="384">
      <c r="A384" s="170">
        <v>41901.0</v>
      </c>
      <c r="B384" s="168" t="s">
        <v>355</v>
      </c>
      <c r="C384" s="168" t="s">
        <v>405</v>
      </c>
      <c r="D384" s="169" t="s">
        <v>340</v>
      </c>
    </row>
    <row r="385">
      <c r="A385" s="170">
        <v>41902.0</v>
      </c>
      <c r="B385" s="168" t="s">
        <v>355</v>
      </c>
      <c r="C385" s="168" t="s">
        <v>405</v>
      </c>
      <c r="D385" s="169" t="s">
        <v>340</v>
      </c>
    </row>
    <row r="386">
      <c r="A386" s="170">
        <v>41903.0</v>
      </c>
      <c r="B386" s="168" t="s">
        <v>355</v>
      </c>
      <c r="C386" s="168" t="s">
        <v>405</v>
      </c>
      <c r="D386" s="169" t="s">
        <v>340</v>
      </c>
    </row>
    <row r="387">
      <c r="A387" s="170">
        <v>41904.0</v>
      </c>
      <c r="B387" s="168" t="s">
        <v>356</v>
      </c>
      <c r="C387" s="168" t="s">
        <v>405</v>
      </c>
      <c r="D387" s="169" t="s">
        <v>340</v>
      </c>
    </row>
    <row r="388">
      <c r="A388" s="170">
        <v>41905.0</v>
      </c>
      <c r="B388" s="168" t="s">
        <v>356</v>
      </c>
      <c r="C388" s="168" t="s">
        <v>405</v>
      </c>
      <c r="D388" s="169" t="s">
        <v>340</v>
      </c>
    </row>
    <row r="389">
      <c r="A389" s="170">
        <v>41906.0</v>
      </c>
      <c r="B389" s="168" t="s">
        <v>356</v>
      </c>
      <c r="C389" s="168" t="s">
        <v>405</v>
      </c>
      <c r="D389" s="169" t="s">
        <v>340</v>
      </c>
    </row>
    <row r="390">
      <c r="A390" s="170">
        <v>41907.0</v>
      </c>
      <c r="B390" s="168" t="s">
        <v>356</v>
      </c>
      <c r="C390" s="168" t="s">
        <v>405</v>
      </c>
      <c r="D390" s="169" t="s">
        <v>340</v>
      </c>
    </row>
    <row r="391">
      <c r="A391" s="170">
        <v>41908.0</v>
      </c>
      <c r="B391" s="168" t="s">
        <v>356</v>
      </c>
      <c r="C391" s="168" t="s">
        <v>405</v>
      </c>
      <c r="D391" s="169" t="s">
        <v>340</v>
      </c>
    </row>
    <row r="392">
      <c r="A392" s="170">
        <v>41909.0</v>
      </c>
      <c r="B392" s="168" t="s">
        <v>356</v>
      </c>
      <c r="C392" s="168" t="s">
        <v>405</v>
      </c>
      <c r="D392" s="169" t="s">
        <v>340</v>
      </c>
    </row>
    <row r="393">
      <c r="A393" s="170">
        <v>41910.0</v>
      </c>
      <c r="B393" s="168" t="s">
        <v>356</v>
      </c>
      <c r="C393" s="168" t="s">
        <v>405</v>
      </c>
      <c r="D393" s="169" t="s">
        <v>340</v>
      </c>
    </row>
    <row r="394">
      <c r="A394" s="170">
        <v>41911.0</v>
      </c>
      <c r="B394" s="168" t="s">
        <v>357</v>
      </c>
      <c r="C394" s="168" t="s">
        <v>405</v>
      </c>
      <c r="D394" s="169" t="s">
        <v>343</v>
      </c>
    </row>
    <row r="395">
      <c r="A395" s="170">
        <v>41912.0</v>
      </c>
      <c r="B395" s="168" t="s">
        <v>357</v>
      </c>
      <c r="C395" s="168" t="s">
        <v>405</v>
      </c>
      <c r="D395" s="169" t="s">
        <v>343</v>
      </c>
    </row>
    <row r="396">
      <c r="A396" s="170">
        <v>41913.0</v>
      </c>
      <c r="B396" s="168" t="s">
        <v>357</v>
      </c>
      <c r="C396" s="168" t="s">
        <v>405</v>
      </c>
      <c r="D396" s="169" t="s">
        <v>343</v>
      </c>
    </row>
    <row r="397">
      <c r="A397" s="170">
        <v>41914.0</v>
      </c>
      <c r="B397" s="168" t="s">
        <v>357</v>
      </c>
      <c r="C397" s="168" t="s">
        <v>405</v>
      </c>
      <c r="D397" s="169" t="s">
        <v>343</v>
      </c>
    </row>
    <row r="398">
      <c r="A398" s="170">
        <v>41915.0</v>
      </c>
      <c r="B398" s="168" t="s">
        <v>357</v>
      </c>
      <c r="C398" s="168" t="s">
        <v>405</v>
      </c>
      <c r="D398" s="169" t="s">
        <v>343</v>
      </c>
    </row>
    <row r="399">
      <c r="A399" s="170">
        <v>41916.0</v>
      </c>
      <c r="B399" s="168" t="s">
        <v>357</v>
      </c>
      <c r="C399" s="168" t="s">
        <v>405</v>
      </c>
      <c r="D399" s="169" t="s">
        <v>343</v>
      </c>
    </row>
    <row r="400">
      <c r="A400" s="170">
        <v>41917.0</v>
      </c>
      <c r="B400" s="168" t="s">
        <v>357</v>
      </c>
      <c r="C400" s="168" t="s">
        <v>405</v>
      </c>
      <c r="D400" s="169" t="s">
        <v>343</v>
      </c>
    </row>
    <row r="401">
      <c r="A401" s="170">
        <v>41918.0</v>
      </c>
      <c r="B401" s="168" t="s">
        <v>358</v>
      </c>
      <c r="C401" s="168" t="s">
        <v>405</v>
      </c>
      <c r="D401" s="169" t="s">
        <v>343</v>
      </c>
    </row>
    <row r="402">
      <c r="A402" s="170">
        <v>41919.0</v>
      </c>
      <c r="B402" s="168" t="s">
        <v>358</v>
      </c>
      <c r="C402" s="168" t="s">
        <v>405</v>
      </c>
      <c r="D402" s="169" t="s">
        <v>343</v>
      </c>
    </row>
    <row r="403">
      <c r="A403" s="170">
        <v>41920.0</v>
      </c>
      <c r="B403" s="168" t="s">
        <v>358</v>
      </c>
      <c r="C403" s="168" t="s">
        <v>405</v>
      </c>
      <c r="D403" s="169" t="s">
        <v>343</v>
      </c>
    </row>
    <row r="404">
      <c r="A404" s="170">
        <v>41921.0</v>
      </c>
      <c r="B404" s="168" t="s">
        <v>358</v>
      </c>
      <c r="C404" s="168" t="s">
        <v>405</v>
      </c>
      <c r="D404" s="169" t="s">
        <v>343</v>
      </c>
    </row>
    <row r="405">
      <c r="A405" s="170">
        <v>41922.0</v>
      </c>
      <c r="B405" s="168" t="s">
        <v>358</v>
      </c>
      <c r="C405" s="168" t="s">
        <v>405</v>
      </c>
      <c r="D405" s="169" t="s">
        <v>343</v>
      </c>
    </row>
    <row r="406">
      <c r="A406" s="170">
        <v>41923.0</v>
      </c>
      <c r="B406" s="168" t="s">
        <v>358</v>
      </c>
      <c r="C406" s="168" t="s">
        <v>405</v>
      </c>
      <c r="D406" s="169" t="s">
        <v>343</v>
      </c>
    </row>
    <row r="407">
      <c r="A407" s="170">
        <v>41924.0</v>
      </c>
      <c r="B407" s="168" t="s">
        <v>358</v>
      </c>
      <c r="C407" s="168" t="s">
        <v>405</v>
      </c>
      <c r="D407" s="169" t="s">
        <v>343</v>
      </c>
    </row>
    <row r="408">
      <c r="A408" s="170">
        <v>41925.0</v>
      </c>
      <c r="B408" s="168" t="s">
        <v>359</v>
      </c>
      <c r="C408" s="168" t="s">
        <v>405</v>
      </c>
      <c r="D408" s="169" t="s">
        <v>343</v>
      </c>
    </row>
    <row r="409">
      <c r="A409" s="170">
        <v>41926.0</v>
      </c>
      <c r="B409" s="168" t="s">
        <v>359</v>
      </c>
      <c r="C409" s="168" t="s">
        <v>405</v>
      </c>
      <c r="D409" s="169" t="s">
        <v>343</v>
      </c>
    </row>
    <row r="410">
      <c r="A410" s="170">
        <v>41927.0</v>
      </c>
      <c r="B410" s="168" t="s">
        <v>359</v>
      </c>
      <c r="C410" s="168" t="s">
        <v>405</v>
      </c>
      <c r="D410" s="169" t="s">
        <v>343</v>
      </c>
    </row>
    <row r="411">
      <c r="A411" s="170">
        <v>41928.0</v>
      </c>
      <c r="B411" s="168" t="s">
        <v>359</v>
      </c>
      <c r="C411" s="168" t="s">
        <v>405</v>
      </c>
      <c r="D411" s="169" t="s">
        <v>343</v>
      </c>
    </row>
    <row r="412">
      <c r="A412" s="170">
        <v>41929.0</v>
      </c>
      <c r="B412" s="168" t="s">
        <v>359</v>
      </c>
      <c r="C412" s="168" t="s">
        <v>405</v>
      </c>
      <c r="D412" s="169" t="s">
        <v>343</v>
      </c>
    </row>
    <row r="413">
      <c r="A413" s="170">
        <v>41930.0</v>
      </c>
      <c r="B413" s="168" t="s">
        <v>359</v>
      </c>
      <c r="C413" s="168" t="s">
        <v>405</v>
      </c>
      <c r="D413" s="169" t="s">
        <v>343</v>
      </c>
    </row>
    <row r="414">
      <c r="A414" s="170">
        <v>41931.0</v>
      </c>
      <c r="B414" s="168" t="s">
        <v>359</v>
      </c>
      <c r="C414" s="168" t="s">
        <v>405</v>
      </c>
      <c r="D414" s="169" t="s">
        <v>343</v>
      </c>
    </row>
    <row r="415">
      <c r="A415" s="170">
        <v>41932.0</v>
      </c>
      <c r="B415" s="168" t="s">
        <v>360</v>
      </c>
      <c r="C415" s="168" t="s">
        <v>405</v>
      </c>
      <c r="D415" s="169" t="s">
        <v>343</v>
      </c>
    </row>
    <row r="416">
      <c r="A416" s="170">
        <v>41933.0</v>
      </c>
      <c r="B416" s="168" t="s">
        <v>360</v>
      </c>
      <c r="C416" s="168" t="s">
        <v>405</v>
      </c>
      <c r="D416" s="169" t="s">
        <v>343</v>
      </c>
    </row>
    <row r="417">
      <c r="A417" s="170">
        <v>41934.0</v>
      </c>
      <c r="B417" s="168" t="s">
        <v>360</v>
      </c>
      <c r="C417" s="168" t="s">
        <v>405</v>
      </c>
      <c r="D417" s="169" t="s">
        <v>343</v>
      </c>
    </row>
    <row r="418">
      <c r="A418" s="170">
        <v>41935.0</v>
      </c>
      <c r="B418" s="168" t="s">
        <v>360</v>
      </c>
      <c r="C418" s="168" t="s">
        <v>405</v>
      </c>
      <c r="D418" s="169" t="s">
        <v>343</v>
      </c>
    </row>
    <row r="419">
      <c r="A419" s="170">
        <v>41936.0</v>
      </c>
      <c r="B419" s="168" t="s">
        <v>360</v>
      </c>
      <c r="C419" s="168" t="s">
        <v>405</v>
      </c>
      <c r="D419" s="169" t="s">
        <v>343</v>
      </c>
    </row>
    <row r="420">
      <c r="A420" s="170">
        <v>41937.0</v>
      </c>
      <c r="B420" s="168" t="s">
        <v>360</v>
      </c>
      <c r="C420" s="168" t="s">
        <v>405</v>
      </c>
      <c r="D420" s="169" t="s">
        <v>343</v>
      </c>
    </row>
    <row r="421">
      <c r="A421" s="170">
        <v>41938.0</v>
      </c>
      <c r="B421" s="168" t="s">
        <v>360</v>
      </c>
      <c r="C421" s="168" t="s">
        <v>405</v>
      </c>
      <c r="D421" s="169" t="s">
        <v>343</v>
      </c>
    </row>
    <row r="422">
      <c r="A422" s="170">
        <v>41939.0</v>
      </c>
      <c r="B422" s="168" t="s">
        <v>361</v>
      </c>
      <c r="C422" s="168" t="s">
        <v>405</v>
      </c>
      <c r="D422" s="169" t="s">
        <v>344</v>
      </c>
    </row>
    <row r="423">
      <c r="A423" s="170">
        <v>41940.0</v>
      </c>
      <c r="B423" s="168" t="s">
        <v>361</v>
      </c>
      <c r="C423" s="168" t="s">
        <v>405</v>
      </c>
      <c r="D423" s="169" t="s">
        <v>344</v>
      </c>
    </row>
    <row r="424">
      <c r="A424" s="170">
        <v>41941.0</v>
      </c>
      <c r="B424" s="168" t="s">
        <v>361</v>
      </c>
      <c r="C424" s="168" t="s">
        <v>405</v>
      </c>
      <c r="D424" s="169" t="s">
        <v>344</v>
      </c>
    </row>
    <row r="425">
      <c r="A425" s="170">
        <v>41942.0</v>
      </c>
      <c r="B425" s="168" t="s">
        <v>361</v>
      </c>
      <c r="C425" s="168" t="s">
        <v>405</v>
      </c>
      <c r="D425" s="169" t="s">
        <v>344</v>
      </c>
    </row>
    <row r="426">
      <c r="A426" s="170">
        <v>41943.0</v>
      </c>
      <c r="B426" s="168" t="s">
        <v>361</v>
      </c>
      <c r="C426" s="168" t="s">
        <v>405</v>
      </c>
      <c r="D426" s="169" t="s">
        <v>344</v>
      </c>
    </row>
    <row r="427">
      <c r="A427" s="170">
        <v>41944.0</v>
      </c>
      <c r="B427" s="168" t="s">
        <v>361</v>
      </c>
      <c r="C427" s="168" t="s">
        <v>405</v>
      </c>
      <c r="D427" s="169" t="s">
        <v>344</v>
      </c>
    </row>
    <row r="428">
      <c r="A428" s="170">
        <v>41945.0</v>
      </c>
      <c r="B428" s="168" t="s">
        <v>361</v>
      </c>
      <c r="C428" s="168" t="s">
        <v>405</v>
      </c>
      <c r="D428" s="169" t="s">
        <v>344</v>
      </c>
    </row>
    <row r="429">
      <c r="A429" s="170">
        <v>41946.0</v>
      </c>
      <c r="B429" s="168" t="s">
        <v>362</v>
      </c>
      <c r="C429" s="168" t="s">
        <v>405</v>
      </c>
      <c r="D429" s="169" t="s">
        <v>344</v>
      </c>
    </row>
    <row r="430">
      <c r="A430" s="170">
        <v>41947.0</v>
      </c>
      <c r="B430" s="168" t="s">
        <v>362</v>
      </c>
      <c r="C430" s="168" t="s">
        <v>405</v>
      </c>
      <c r="D430" s="169" t="s">
        <v>344</v>
      </c>
    </row>
    <row r="431">
      <c r="A431" s="170">
        <v>41948.0</v>
      </c>
      <c r="B431" s="168" t="s">
        <v>362</v>
      </c>
      <c r="C431" s="168" t="s">
        <v>405</v>
      </c>
      <c r="D431" s="169" t="s">
        <v>344</v>
      </c>
    </row>
    <row r="432">
      <c r="A432" s="170">
        <v>41949.0</v>
      </c>
      <c r="B432" s="168" t="s">
        <v>362</v>
      </c>
      <c r="C432" s="168" t="s">
        <v>405</v>
      </c>
      <c r="D432" s="169" t="s">
        <v>344</v>
      </c>
    </row>
    <row r="433">
      <c r="A433" s="170">
        <v>41950.0</v>
      </c>
      <c r="B433" s="168" t="s">
        <v>362</v>
      </c>
      <c r="C433" s="168" t="s">
        <v>405</v>
      </c>
      <c r="D433" s="169" t="s">
        <v>344</v>
      </c>
    </row>
    <row r="434">
      <c r="A434" s="170">
        <v>41951.0</v>
      </c>
      <c r="B434" s="168" t="s">
        <v>362</v>
      </c>
      <c r="C434" s="168" t="s">
        <v>405</v>
      </c>
      <c r="D434" s="169" t="s">
        <v>344</v>
      </c>
    </row>
    <row r="435">
      <c r="A435" s="170">
        <v>41952.0</v>
      </c>
      <c r="B435" s="168" t="s">
        <v>362</v>
      </c>
      <c r="C435" s="168" t="s">
        <v>405</v>
      </c>
      <c r="D435" s="169" t="s">
        <v>344</v>
      </c>
    </row>
    <row r="436">
      <c r="A436" s="170">
        <v>41953.0</v>
      </c>
      <c r="B436" s="168" t="s">
        <v>363</v>
      </c>
      <c r="C436" s="168" t="s">
        <v>405</v>
      </c>
      <c r="D436" s="169" t="s">
        <v>344</v>
      </c>
    </row>
    <row r="437">
      <c r="A437" s="170">
        <v>41954.0</v>
      </c>
      <c r="B437" s="168" t="s">
        <v>363</v>
      </c>
      <c r="C437" s="168" t="s">
        <v>405</v>
      </c>
      <c r="D437" s="169" t="s">
        <v>344</v>
      </c>
    </row>
    <row r="438">
      <c r="A438" s="170">
        <v>41955.0</v>
      </c>
      <c r="B438" s="168" t="s">
        <v>363</v>
      </c>
      <c r="C438" s="168" t="s">
        <v>405</v>
      </c>
      <c r="D438" s="169" t="s">
        <v>344</v>
      </c>
    </row>
    <row r="439">
      <c r="A439" s="170">
        <v>41956.0</v>
      </c>
      <c r="B439" s="168" t="s">
        <v>363</v>
      </c>
      <c r="C439" s="168" t="s">
        <v>405</v>
      </c>
      <c r="D439" s="169" t="s">
        <v>344</v>
      </c>
    </row>
    <row r="440">
      <c r="A440" s="170">
        <v>41957.0</v>
      </c>
      <c r="B440" s="168" t="s">
        <v>363</v>
      </c>
      <c r="C440" s="168" t="s">
        <v>405</v>
      </c>
      <c r="D440" s="169" t="s">
        <v>344</v>
      </c>
    </row>
    <row r="441">
      <c r="A441" s="170">
        <v>41958.0</v>
      </c>
      <c r="B441" s="168" t="s">
        <v>363</v>
      </c>
      <c r="C441" s="168" t="s">
        <v>405</v>
      </c>
      <c r="D441" s="169" t="s">
        <v>344</v>
      </c>
    </row>
    <row r="442">
      <c r="A442" s="170">
        <v>41959.0</v>
      </c>
      <c r="B442" s="168" t="s">
        <v>363</v>
      </c>
      <c r="C442" s="168" t="s">
        <v>405</v>
      </c>
      <c r="D442" s="169" t="s">
        <v>344</v>
      </c>
    </row>
    <row r="443">
      <c r="A443" s="170">
        <v>41960.0</v>
      </c>
      <c r="B443" s="168" t="s">
        <v>364</v>
      </c>
      <c r="C443" s="168" t="s">
        <v>405</v>
      </c>
      <c r="D443" s="169" t="s">
        <v>344</v>
      </c>
    </row>
    <row r="444">
      <c r="A444" s="170">
        <v>41961.0</v>
      </c>
      <c r="B444" s="168" t="s">
        <v>364</v>
      </c>
      <c r="C444" s="168" t="s">
        <v>405</v>
      </c>
      <c r="D444" s="169" t="s">
        <v>344</v>
      </c>
    </row>
    <row r="445">
      <c r="A445" s="170">
        <v>41962.0</v>
      </c>
      <c r="B445" s="168" t="s">
        <v>364</v>
      </c>
      <c r="C445" s="168" t="s">
        <v>405</v>
      </c>
      <c r="D445" s="169" t="s">
        <v>344</v>
      </c>
    </row>
    <row r="446">
      <c r="A446" s="170">
        <v>41963.0</v>
      </c>
      <c r="B446" s="168" t="s">
        <v>364</v>
      </c>
      <c r="C446" s="168" t="s">
        <v>405</v>
      </c>
      <c r="D446" s="169" t="s">
        <v>344</v>
      </c>
    </row>
    <row r="447">
      <c r="A447" s="170">
        <v>41964.0</v>
      </c>
      <c r="B447" s="168" t="s">
        <v>364</v>
      </c>
      <c r="C447" s="168" t="s">
        <v>405</v>
      </c>
      <c r="D447" s="169" t="s">
        <v>344</v>
      </c>
    </row>
    <row r="448">
      <c r="A448" s="170">
        <v>41965.0</v>
      </c>
      <c r="B448" s="168" t="s">
        <v>364</v>
      </c>
      <c r="C448" s="168" t="s">
        <v>405</v>
      </c>
      <c r="D448" s="169" t="s">
        <v>344</v>
      </c>
    </row>
    <row r="449">
      <c r="A449" s="170">
        <v>41966.0</v>
      </c>
      <c r="B449" s="168" t="s">
        <v>364</v>
      </c>
      <c r="C449" s="168" t="s">
        <v>405</v>
      </c>
      <c r="D449" s="169" t="s">
        <v>344</v>
      </c>
    </row>
    <row r="450">
      <c r="A450" s="170">
        <v>41967.0</v>
      </c>
      <c r="B450" s="168" t="s">
        <v>365</v>
      </c>
      <c r="C450" s="168" t="s">
        <v>405</v>
      </c>
      <c r="D450" s="169" t="s">
        <v>345</v>
      </c>
    </row>
    <row r="451">
      <c r="A451" s="170">
        <v>41968.0</v>
      </c>
      <c r="B451" s="168" t="s">
        <v>365</v>
      </c>
      <c r="C451" s="168" t="s">
        <v>405</v>
      </c>
      <c r="D451" s="169" t="s">
        <v>345</v>
      </c>
    </row>
    <row r="452">
      <c r="A452" s="170">
        <v>41969.0</v>
      </c>
      <c r="B452" s="168" t="s">
        <v>365</v>
      </c>
      <c r="C452" s="168" t="s">
        <v>405</v>
      </c>
      <c r="D452" s="169" t="s">
        <v>345</v>
      </c>
    </row>
    <row r="453">
      <c r="A453" s="170">
        <v>41970.0</v>
      </c>
      <c r="B453" s="168" t="s">
        <v>365</v>
      </c>
      <c r="C453" s="168" t="s">
        <v>405</v>
      </c>
      <c r="D453" s="169" t="s">
        <v>345</v>
      </c>
    </row>
    <row r="454">
      <c r="A454" s="170">
        <v>41971.0</v>
      </c>
      <c r="B454" s="168" t="s">
        <v>365</v>
      </c>
      <c r="C454" s="168" t="s">
        <v>405</v>
      </c>
      <c r="D454" s="169" t="s">
        <v>345</v>
      </c>
    </row>
    <row r="455">
      <c r="A455" s="170">
        <v>41972.0</v>
      </c>
      <c r="B455" s="168" t="s">
        <v>365</v>
      </c>
      <c r="C455" s="168" t="s">
        <v>405</v>
      </c>
      <c r="D455" s="169" t="s">
        <v>345</v>
      </c>
    </row>
    <row r="456">
      <c r="A456" s="170">
        <v>41973.0</v>
      </c>
      <c r="B456" s="168" t="s">
        <v>365</v>
      </c>
      <c r="C456" s="168" t="s">
        <v>405</v>
      </c>
      <c r="D456" s="169" t="s">
        <v>345</v>
      </c>
    </row>
    <row r="457">
      <c r="A457" s="170">
        <v>41974.0</v>
      </c>
      <c r="B457" s="168" t="s">
        <v>366</v>
      </c>
      <c r="C457" s="168" t="s">
        <v>405</v>
      </c>
      <c r="D457" s="169" t="s">
        <v>345</v>
      </c>
    </row>
    <row r="458">
      <c r="A458" s="170">
        <v>41975.0</v>
      </c>
      <c r="B458" s="168" t="s">
        <v>366</v>
      </c>
      <c r="C458" s="168" t="s">
        <v>405</v>
      </c>
      <c r="D458" s="169" t="s">
        <v>345</v>
      </c>
    </row>
    <row r="459">
      <c r="A459" s="170">
        <v>41976.0</v>
      </c>
      <c r="B459" s="168" t="s">
        <v>366</v>
      </c>
      <c r="C459" s="168" t="s">
        <v>405</v>
      </c>
      <c r="D459" s="169" t="s">
        <v>345</v>
      </c>
    </row>
    <row r="460">
      <c r="A460" s="170">
        <v>41977.0</v>
      </c>
      <c r="B460" s="168" t="s">
        <v>366</v>
      </c>
      <c r="C460" s="168" t="s">
        <v>405</v>
      </c>
      <c r="D460" s="169" t="s">
        <v>345</v>
      </c>
    </row>
    <row r="461">
      <c r="A461" s="170">
        <v>41978.0</v>
      </c>
      <c r="B461" s="168" t="s">
        <v>366</v>
      </c>
      <c r="C461" s="168" t="s">
        <v>405</v>
      </c>
      <c r="D461" s="169" t="s">
        <v>345</v>
      </c>
    </row>
    <row r="462">
      <c r="A462" s="170">
        <v>41979.0</v>
      </c>
      <c r="B462" s="168" t="s">
        <v>366</v>
      </c>
      <c r="C462" s="168" t="s">
        <v>405</v>
      </c>
      <c r="D462" s="169" t="s">
        <v>345</v>
      </c>
    </row>
    <row r="463">
      <c r="A463" s="170">
        <v>41980.0</v>
      </c>
      <c r="B463" s="168" t="s">
        <v>366</v>
      </c>
      <c r="C463" s="168" t="s">
        <v>405</v>
      </c>
      <c r="D463" s="169" t="s">
        <v>345</v>
      </c>
    </row>
    <row r="464">
      <c r="A464" s="170">
        <v>41981.0</v>
      </c>
      <c r="B464" s="168" t="s">
        <v>367</v>
      </c>
      <c r="C464" s="168" t="s">
        <v>405</v>
      </c>
      <c r="D464" s="169" t="s">
        <v>345</v>
      </c>
    </row>
    <row r="465">
      <c r="A465" s="170">
        <v>41982.0</v>
      </c>
      <c r="B465" s="168" t="s">
        <v>367</v>
      </c>
      <c r="C465" s="168" t="s">
        <v>405</v>
      </c>
      <c r="D465" s="169" t="s">
        <v>345</v>
      </c>
    </row>
    <row r="466">
      <c r="A466" s="170">
        <v>41983.0</v>
      </c>
      <c r="B466" s="168" t="s">
        <v>367</v>
      </c>
      <c r="C466" s="168" t="s">
        <v>405</v>
      </c>
      <c r="D466" s="169" t="s">
        <v>345</v>
      </c>
    </row>
    <row r="467">
      <c r="A467" s="170">
        <v>41984.0</v>
      </c>
      <c r="B467" s="168" t="s">
        <v>367</v>
      </c>
      <c r="C467" s="168" t="s">
        <v>405</v>
      </c>
      <c r="D467" s="169" t="s">
        <v>345</v>
      </c>
    </row>
    <row r="468">
      <c r="A468" s="170">
        <v>41985.0</v>
      </c>
      <c r="B468" s="168" t="s">
        <v>367</v>
      </c>
      <c r="C468" s="168" t="s">
        <v>405</v>
      </c>
      <c r="D468" s="169" t="s">
        <v>345</v>
      </c>
    </row>
    <row r="469">
      <c r="A469" s="170">
        <v>41986.0</v>
      </c>
      <c r="B469" s="168" t="s">
        <v>367</v>
      </c>
      <c r="C469" s="168" t="s">
        <v>405</v>
      </c>
      <c r="D469" s="169" t="s">
        <v>345</v>
      </c>
    </row>
    <row r="470">
      <c r="A470" s="170">
        <v>41987.0</v>
      </c>
      <c r="B470" s="168" t="s">
        <v>367</v>
      </c>
      <c r="C470" s="168" t="s">
        <v>405</v>
      </c>
      <c r="D470" s="169" t="s">
        <v>345</v>
      </c>
    </row>
    <row r="471">
      <c r="A471" s="170">
        <v>41988.0</v>
      </c>
      <c r="B471" s="168" t="s">
        <v>368</v>
      </c>
      <c r="C471" s="168" t="s">
        <v>405</v>
      </c>
      <c r="D471" s="169" t="s">
        <v>345</v>
      </c>
    </row>
    <row r="472">
      <c r="A472" s="170">
        <v>41989.0</v>
      </c>
      <c r="B472" s="168" t="s">
        <v>368</v>
      </c>
      <c r="C472" s="168" t="s">
        <v>405</v>
      </c>
      <c r="D472" s="169" t="s">
        <v>345</v>
      </c>
    </row>
    <row r="473">
      <c r="A473" s="170">
        <v>41990.0</v>
      </c>
      <c r="B473" s="168" t="s">
        <v>368</v>
      </c>
      <c r="C473" s="168" t="s">
        <v>405</v>
      </c>
      <c r="D473" s="169" t="s">
        <v>345</v>
      </c>
    </row>
    <row r="474">
      <c r="A474" s="170">
        <v>41991.0</v>
      </c>
      <c r="B474" s="168" t="s">
        <v>368</v>
      </c>
      <c r="C474" s="168" t="s">
        <v>405</v>
      </c>
      <c r="D474" s="169" t="s">
        <v>345</v>
      </c>
    </row>
    <row r="475">
      <c r="A475" s="170">
        <v>41992.0</v>
      </c>
      <c r="B475" s="168" t="s">
        <v>368</v>
      </c>
      <c r="C475" s="168" t="s">
        <v>405</v>
      </c>
      <c r="D475" s="169" t="s">
        <v>345</v>
      </c>
    </row>
    <row r="476">
      <c r="A476" s="170">
        <v>41993.0</v>
      </c>
      <c r="B476" s="168" t="s">
        <v>368</v>
      </c>
      <c r="C476" s="168" t="s">
        <v>405</v>
      </c>
      <c r="D476" s="169" t="s">
        <v>345</v>
      </c>
    </row>
    <row r="477">
      <c r="A477" s="170">
        <v>41994.0</v>
      </c>
      <c r="B477" s="168" t="s">
        <v>368</v>
      </c>
      <c r="C477" s="168" t="s">
        <v>405</v>
      </c>
      <c r="D477" s="169" t="s">
        <v>345</v>
      </c>
    </row>
    <row r="478">
      <c r="A478" s="170">
        <v>41995.0</v>
      </c>
      <c r="B478" s="168" t="s">
        <v>369</v>
      </c>
      <c r="C478" s="168" t="s">
        <v>405</v>
      </c>
      <c r="D478" s="169" t="s">
        <v>346</v>
      </c>
    </row>
    <row r="479">
      <c r="A479" s="170">
        <v>41996.0</v>
      </c>
      <c r="B479" s="168" t="s">
        <v>369</v>
      </c>
      <c r="C479" s="168" t="s">
        <v>405</v>
      </c>
      <c r="D479" s="169" t="s">
        <v>346</v>
      </c>
    </row>
    <row r="480">
      <c r="A480" s="170">
        <v>41997.0</v>
      </c>
      <c r="B480" s="168" t="s">
        <v>369</v>
      </c>
      <c r="C480" s="168" t="s">
        <v>405</v>
      </c>
      <c r="D480" s="169" t="s">
        <v>346</v>
      </c>
    </row>
    <row r="481">
      <c r="A481" s="170">
        <v>41998.0</v>
      </c>
      <c r="B481" s="168" t="s">
        <v>369</v>
      </c>
      <c r="C481" s="168" t="s">
        <v>405</v>
      </c>
      <c r="D481" s="169" t="s">
        <v>346</v>
      </c>
    </row>
    <row r="482">
      <c r="A482" s="170">
        <v>41999.0</v>
      </c>
      <c r="B482" s="168" t="s">
        <v>369</v>
      </c>
      <c r="C482" s="168" t="s">
        <v>405</v>
      </c>
      <c r="D482" s="169" t="s">
        <v>346</v>
      </c>
    </row>
    <row r="483">
      <c r="A483" s="170">
        <v>42000.0</v>
      </c>
      <c r="B483" s="168" t="s">
        <v>369</v>
      </c>
      <c r="C483" s="168" t="s">
        <v>405</v>
      </c>
      <c r="D483" s="169" t="s">
        <v>346</v>
      </c>
    </row>
    <row r="484">
      <c r="A484" s="170">
        <v>42001.0</v>
      </c>
      <c r="B484" s="168" t="s">
        <v>369</v>
      </c>
      <c r="C484" s="168" t="s">
        <v>405</v>
      </c>
      <c r="D484" s="169" t="s">
        <v>346</v>
      </c>
    </row>
    <row r="485">
      <c r="A485" s="170">
        <v>42002.0</v>
      </c>
      <c r="B485" s="168" t="s">
        <v>370</v>
      </c>
      <c r="C485" s="168" t="s">
        <v>405</v>
      </c>
      <c r="D485" s="169" t="s">
        <v>346</v>
      </c>
    </row>
    <row r="486">
      <c r="A486" s="170">
        <v>42003.0</v>
      </c>
      <c r="B486" s="168" t="s">
        <v>370</v>
      </c>
      <c r="C486" s="168" t="s">
        <v>405</v>
      </c>
      <c r="D486" s="169" t="s">
        <v>346</v>
      </c>
    </row>
    <row r="487">
      <c r="A487" s="170">
        <v>42004.0</v>
      </c>
      <c r="B487" s="168" t="s">
        <v>370</v>
      </c>
      <c r="C487" s="168" t="s">
        <v>405</v>
      </c>
      <c r="D487" s="169" t="s">
        <v>346</v>
      </c>
    </row>
    <row r="488">
      <c r="A488" s="170">
        <v>42005.0</v>
      </c>
      <c r="B488" s="168" t="s">
        <v>370</v>
      </c>
      <c r="C488" s="168" t="s">
        <v>405</v>
      </c>
      <c r="D488" s="169" t="s">
        <v>346</v>
      </c>
    </row>
    <row r="489">
      <c r="A489" s="170">
        <v>42006.0</v>
      </c>
      <c r="B489" s="168" t="s">
        <v>370</v>
      </c>
      <c r="C489" s="168" t="s">
        <v>405</v>
      </c>
      <c r="D489" s="169" t="s">
        <v>346</v>
      </c>
    </row>
    <row r="490">
      <c r="A490" s="170">
        <v>42007.0</v>
      </c>
      <c r="B490" s="168" t="s">
        <v>370</v>
      </c>
      <c r="C490" s="168" t="s">
        <v>405</v>
      </c>
      <c r="D490" s="169" t="s">
        <v>346</v>
      </c>
    </row>
    <row r="491">
      <c r="A491" s="170">
        <v>42008.0</v>
      </c>
      <c r="B491" s="168" t="s">
        <v>370</v>
      </c>
      <c r="C491" s="168" t="s">
        <v>405</v>
      </c>
      <c r="D491" s="169" t="s">
        <v>346</v>
      </c>
    </row>
    <row r="492">
      <c r="A492" s="170">
        <v>42009.0</v>
      </c>
      <c r="B492" s="168" t="s">
        <v>371</v>
      </c>
      <c r="C492" s="168" t="s">
        <v>405</v>
      </c>
      <c r="D492" s="169" t="s">
        <v>346</v>
      </c>
    </row>
    <row r="493">
      <c r="A493" s="170">
        <v>42010.0</v>
      </c>
      <c r="B493" s="168" t="s">
        <v>371</v>
      </c>
      <c r="C493" s="168" t="s">
        <v>405</v>
      </c>
      <c r="D493" s="169" t="s">
        <v>346</v>
      </c>
    </row>
    <row r="494">
      <c r="A494" s="170">
        <v>42011.0</v>
      </c>
      <c r="B494" s="168" t="s">
        <v>371</v>
      </c>
      <c r="C494" s="168" t="s">
        <v>405</v>
      </c>
      <c r="D494" s="169" t="s">
        <v>346</v>
      </c>
    </row>
    <row r="495">
      <c r="A495" s="170">
        <v>42012.0</v>
      </c>
      <c r="B495" s="168" t="s">
        <v>371</v>
      </c>
      <c r="C495" s="168" t="s">
        <v>405</v>
      </c>
      <c r="D495" s="169" t="s">
        <v>346</v>
      </c>
    </row>
    <row r="496">
      <c r="A496" s="170">
        <v>42013.0</v>
      </c>
      <c r="B496" s="168" t="s">
        <v>371</v>
      </c>
      <c r="C496" s="168" t="s">
        <v>405</v>
      </c>
      <c r="D496" s="169" t="s">
        <v>346</v>
      </c>
    </row>
    <row r="497">
      <c r="A497" s="170">
        <v>42014.0</v>
      </c>
      <c r="B497" s="168" t="s">
        <v>371</v>
      </c>
      <c r="C497" s="168" t="s">
        <v>405</v>
      </c>
      <c r="D497" s="169" t="s">
        <v>346</v>
      </c>
    </row>
    <row r="498">
      <c r="A498" s="170">
        <v>42015.0</v>
      </c>
      <c r="B498" s="168" t="s">
        <v>371</v>
      </c>
      <c r="C498" s="168" t="s">
        <v>405</v>
      </c>
      <c r="D498" s="169" t="s">
        <v>346</v>
      </c>
    </row>
    <row r="499">
      <c r="A499" s="170">
        <v>42016.0</v>
      </c>
      <c r="B499" s="168" t="s">
        <v>372</v>
      </c>
      <c r="C499" s="168" t="s">
        <v>405</v>
      </c>
      <c r="D499" s="169" t="s">
        <v>346</v>
      </c>
    </row>
    <row r="500">
      <c r="A500" s="170">
        <v>42017.0</v>
      </c>
      <c r="B500" s="168" t="s">
        <v>372</v>
      </c>
      <c r="C500" s="168" t="s">
        <v>405</v>
      </c>
      <c r="D500" s="169" t="s">
        <v>346</v>
      </c>
    </row>
    <row r="501">
      <c r="A501" s="170">
        <v>42018.0</v>
      </c>
      <c r="B501" s="168" t="s">
        <v>372</v>
      </c>
      <c r="C501" s="168" t="s">
        <v>405</v>
      </c>
      <c r="D501" s="169" t="s">
        <v>346</v>
      </c>
    </row>
    <row r="502">
      <c r="A502" s="170">
        <v>42019.0</v>
      </c>
      <c r="B502" s="168" t="s">
        <v>372</v>
      </c>
      <c r="C502" s="168" t="s">
        <v>405</v>
      </c>
      <c r="D502" s="169" t="s">
        <v>346</v>
      </c>
    </row>
    <row r="503">
      <c r="A503" s="170">
        <v>42020.0</v>
      </c>
      <c r="B503" s="168" t="s">
        <v>372</v>
      </c>
      <c r="C503" s="168" t="s">
        <v>405</v>
      </c>
      <c r="D503" s="169" t="s">
        <v>346</v>
      </c>
    </row>
    <row r="504">
      <c r="A504" s="170">
        <v>42021.0</v>
      </c>
      <c r="B504" s="168" t="s">
        <v>372</v>
      </c>
      <c r="C504" s="168" t="s">
        <v>405</v>
      </c>
      <c r="D504" s="169" t="s">
        <v>346</v>
      </c>
    </row>
    <row r="505">
      <c r="A505" s="170">
        <v>42022.0</v>
      </c>
      <c r="B505" s="168" t="s">
        <v>372</v>
      </c>
      <c r="C505" s="168" t="s">
        <v>405</v>
      </c>
      <c r="D505" s="169" t="s">
        <v>346</v>
      </c>
    </row>
    <row r="506">
      <c r="A506" s="170">
        <v>42023.0</v>
      </c>
      <c r="B506" s="168" t="s">
        <v>373</v>
      </c>
      <c r="C506" s="168" t="s">
        <v>405</v>
      </c>
      <c r="D506" s="169" t="s">
        <v>347</v>
      </c>
    </row>
    <row r="507">
      <c r="A507" s="170">
        <v>42024.0</v>
      </c>
      <c r="B507" s="168" t="s">
        <v>373</v>
      </c>
      <c r="C507" s="168" t="s">
        <v>405</v>
      </c>
      <c r="D507" s="169" t="s">
        <v>347</v>
      </c>
    </row>
    <row r="508">
      <c r="A508" s="170">
        <v>42025.0</v>
      </c>
      <c r="B508" s="168" t="s">
        <v>373</v>
      </c>
      <c r="C508" s="168" t="s">
        <v>405</v>
      </c>
      <c r="D508" s="169" t="s">
        <v>347</v>
      </c>
    </row>
    <row r="509">
      <c r="A509" s="170">
        <v>42026.0</v>
      </c>
      <c r="B509" s="168" t="s">
        <v>373</v>
      </c>
      <c r="C509" s="168" t="s">
        <v>405</v>
      </c>
      <c r="D509" s="169" t="s">
        <v>347</v>
      </c>
    </row>
    <row r="510">
      <c r="A510" s="170">
        <v>42027.0</v>
      </c>
      <c r="B510" s="168" t="s">
        <v>373</v>
      </c>
      <c r="C510" s="168" t="s">
        <v>405</v>
      </c>
      <c r="D510" s="169" t="s">
        <v>347</v>
      </c>
    </row>
    <row r="511">
      <c r="A511" s="170">
        <v>42028.0</v>
      </c>
      <c r="B511" s="168" t="s">
        <v>373</v>
      </c>
      <c r="C511" s="168" t="s">
        <v>405</v>
      </c>
      <c r="D511" s="169" t="s">
        <v>347</v>
      </c>
    </row>
    <row r="512">
      <c r="A512" s="170">
        <v>42029.0</v>
      </c>
      <c r="B512" s="168" t="s">
        <v>373</v>
      </c>
      <c r="C512" s="168" t="s">
        <v>405</v>
      </c>
      <c r="D512" s="169" t="s">
        <v>347</v>
      </c>
    </row>
    <row r="513">
      <c r="A513" s="170">
        <v>42030.0</v>
      </c>
      <c r="B513" s="168" t="s">
        <v>374</v>
      </c>
      <c r="C513" s="168" t="s">
        <v>405</v>
      </c>
      <c r="D513" s="169" t="s">
        <v>347</v>
      </c>
    </row>
    <row r="514">
      <c r="A514" s="170">
        <v>42031.0</v>
      </c>
      <c r="B514" s="168" t="s">
        <v>374</v>
      </c>
      <c r="C514" s="168" t="s">
        <v>405</v>
      </c>
      <c r="D514" s="169" t="s">
        <v>347</v>
      </c>
    </row>
    <row r="515">
      <c r="A515" s="170">
        <v>42032.0</v>
      </c>
      <c r="B515" s="168" t="s">
        <v>374</v>
      </c>
      <c r="C515" s="168" t="s">
        <v>405</v>
      </c>
      <c r="D515" s="169" t="s">
        <v>347</v>
      </c>
    </row>
    <row r="516">
      <c r="A516" s="170">
        <v>42033.0</v>
      </c>
      <c r="B516" s="168" t="s">
        <v>374</v>
      </c>
      <c r="C516" s="168" t="s">
        <v>405</v>
      </c>
      <c r="D516" s="169" t="s">
        <v>347</v>
      </c>
    </row>
    <row r="517">
      <c r="A517" s="170">
        <v>42034.0</v>
      </c>
      <c r="B517" s="168" t="s">
        <v>374</v>
      </c>
      <c r="C517" s="168" t="s">
        <v>405</v>
      </c>
      <c r="D517" s="169" t="s">
        <v>347</v>
      </c>
    </row>
    <row r="518">
      <c r="A518" s="170">
        <v>42035.0</v>
      </c>
      <c r="B518" s="168" t="s">
        <v>374</v>
      </c>
      <c r="C518" s="168" t="s">
        <v>405</v>
      </c>
      <c r="D518" s="169" t="s">
        <v>347</v>
      </c>
    </row>
    <row r="519">
      <c r="A519" s="170">
        <v>42036.0</v>
      </c>
      <c r="B519" s="168" t="s">
        <v>374</v>
      </c>
      <c r="C519" s="168" t="s">
        <v>405</v>
      </c>
      <c r="D519" s="169" t="s">
        <v>347</v>
      </c>
    </row>
    <row r="520">
      <c r="A520" s="170">
        <v>42037.0</v>
      </c>
      <c r="B520" s="168" t="s">
        <v>375</v>
      </c>
      <c r="C520" s="168" t="s">
        <v>405</v>
      </c>
      <c r="D520" s="169" t="s">
        <v>347</v>
      </c>
    </row>
    <row r="521">
      <c r="A521" s="170">
        <v>42038.0</v>
      </c>
      <c r="B521" s="168" t="s">
        <v>375</v>
      </c>
      <c r="C521" s="168" t="s">
        <v>405</v>
      </c>
      <c r="D521" s="169" t="s">
        <v>347</v>
      </c>
    </row>
    <row r="522">
      <c r="A522" s="170">
        <v>42039.0</v>
      </c>
      <c r="B522" s="168" t="s">
        <v>375</v>
      </c>
      <c r="C522" s="168" t="s">
        <v>405</v>
      </c>
      <c r="D522" s="169" t="s">
        <v>347</v>
      </c>
    </row>
    <row r="523">
      <c r="A523" s="170">
        <v>42040.0</v>
      </c>
      <c r="B523" s="168" t="s">
        <v>375</v>
      </c>
      <c r="C523" s="168" t="s">
        <v>405</v>
      </c>
      <c r="D523" s="169" t="s">
        <v>347</v>
      </c>
    </row>
    <row r="524">
      <c r="A524" s="170">
        <v>42041.0</v>
      </c>
      <c r="B524" s="168" t="s">
        <v>375</v>
      </c>
      <c r="C524" s="168" t="s">
        <v>405</v>
      </c>
      <c r="D524" s="169" t="s">
        <v>347</v>
      </c>
    </row>
    <row r="525">
      <c r="A525" s="170">
        <v>42042.0</v>
      </c>
      <c r="B525" s="168" t="s">
        <v>375</v>
      </c>
      <c r="C525" s="168" t="s">
        <v>405</v>
      </c>
      <c r="D525" s="169" t="s">
        <v>347</v>
      </c>
    </row>
    <row r="526">
      <c r="A526" s="170">
        <v>42043.0</v>
      </c>
      <c r="B526" s="168" t="s">
        <v>375</v>
      </c>
      <c r="C526" s="168" t="s">
        <v>405</v>
      </c>
      <c r="D526" s="169" t="s">
        <v>347</v>
      </c>
    </row>
    <row r="527">
      <c r="A527" s="170">
        <v>42044.0</v>
      </c>
      <c r="B527" s="168" t="s">
        <v>376</v>
      </c>
      <c r="C527" s="168" t="s">
        <v>405</v>
      </c>
      <c r="D527" s="169" t="s">
        <v>347</v>
      </c>
    </row>
    <row r="528">
      <c r="A528" s="170">
        <v>42045.0</v>
      </c>
      <c r="B528" s="168" t="s">
        <v>376</v>
      </c>
      <c r="C528" s="168" t="s">
        <v>405</v>
      </c>
      <c r="D528" s="169" t="s">
        <v>347</v>
      </c>
    </row>
    <row r="529">
      <c r="A529" s="170">
        <v>42046.0</v>
      </c>
      <c r="B529" s="168" t="s">
        <v>376</v>
      </c>
      <c r="C529" s="168" t="s">
        <v>405</v>
      </c>
      <c r="D529" s="169" t="s">
        <v>347</v>
      </c>
    </row>
    <row r="530">
      <c r="A530" s="170">
        <v>42047.0</v>
      </c>
      <c r="B530" s="168" t="s">
        <v>376</v>
      </c>
      <c r="C530" s="168" t="s">
        <v>405</v>
      </c>
      <c r="D530" s="169" t="s">
        <v>347</v>
      </c>
    </row>
    <row r="531">
      <c r="A531" s="170">
        <v>42048.0</v>
      </c>
      <c r="B531" s="168" t="s">
        <v>376</v>
      </c>
      <c r="C531" s="168" t="s">
        <v>405</v>
      </c>
      <c r="D531" s="169" t="s">
        <v>347</v>
      </c>
    </row>
    <row r="532">
      <c r="A532" s="170">
        <v>42049.0</v>
      </c>
      <c r="B532" s="168" t="s">
        <v>376</v>
      </c>
      <c r="C532" s="168" t="s">
        <v>405</v>
      </c>
      <c r="D532" s="169" t="s">
        <v>347</v>
      </c>
    </row>
    <row r="533">
      <c r="A533" s="170">
        <v>42050.0</v>
      </c>
      <c r="B533" s="168" t="s">
        <v>376</v>
      </c>
      <c r="C533" s="168" t="s">
        <v>405</v>
      </c>
      <c r="D533" s="169" t="s">
        <v>347</v>
      </c>
    </row>
    <row r="534">
      <c r="A534" s="170">
        <v>42051.0</v>
      </c>
      <c r="B534" s="168" t="s">
        <v>377</v>
      </c>
      <c r="C534" s="168" t="s">
        <v>405</v>
      </c>
      <c r="D534" s="169" t="s">
        <v>348</v>
      </c>
    </row>
    <row r="535">
      <c r="A535" s="170">
        <v>42052.0</v>
      </c>
      <c r="B535" s="168" t="s">
        <v>377</v>
      </c>
      <c r="C535" s="168" t="s">
        <v>405</v>
      </c>
      <c r="D535" s="169" t="s">
        <v>348</v>
      </c>
    </row>
    <row r="536">
      <c r="A536" s="170">
        <v>42053.0</v>
      </c>
      <c r="B536" s="168" t="s">
        <v>377</v>
      </c>
      <c r="C536" s="168" t="s">
        <v>405</v>
      </c>
      <c r="D536" s="169" t="s">
        <v>348</v>
      </c>
    </row>
    <row r="537">
      <c r="A537" s="170">
        <v>42054.0</v>
      </c>
      <c r="B537" s="168" t="s">
        <v>377</v>
      </c>
      <c r="C537" s="168" t="s">
        <v>405</v>
      </c>
      <c r="D537" s="169" t="s">
        <v>348</v>
      </c>
    </row>
    <row r="538">
      <c r="A538" s="170">
        <v>42055.0</v>
      </c>
      <c r="B538" s="168" t="s">
        <v>377</v>
      </c>
      <c r="C538" s="168" t="s">
        <v>405</v>
      </c>
      <c r="D538" s="169" t="s">
        <v>348</v>
      </c>
    </row>
    <row r="539">
      <c r="A539" s="170">
        <v>42056.0</v>
      </c>
      <c r="B539" s="168" t="s">
        <v>377</v>
      </c>
      <c r="C539" s="168" t="s">
        <v>405</v>
      </c>
      <c r="D539" s="169" t="s">
        <v>348</v>
      </c>
    </row>
    <row r="540">
      <c r="A540" s="170">
        <v>42057.0</v>
      </c>
      <c r="B540" s="168" t="s">
        <v>377</v>
      </c>
      <c r="C540" s="168" t="s">
        <v>405</v>
      </c>
      <c r="D540" s="169" t="s">
        <v>348</v>
      </c>
    </row>
    <row r="541">
      <c r="A541" s="170">
        <v>42058.0</v>
      </c>
      <c r="B541" s="168" t="s">
        <v>378</v>
      </c>
      <c r="C541" s="168" t="s">
        <v>405</v>
      </c>
      <c r="D541" s="169" t="s">
        <v>348</v>
      </c>
    </row>
    <row r="542">
      <c r="A542" s="170">
        <v>42059.0</v>
      </c>
      <c r="B542" s="168" t="s">
        <v>378</v>
      </c>
      <c r="C542" s="168" t="s">
        <v>405</v>
      </c>
      <c r="D542" s="169" t="s">
        <v>348</v>
      </c>
    </row>
    <row r="543">
      <c r="A543" s="170">
        <v>42060.0</v>
      </c>
      <c r="B543" s="168" t="s">
        <v>378</v>
      </c>
      <c r="C543" s="168" t="s">
        <v>405</v>
      </c>
      <c r="D543" s="169" t="s">
        <v>348</v>
      </c>
    </row>
    <row r="544">
      <c r="A544" s="170">
        <v>42061.0</v>
      </c>
      <c r="B544" s="168" t="s">
        <v>378</v>
      </c>
      <c r="C544" s="168" t="s">
        <v>405</v>
      </c>
      <c r="D544" s="169" t="s">
        <v>348</v>
      </c>
    </row>
    <row r="545">
      <c r="A545" s="170">
        <v>42062.0</v>
      </c>
      <c r="B545" s="168" t="s">
        <v>378</v>
      </c>
      <c r="C545" s="168" t="s">
        <v>405</v>
      </c>
      <c r="D545" s="169" t="s">
        <v>348</v>
      </c>
    </row>
    <row r="546">
      <c r="A546" s="170">
        <v>42063.0</v>
      </c>
      <c r="B546" s="168" t="s">
        <v>378</v>
      </c>
      <c r="C546" s="168" t="s">
        <v>405</v>
      </c>
      <c r="D546" s="169" t="s">
        <v>348</v>
      </c>
    </row>
    <row r="547">
      <c r="A547" s="170">
        <v>42064.0</v>
      </c>
      <c r="B547" s="168" t="s">
        <v>378</v>
      </c>
      <c r="C547" s="168" t="s">
        <v>405</v>
      </c>
      <c r="D547" s="169" t="s">
        <v>348</v>
      </c>
    </row>
    <row r="548">
      <c r="A548" s="170">
        <v>42065.0</v>
      </c>
      <c r="B548" s="168" t="s">
        <v>379</v>
      </c>
      <c r="C548" s="168" t="s">
        <v>405</v>
      </c>
      <c r="D548" s="169" t="s">
        <v>348</v>
      </c>
    </row>
    <row r="549">
      <c r="A549" s="170">
        <v>42066.0</v>
      </c>
      <c r="B549" s="168" t="s">
        <v>379</v>
      </c>
      <c r="C549" s="168" t="s">
        <v>405</v>
      </c>
      <c r="D549" s="169" t="s">
        <v>348</v>
      </c>
    </row>
    <row r="550">
      <c r="A550" s="170">
        <v>42067.0</v>
      </c>
      <c r="B550" s="168" t="s">
        <v>379</v>
      </c>
      <c r="C550" s="168" t="s">
        <v>405</v>
      </c>
      <c r="D550" s="169" t="s">
        <v>348</v>
      </c>
    </row>
    <row r="551">
      <c r="A551" s="170">
        <v>42068.0</v>
      </c>
      <c r="B551" s="168" t="s">
        <v>379</v>
      </c>
      <c r="C551" s="168" t="s">
        <v>405</v>
      </c>
      <c r="D551" s="169" t="s">
        <v>348</v>
      </c>
    </row>
    <row r="552">
      <c r="A552" s="170">
        <v>42069.0</v>
      </c>
      <c r="B552" s="168" t="s">
        <v>379</v>
      </c>
      <c r="C552" s="168" t="s">
        <v>405</v>
      </c>
      <c r="D552" s="169" t="s">
        <v>348</v>
      </c>
    </row>
    <row r="553">
      <c r="A553" s="170">
        <v>42070.0</v>
      </c>
      <c r="B553" s="168" t="s">
        <v>379</v>
      </c>
      <c r="C553" s="168" t="s">
        <v>405</v>
      </c>
      <c r="D553" s="169" t="s">
        <v>348</v>
      </c>
    </row>
    <row r="554">
      <c r="A554" s="170">
        <v>42071.0</v>
      </c>
      <c r="B554" s="168" t="s">
        <v>379</v>
      </c>
      <c r="C554" s="168" t="s">
        <v>405</v>
      </c>
      <c r="D554" s="169" t="s">
        <v>348</v>
      </c>
    </row>
    <row r="555">
      <c r="A555" s="170">
        <v>42072.0</v>
      </c>
      <c r="B555" s="168" t="s">
        <v>380</v>
      </c>
      <c r="C555" s="168" t="s">
        <v>405</v>
      </c>
      <c r="D555" s="169" t="s">
        <v>348</v>
      </c>
    </row>
    <row r="556">
      <c r="A556" s="170">
        <v>42073.0</v>
      </c>
      <c r="B556" s="168" t="s">
        <v>380</v>
      </c>
      <c r="C556" s="168" t="s">
        <v>405</v>
      </c>
      <c r="D556" s="169" t="s">
        <v>348</v>
      </c>
    </row>
    <row r="557">
      <c r="A557" s="170">
        <v>42074.0</v>
      </c>
      <c r="B557" s="168" t="s">
        <v>380</v>
      </c>
      <c r="C557" s="168" t="s">
        <v>405</v>
      </c>
      <c r="D557" s="169" t="s">
        <v>348</v>
      </c>
    </row>
    <row r="558">
      <c r="A558" s="170">
        <v>42075.0</v>
      </c>
      <c r="B558" s="168" t="s">
        <v>380</v>
      </c>
      <c r="C558" s="168" t="s">
        <v>405</v>
      </c>
      <c r="D558" s="169" t="s">
        <v>348</v>
      </c>
    </row>
    <row r="559">
      <c r="A559" s="170">
        <v>42076.0</v>
      </c>
      <c r="B559" s="168" t="s">
        <v>380</v>
      </c>
      <c r="C559" s="168" t="s">
        <v>405</v>
      </c>
      <c r="D559" s="169" t="s">
        <v>348</v>
      </c>
    </row>
    <row r="560">
      <c r="A560" s="170">
        <v>42077.0</v>
      </c>
      <c r="B560" s="168" t="s">
        <v>380</v>
      </c>
      <c r="C560" s="168" t="s">
        <v>405</v>
      </c>
      <c r="D560" s="169" t="s">
        <v>348</v>
      </c>
    </row>
    <row r="561">
      <c r="A561" s="170">
        <v>42078.0</v>
      </c>
      <c r="B561" s="168" t="s">
        <v>380</v>
      </c>
      <c r="C561" s="168" t="s">
        <v>405</v>
      </c>
      <c r="D561" s="169" t="s">
        <v>348</v>
      </c>
    </row>
    <row r="562">
      <c r="A562" s="170">
        <v>42079.0</v>
      </c>
      <c r="B562" s="168" t="s">
        <v>381</v>
      </c>
      <c r="C562" s="168" t="s">
        <v>405</v>
      </c>
      <c r="D562" s="169" t="s">
        <v>349</v>
      </c>
    </row>
    <row r="563">
      <c r="A563" s="170">
        <v>42080.0</v>
      </c>
      <c r="B563" s="168" t="s">
        <v>381</v>
      </c>
      <c r="C563" s="168" t="s">
        <v>405</v>
      </c>
      <c r="D563" s="169" t="s">
        <v>349</v>
      </c>
    </row>
    <row r="564">
      <c r="A564" s="170">
        <v>42081.0</v>
      </c>
      <c r="B564" s="168" t="s">
        <v>381</v>
      </c>
      <c r="C564" s="168" t="s">
        <v>405</v>
      </c>
      <c r="D564" s="169" t="s">
        <v>349</v>
      </c>
    </row>
    <row r="565">
      <c r="A565" s="170">
        <v>42082.0</v>
      </c>
      <c r="B565" s="168" t="s">
        <v>381</v>
      </c>
      <c r="C565" s="168" t="s">
        <v>405</v>
      </c>
      <c r="D565" s="169" t="s">
        <v>349</v>
      </c>
    </row>
    <row r="566">
      <c r="A566" s="170">
        <v>42083.0</v>
      </c>
      <c r="B566" s="168" t="s">
        <v>381</v>
      </c>
      <c r="C566" s="168" t="s">
        <v>405</v>
      </c>
      <c r="D566" s="169" t="s">
        <v>349</v>
      </c>
    </row>
    <row r="567">
      <c r="A567" s="170">
        <v>42084.0</v>
      </c>
      <c r="B567" s="168" t="s">
        <v>381</v>
      </c>
      <c r="C567" s="168" t="s">
        <v>405</v>
      </c>
      <c r="D567" s="169" t="s">
        <v>349</v>
      </c>
    </row>
    <row r="568">
      <c r="A568" s="170">
        <v>42085.0</v>
      </c>
      <c r="B568" s="168" t="s">
        <v>381</v>
      </c>
      <c r="C568" s="168" t="s">
        <v>405</v>
      </c>
      <c r="D568" s="169" t="s">
        <v>349</v>
      </c>
    </row>
    <row r="569">
      <c r="A569" s="170">
        <v>42086.0</v>
      </c>
      <c r="B569" s="168" t="s">
        <v>382</v>
      </c>
      <c r="C569" s="168" t="s">
        <v>405</v>
      </c>
      <c r="D569" s="169" t="s">
        <v>349</v>
      </c>
    </row>
    <row r="570">
      <c r="A570" s="170">
        <v>42087.0</v>
      </c>
      <c r="B570" s="168" t="s">
        <v>382</v>
      </c>
      <c r="C570" s="168" t="s">
        <v>405</v>
      </c>
      <c r="D570" s="169" t="s">
        <v>349</v>
      </c>
    </row>
    <row r="571">
      <c r="A571" s="170">
        <v>42088.0</v>
      </c>
      <c r="B571" s="168" t="s">
        <v>382</v>
      </c>
      <c r="C571" s="168" t="s">
        <v>405</v>
      </c>
      <c r="D571" s="169" t="s">
        <v>349</v>
      </c>
    </row>
    <row r="572">
      <c r="A572" s="170">
        <v>42089.0</v>
      </c>
      <c r="B572" s="168" t="s">
        <v>382</v>
      </c>
      <c r="C572" s="168" t="s">
        <v>405</v>
      </c>
      <c r="D572" s="169" t="s">
        <v>349</v>
      </c>
    </row>
    <row r="573">
      <c r="A573" s="170">
        <v>42090.0</v>
      </c>
      <c r="B573" s="168" t="s">
        <v>382</v>
      </c>
      <c r="C573" s="168" t="s">
        <v>405</v>
      </c>
      <c r="D573" s="169" t="s">
        <v>349</v>
      </c>
    </row>
    <row r="574">
      <c r="A574" s="170">
        <v>42091.0</v>
      </c>
      <c r="B574" s="168" t="s">
        <v>382</v>
      </c>
      <c r="C574" s="168" t="s">
        <v>405</v>
      </c>
      <c r="D574" s="169" t="s">
        <v>349</v>
      </c>
    </row>
    <row r="575">
      <c r="A575" s="170">
        <v>42092.0</v>
      </c>
      <c r="B575" s="168" t="s">
        <v>382</v>
      </c>
      <c r="C575" s="168" t="s">
        <v>405</v>
      </c>
      <c r="D575" s="169" t="s">
        <v>349</v>
      </c>
    </row>
    <row r="576">
      <c r="A576" s="170">
        <v>42093.0</v>
      </c>
      <c r="B576" s="168" t="s">
        <v>383</v>
      </c>
      <c r="C576" s="168" t="s">
        <v>405</v>
      </c>
      <c r="D576" s="169" t="s">
        <v>349</v>
      </c>
    </row>
    <row r="577">
      <c r="A577" s="170">
        <v>42094.0</v>
      </c>
      <c r="B577" s="168" t="s">
        <v>383</v>
      </c>
      <c r="C577" s="168" t="s">
        <v>405</v>
      </c>
      <c r="D577" s="169" t="s">
        <v>349</v>
      </c>
    </row>
    <row r="578">
      <c r="A578" s="170">
        <v>42095.0</v>
      </c>
      <c r="B578" s="168" t="s">
        <v>383</v>
      </c>
      <c r="C578" s="168" t="s">
        <v>405</v>
      </c>
      <c r="D578" s="169" t="s">
        <v>349</v>
      </c>
    </row>
    <row r="579">
      <c r="A579" s="170">
        <v>42096.0</v>
      </c>
      <c r="B579" s="168" t="s">
        <v>383</v>
      </c>
      <c r="C579" s="168" t="s">
        <v>405</v>
      </c>
      <c r="D579" s="169" t="s">
        <v>349</v>
      </c>
    </row>
    <row r="580">
      <c r="A580" s="170">
        <v>42097.0</v>
      </c>
      <c r="B580" s="168" t="s">
        <v>383</v>
      </c>
      <c r="C580" s="168" t="s">
        <v>405</v>
      </c>
      <c r="D580" s="169" t="s">
        <v>349</v>
      </c>
    </row>
    <row r="581">
      <c r="A581" s="170">
        <v>42098.0</v>
      </c>
      <c r="B581" s="168" t="s">
        <v>383</v>
      </c>
      <c r="C581" s="168" t="s">
        <v>405</v>
      </c>
      <c r="D581" s="169" t="s">
        <v>349</v>
      </c>
    </row>
    <row r="582">
      <c r="A582" s="170">
        <v>42099.0</v>
      </c>
      <c r="B582" s="168" t="s">
        <v>383</v>
      </c>
      <c r="C582" s="168" t="s">
        <v>405</v>
      </c>
      <c r="D582" s="169" t="s">
        <v>349</v>
      </c>
    </row>
    <row r="583">
      <c r="A583" s="170">
        <v>42100.0</v>
      </c>
      <c r="B583" s="168" t="s">
        <v>384</v>
      </c>
      <c r="C583" s="168" t="s">
        <v>405</v>
      </c>
      <c r="D583" s="169" t="s">
        <v>349</v>
      </c>
    </row>
    <row r="584">
      <c r="A584" s="170">
        <v>42101.0</v>
      </c>
      <c r="B584" s="168" t="s">
        <v>384</v>
      </c>
      <c r="C584" s="168" t="s">
        <v>405</v>
      </c>
      <c r="D584" s="169" t="s">
        <v>349</v>
      </c>
    </row>
    <row r="585">
      <c r="A585" s="170">
        <v>42102.0</v>
      </c>
      <c r="B585" s="168" t="s">
        <v>384</v>
      </c>
      <c r="C585" s="168" t="s">
        <v>405</v>
      </c>
      <c r="D585" s="169" t="s">
        <v>349</v>
      </c>
    </row>
    <row r="586">
      <c r="A586" s="170">
        <v>42103.0</v>
      </c>
      <c r="B586" s="168" t="s">
        <v>384</v>
      </c>
      <c r="C586" s="168" t="s">
        <v>405</v>
      </c>
      <c r="D586" s="169" t="s">
        <v>349</v>
      </c>
    </row>
    <row r="587">
      <c r="A587" s="170">
        <v>42104.0</v>
      </c>
      <c r="B587" s="168" t="s">
        <v>384</v>
      </c>
      <c r="C587" s="168" t="s">
        <v>405</v>
      </c>
      <c r="D587" s="169" t="s">
        <v>349</v>
      </c>
    </row>
    <row r="588">
      <c r="A588" s="170">
        <v>42105.0</v>
      </c>
      <c r="B588" s="168" t="s">
        <v>384</v>
      </c>
      <c r="C588" s="168" t="s">
        <v>405</v>
      </c>
      <c r="D588" s="169" t="s">
        <v>349</v>
      </c>
    </row>
    <row r="589">
      <c r="A589" s="170">
        <v>42106.0</v>
      </c>
      <c r="B589" s="168" t="s">
        <v>384</v>
      </c>
      <c r="C589" s="168" t="s">
        <v>405</v>
      </c>
      <c r="D589" s="169" t="s">
        <v>349</v>
      </c>
    </row>
    <row r="590">
      <c r="A590" s="170">
        <v>42107.0</v>
      </c>
      <c r="B590" s="168" t="s">
        <v>385</v>
      </c>
      <c r="C590" s="168" t="s">
        <v>405</v>
      </c>
      <c r="D590" s="169" t="s">
        <v>351</v>
      </c>
    </row>
    <row r="591">
      <c r="A591" s="170">
        <v>42108.0</v>
      </c>
      <c r="B591" s="168" t="s">
        <v>385</v>
      </c>
      <c r="C591" s="168" t="s">
        <v>405</v>
      </c>
      <c r="D591" s="169" t="s">
        <v>351</v>
      </c>
    </row>
    <row r="592">
      <c r="A592" s="170">
        <v>42109.0</v>
      </c>
      <c r="B592" s="168" t="s">
        <v>385</v>
      </c>
      <c r="C592" s="168" t="s">
        <v>405</v>
      </c>
      <c r="D592" s="169" t="s">
        <v>351</v>
      </c>
    </row>
    <row r="593">
      <c r="A593" s="170">
        <v>42110.0</v>
      </c>
      <c r="B593" s="168" t="s">
        <v>385</v>
      </c>
      <c r="C593" s="168" t="s">
        <v>405</v>
      </c>
      <c r="D593" s="169" t="s">
        <v>351</v>
      </c>
    </row>
    <row r="594">
      <c r="A594" s="170">
        <v>42111.0</v>
      </c>
      <c r="B594" s="168" t="s">
        <v>385</v>
      </c>
      <c r="C594" s="168" t="s">
        <v>405</v>
      </c>
      <c r="D594" s="169" t="s">
        <v>351</v>
      </c>
    </row>
    <row r="595">
      <c r="A595" s="170">
        <v>42112.0</v>
      </c>
      <c r="B595" s="168" t="s">
        <v>385</v>
      </c>
      <c r="C595" s="168" t="s">
        <v>405</v>
      </c>
      <c r="D595" s="169" t="s">
        <v>351</v>
      </c>
    </row>
    <row r="596">
      <c r="A596" s="170">
        <v>42113.0</v>
      </c>
      <c r="B596" s="168" t="s">
        <v>385</v>
      </c>
      <c r="C596" s="168" t="s">
        <v>405</v>
      </c>
      <c r="D596" s="169" t="s">
        <v>351</v>
      </c>
    </row>
    <row r="597">
      <c r="A597" s="170">
        <v>42114.0</v>
      </c>
      <c r="B597" s="168" t="s">
        <v>386</v>
      </c>
      <c r="C597" s="168" t="s">
        <v>405</v>
      </c>
      <c r="D597" s="169" t="s">
        <v>351</v>
      </c>
    </row>
    <row r="598">
      <c r="A598" s="170">
        <v>42115.0</v>
      </c>
      <c r="B598" s="168" t="s">
        <v>386</v>
      </c>
      <c r="C598" s="168" t="s">
        <v>405</v>
      </c>
      <c r="D598" s="169" t="s">
        <v>351</v>
      </c>
    </row>
    <row r="599">
      <c r="A599" s="170">
        <v>42116.0</v>
      </c>
      <c r="B599" s="168" t="s">
        <v>386</v>
      </c>
      <c r="C599" s="168" t="s">
        <v>405</v>
      </c>
      <c r="D599" s="169" t="s">
        <v>351</v>
      </c>
    </row>
    <row r="600">
      <c r="A600" s="170">
        <v>42117.0</v>
      </c>
      <c r="B600" s="168" t="s">
        <v>386</v>
      </c>
      <c r="C600" s="168" t="s">
        <v>405</v>
      </c>
      <c r="D600" s="169" t="s">
        <v>351</v>
      </c>
    </row>
    <row r="601">
      <c r="A601" s="170">
        <v>42118.0</v>
      </c>
      <c r="B601" s="168" t="s">
        <v>386</v>
      </c>
      <c r="C601" s="168" t="s">
        <v>405</v>
      </c>
      <c r="D601" s="169" t="s">
        <v>351</v>
      </c>
    </row>
    <row r="602">
      <c r="A602" s="170">
        <v>42119.0</v>
      </c>
      <c r="B602" s="168" t="s">
        <v>386</v>
      </c>
      <c r="C602" s="168" t="s">
        <v>405</v>
      </c>
      <c r="D602" s="169" t="s">
        <v>351</v>
      </c>
    </row>
    <row r="603">
      <c r="A603" s="170">
        <v>42120.0</v>
      </c>
      <c r="B603" s="168" t="s">
        <v>386</v>
      </c>
      <c r="C603" s="168" t="s">
        <v>405</v>
      </c>
      <c r="D603" s="169" t="s">
        <v>351</v>
      </c>
    </row>
    <row r="604">
      <c r="A604" s="170">
        <v>42121.0</v>
      </c>
      <c r="B604" s="168" t="s">
        <v>387</v>
      </c>
      <c r="C604" s="168" t="s">
        <v>405</v>
      </c>
      <c r="D604" s="169" t="s">
        <v>351</v>
      </c>
    </row>
    <row r="605">
      <c r="A605" s="170">
        <v>42122.0</v>
      </c>
      <c r="B605" s="168" t="s">
        <v>387</v>
      </c>
      <c r="C605" s="168" t="s">
        <v>405</v>
      </c>
      <c r="D605" s="169" t="s">
        <v>351</v>
      </c>
    </row>
    <row r="606">
      <c r="A606" s="170">
        <v>42123.0</v>
      </c>
      <c r="B606" s="168" t="s">
        <v>387</v>
      </c>
      <c r="C606" s="168" t="s">
        <v>405</v>
      </c>
      <c r="D606" s="169" t="s">
        <v>351</v>
      </c>
    </row>
    <row r="607">
      <c r="A607" s="170">
        <v>42124.0</v>
      </c>
      <c r="B607" s="168" t="s">
        <v>387</v>
      </c>
      <c r="C607" s="168" t="s">
        <v>405</v>
      </c>
      <c r="D607" s="169" t="s">
        <v>351</v>
      </c>
    </row>
    <row r="608">
      <c r="A608" s="170">
        <v>42125.0</v>
      </c>
      <c r="B608" s="168" t="s">
        <v>387</v>
      </c>
      <c r="C608" s="168" t="s">
        <v>405</v>
      </c>
      <c r="D608" s="169" t="s">
        <v>351</v>
      </c>
    </row>
    <row r="609">
      <c r="A609" s="170">
        <v>42126.0</v>
      </c>
      <c r="B609" s="168" t="s">
        <v>387</v>
      </c>
      <c r="C609" s="168" t="s">
        <v>405</v>
      </c>
      <c r="D609" s="169" t="s">
        <v>351</v>
      </c>
    </row>
    <row r="610">
      <c r="A610" s="170">
        <v>42127.0</v>
      </c>
      <c r="B610" s="168" t="s">
        <v>387</v>
      </c>
      <c r="C610" s="168" t="s">
        <v>405</v>
      </c>
      <c r="D610" s="169" t="s">
        <v>351</v>
      </c>
    </row>
    <row r="611">
      <c r="A611" s="170">
        <v>42128.0</v>
      </c>
      <c r="B611" s="168" t="s">
        <v>388</v>
      </c>
      <c r="C611" s="168" t="s">
        <v>405</v>
      </c>
      <c r="D611" s="169" t="s">
        <v>351</v>
      </c>
    </row>
    <row r="612">
      <c r="A612" s="170">
        <v>42129.0</v>
      </c>
      <c r="B612" s="168" t="s">
        <v>388</v>
      </c>
      <c r="C612" s="168" t="s">
        <v>405</v>
      </c>
      <c r="D612" s="169" t="s">
        <v>351</v>
      </c>
    </row>
    <row r="613">
      <c r="A613" s="170">
        <v>42130.0</v>
      </c>
      <c r="B613" s="168" t="s">
        <v>388</v>
      </c>
      <c r="C613" s="168" t="s">
        <v>405</v>
      </c>
      <c r="D613" s="169" t="s">
        <v>351</v>
      </c>
    </row>
    <row r="614">
      <c r="A614" s="170">
        <v>42131.0</v>
      </c>
      <c r="B614" s="168" t="s">
        <v>388</v>
      </c>
      <c r="C614" s="168" t="s">
        <v>405</v>
      </c>
      <c r="D614" s="169" t="s">
        <v>351</v>
      </c>
    </row>
    <row r="615">
      <c r="A615" s="170">
        <v>42132.0</v>
      </c>
      <c r="B615" s="168" t="s">
        <v>388</v>
      </c>
      <c r="C615" s="168" t="s">
        <v>405</v>
      </c>
      <c r="D615" s="169" t="s">
        <v>351</v>
      </c>
    </row>
    <row r="616">
      <c r="A616" s="170">
        <v>42133.0</v>
      </c>
      <c r="B616" s="168" t="s">
        <v>388</v>
      </c>
      <c r="C616" s="168" t="s">
        <v>405</v>
      </c>
      <c r="D616" s="169" t="s">
        <v>351</v>
      </c>
    </row>
    <row r="617">
      <c r="A617" s="170">
        <v>42134.0</v>
      </c>
      <c r="B617" s="168" t="s">
        <v>388</v>
      </c>
      <c r="C617" s="168" t="s">
        <v>405</v>
      </c>
      <c r="D617" s="169" t="s">
        <v>351</v>
      </c>
    </row>
    <row r="618">
      <c r="A618" s="170">
        <v>42135.0</v>
      </c>
      <c r="B618" s="168" t="s">
        <v>389</v>
      </c>
      <c r="C618" s="168" t="s">
        <v>405</v>
      </c>
      <c r="D618" s="169" t="s">
        <v>352</v>
      </c>
    </row>
    <row r="619">
      <c r="A619" s="170">
        <v>42136.0</v>
      </c>
      <c r="B619" s="168" t="s">
        <v>389</v>
      </c>
      <c r="C619" s="168" t="s">
        <v>405</v>
      </c>
      <c r="D619" s="169" t="s">
        <v>352</v>
      </c>
    </row>
    <row r="620">
      <c r="A620" s="170">
        <v>42137.0</v>
      </c>
      <c r="B620" s="168" t="s">
        <v>389</v>
      </c>
      <c r="C620" s="168" t="s">
        <v>405</v>
      </c>
      <c r="D620" s="169" t="s">
        <v>352</v>
      </c>
    </row>
    <row r="621">
      <c r="A621" s="170">
        <v>42138.0</v>
      </c>
      <c r="B621" s="168" t="s">
        <v>389</v>
      </c>
      <c r="C621" s="168" t="s">
        <v>405</v>
      </c>
      <c r="D621" s="169" t="s">
        <v>352</v>
      </c>
    </row>
    <row r="622">
      <c r="A622" s="170">
        <v>42139.0</v>
      </c>
      <c r="B622" s="168" t="s">
        <v>389</v>
      </c>
      <c r="C622" s="168" t="s">
        <v>405</v>
      </c>
      <c r="D622" s="169" t="s">
        <v>352</v>
      </c>
    </row>
    <row r="623">
      <c r="A623" s="170">
        <v>42140.0</v>
      </c>
      <c r="B623" s="168" t="s">
        <v>389</v>
      </c>
      <c r="C623" s="168" t="s">
        <v>405</v>
      </c>
      <c r="D623" s="169" t="s">
        <v>352</v>
      </c>
    </row>
    <row r="624">
      <c r="A624" s="170">
        <v>42141.0</v>
      </c>
      <c r="B624" s="168" t="s">
        <v>389</v>
      </c>
      <c r="C624" s="168" t="s">
        <v>405</v>
      </c>
      <c r="D624" s="169" t="s">
        <v>352</v>
      </c>
    </row>
    <row r="625">
      <c r="A625" s="170">
        <v>42142.0</v>
      </c>
      <c r="B625" s="168" t="s">
        <v>390</v>
      </c>
      <c r="C625" s="168" t="s">
        <v>405</v>
      </c>
      <c r="D625" s="169" t="s">
        <v>352</v>
      </c>
    </row>
    <row r="626">
      <c r="A626" s="170">
        <v>42143.0</v>
      </c>
      <c r="B626" s="168" t="s">
        <v>390</v>
      </c>
      <c r="C626" s="168" t="s">
        <v>405</v>
      </c>
      <c r="D626" s="169" t="s">
        <v>352</v>
      </c>
    </row>
    <row r="627">
      <c r="A627" s="170">
        <v>42144.0</v>
      </c>
      <c r="B627" s="168" t="s">
        <v>390</v>
      </c>
      <c r="C627" s="168" t="s">
        <v>405</v>
      </c>
      <c r="D627" s="169" t="s">
        <v>352</v>
      </c>
    </row>
    <row r="628">
      <c r="A628" s="170">
        <v>42145.0</v>
      </c>
      <c r="B628" s="168" t="s">
        <v>390</v>
      </c>
      <c r="C628" s="168" t="s">
        <v>405</v>
      </c>
      <c r="D628" s="169" t="s">
        <v>352</v>
      </c>
    </row>
    <row r="629">
      <c r="A629" s="170">
        <v>42146.0</v>
      </c>
      <c r="B629" s="168" t="s">
        <v>390</v>
      </c>
      <c r="C629" s="168" t="s">
        <v>405</v>
      </c>
      <c r="D629" s="169" t="s">
        <v>352</v>
      </c>
    </row>
    <row r="630">
      <c r="A630" s="170">
        <v>42147.0</v>
      </c>
      <c r="B630" s="168" t="s">
        <v>390</v>
      </c>
      <c r="C630" s="168" t="s">
        <v>405</v>
      </c>
      <c r="D630" s="169" t="s">
        <v>352</v>
      </c>
    </row>
    <row r="631">
      <c r="A631" s="170">
        <v>42148.0</v>
      </c>
      <c r="B631" s="168" t="s">
        <v>390</v>
      </c>
      <c r="C631" s="168" t="s">
        <v>405</v>
      </c>
      <c r="D631" s="169" t="s">
        <v>352</v>
      </c>
    </row>
    <row r="632">
      <c r="A632" s="170">
        <v>42149.0</v>
      </c>
      <c r="B632" s="168" t="s">
        <v>391</v>
      </c>
      <c r="C632" s="168" t="s">
        <v>405</v>
      </c>
      <c r="D632" s="169" t="s">
        <v>352</v>
      </c>
    </row>
    <row r="633">
      <c r="A633" s="170">
        <v>42150.0</v>
      </c>
      <c r="B633" s="168" t="s">
        <v>391</v>
      </c>
      <c r="C633" s="168" t="s">
        <v>405</v>
      </c>
      <c r="D633" s="169" t="s">
        <v>352</v>
      </c>
    </row>
    <row r="634">
      <c r="A634" s="170">
        <v>42151.0</v>
      </c>
      <c r="B634" s="168" t="s">
        <v>391</v>
      </c>
      <c r="C634" s="168" t="s">
        <v>405</v>
      </c>
      <c r="D634" s="169" t="s">
        <v>352</v>
      </c>
    </row>
    <row r="635">
      <c r="A635" s="170">
        <v>42152.0</v>
      </c>
      <c r="B635" s="168" t="s">
        <v>391</v>
      </c>
      <c r="C635" s="168" t="s">
        <v>405</v>
      </c>
      <c r="D635" s="169" t="s">
        <v>352</v>
      </c>
    </row>
    <row r="636">
      <c r="A636" s="170">
        <v>42153.0</v>
      </c>
      <c r="B636" s="168" t="s">
        <v>391</v>
      </c>
      <c r="C636" s="168" t="s">
        <v>405</v>
      </c>
      <c r="D636" s="169" t="s">
        <v>352</v>
      </c>
    </row>
    <row r="637">
      <c r="A637" s="170">
        <v>42154.0</v>
      </c>
      <c r="B637" s="168" t="s">
        <v>391</v>
      </c>
      <c r="C637" s="168" t="s">
        <v>405</v>
      </c>
      <c r="D637" s="169" t="s">
        <v>352</v>
      </c>
    </row>
    <row r="638">
      <c r="A638" s="170">
        <v>42155.0</v>
      </c>
      <c r="B638" s="168" t="s">
        <v>391</v>
      </c>
      <c r="C638" s="168" t="s">
        <v>405</v>
      </c>
      <c r="D638" s="169" t="s">
        <v>352</v>
      </c>
    </row>
    <row r="639">
      <c r="A639" s="170">
        <v>42156.0</v>
      </c>
      <c r="B639" s="168" t="s">
        <v>392</v>
      </c>
      <c r="C639" s="168" t="s">
        <v>405</v>
      </c>
      <c r="D639" s="169" t="s">
        <v>352</v>
      </c>
    </row>
    <row r="640">
      <c r="A640" s="170">
        <v>42157.0</v>
      </c>
      <c r="B640" s="168" t="s">
        <v>392</v>
      </c>
      <c r="C640" s="168" t="s">
        <v>405</v>
      </c>
      <c r="D640" s="169" t="s">
        <v>352</v>
      </c>
    </row>
    <row r="641">
      <c r="A641" s="170">
        <v>42158.0</v>
      </c>
      <c r="B641" s="168" t="s">
        <v>392</v>
      </c>
      <c r="C641" s="168" t="s">
        <v>405</v>
      </c>
      <c r="D641" s="169" t="s">
        <v>352</v>
      </c>
    </row>
    <row r="642">
      <c r="A642" s="170">
        <v>42159.0</v>
      </c>
      <c r="B642" s="168" t="s">
        <v>392</v>
      </c>
      <c r="C642" s="168" t="s">
        <v>405</v>
      </c>
      <c r="D642" s="169" t="s">
        <v>352</v>
      </c>
    </row>
    <row r="643">
      <c r="A643" s="170">
        <v>42160.0</v>
      </c>
      <c r="B643" s="168" t="s">
        <v>392</v>
      </c>
      <c r="C643" s="168" t="s">
        <v>405</v>
      </c>
      <c r="D643" s="169" t="s">
        <v>352</v>
      </c>
    </row>
    <row r="644">
      <c r="A644" s="170">
        <v>42161.0</v>
      </c>
      <c r="B644" s="168" t="s">
        <v>392</v>
      </c>
      <c r="C644" s="168" t="s">
        <v>405</v>
      </c>
      <c r="D644" s="169" t="s">
        <v>352</v>
      </c>
    </row>
    <row r="645">
      <c r="A645" s="170">
        <v>42162.0</v>
      </c>
      <c r="B645" s="168" t="s">
        <v>392</v>
      </c>
      <c r="C645" s="168" t="s">
        <v>405</v>
      </c>
      <c r="D645" s="169" t="s">
        <v>352</v>
      </c>
    </row>
    <row r="646">
      <c r="A646" s="170">
        <v>42163.0</v>
      </c>
      <c r="B646" s="168" t="s">
        <v>393</v>
      </c>
      <c r="C646" s="168" t="s">
        <v>405</v>
      </c>
      <c r="D646" s="169" t="s">
        <v>353</v>
      </c>
    </row>
    <row r="647">
      <c r="A647" s="170">
        <v>42164.0</v>
      </c>
      <c r="B647" s="168" t="s">
        <v>393</v>
      </c>
      <c r="C647" s="168" t="s">
        <v>405</v>
      </c>
      <c r="D647" s="169" t="s">
        <v>353</v>
      </c>
    </row>
    <row r="648">
      <c r="A648" s="170">
        <v>42165.0</v>
      </c>
      <c r="B648" s="168" t="s">
        <v>393</v>
      </c>
      <c r="C648" s="168" t="s">
        <v>405</v>
      </c>
      <c r="D648" s="169" t="s">
        <v>353</v>
      </c>
    </row>
    <row r="649">
      <c r="A649" s="170">
        <v>42166.0</v>
      </c>
      <c r="B649" s="168" t="s">
        <v>393</v>
      </c>
      <c r="C649" s="168" t="s">
        <v>405</v>
      </c>
      <c r="D649" s="169" t="s">
        <v>353</v>
      </c>
    </row>
    <row r="650">
      <c r="A650" s="170">
        <v>42167.0</v>
      </c>
      <c r="B650" s="168" t="s">
        <v>393</v>
      </c>
      <c r="C650" s="168" t="s">
        <v>405</v>
      </c>
      <c r="D650" s="169" t="s">
        <v>353</v>
      </c>
    </row>
    <row r="651">
      <c r="A651" s="170">
        <v>42168.0</v>
      </c>
      <c r="B651" s="168" t="s">
        <v>393</v>
      </c>
      <c r="C651" s="168" t="s">
        <v>405</v>
      </c>
      <c r="D651" s="169" t="s">
        <v>353</v>
      </c>
    </row>
    <row r="652">
      <c r="A652" s="170">
        <v>42169.0</v>
      </c>
      <c r="B652" s="168" t="s">
        <v>393</v>
      </c>
      <c r="C652" s="168" t="s">
        <v>405</v>
      </c>
      <c r="D652" s="169" t="s">
        <v>353</v>
      </c>
    </row>
    <row r="653">
      <c r="A653" s="170">
        <v>42170.0</v>
      </c>
      <c r="B653" s="168" t="s">
        <v>394</v>
      </c>
      <c r="C653" s="168" t="s">
        <v>405</v>
      </c>
      <c r="D653" s="169" t="s">
        <v>353</v>
      </c>
    </row>
    <row r="654">
      <c r="A654" s="170">
        <v>42171.0</v>
      </c>
      <c r="B654" s="168" t="s">
        <v>394</v>
      </c>
      <c r="C654" s="168" t="s">
        <v>405</v>
      </c>
      <c r="D654" s="169" t="s">
        <v>353</v>
      </c>
    </row>
    <row r="655">
      <c r="A655" s="170">
        <v>42172.0</v>
      </c>
      <c r="B655" s="168" t="s">
        <v>394</v>
      </c>
      <c r="C655" s="168" t="s">
        <v>405</v>
      </c>
      <c r="D655" s="169" t="s">
        <v>353</v>
      </c>
    </row>
    <row r="656">
      <c r="A656" s="170">
        <v>42173.0</v>
      </c>
      <c r="B656" s="168" t="s">
        <v>394</v>
      </c>
      <c r="C656" s="168" t="s">
        <v>405</v>
      </c>
      <c r="D656" s="169" t="s">
        <v>353</v>
      </c>
    </row>
    <row r="657">
      <c r="A657" s="170">
        <v>42174.0</v>
      </c>
      <c r="B657" s="168" t="s">
        <v>394</v>
      </c>
      <c r="C657" s="168" t="s">
        <v>405</v>
      </c>
      <c r="D657" s="169" t="s">
        <v>353</v>
      </c>
    </row>
    <row r="658">
      <c r="A658" s="170">
        <v>42175.0</v>
      </c>
      <c r="B658" s="168" t="s">
        <v>394</v>
      </c>
      <c r="C658" s="168" t="s">
        <v>405</v>
      </c>
      <c r="D658" s="169" t="s">
        <v>353</v>
      </c>
    </row>
    <row r="659">
      <c r="A659" s="170">
        <v>42176.0</v>
      </c>
      <c r="B659" s="168" t="s">
        <v>394</v>
      </c>
      <c r="C659" s="168" t="s">
        <v>405</v>
      </c>
      <c r="D659" s="169" t="s">
        <v>353</v>
      </c>
    </row>
    <row r="660">
      <c r="A660" s="170">
        <v>42177.0</v>
      </c>
      <c r="B660" s="168" t="s">
        <v>395</v>
      </c>
      <c r="C660" s="168" t="s">
        <v>405</v>
      </c>
      <c r="D660" s="169" t="s">
        <v>353</v>
      </c>
    </row>
    <row r="661">
      <c r="A661" s="170">
        <v>42178.0</v>
      </c>
      <c r="B661" s="168" t="s">
        <v>395</v>
      </c>
      <c r="C661" s="168" t="s">
        <v>405</v>
      </c>
      <c r="D661" s="169" t="s">
        <v>353</v>
      </c>
    </row>
    <row r="662">
      <c r="A662" s="170">
        <v>42179.0</v>
      </c>
      <c r="B662" s="168" t="s">
        <v>395</v>
      </c>
      <c r="C662" s="168" t="s">
        <v>405</v>
      </c>
      <c r="D662" s="169" t="s">
        <v>353</v>
      </c>
    </row>
    <row r="663">
      <c r="A663" s="170">
        <v>42180.0</v>
      </c>
      <c r="B663" s="168" t="s">
        <v>395</v>
      </c>
      <c r="C663" s="168" t="s">
        <v>405</v>
      </c>
      <c r="D663" s="169" t="s">
        <v>353</v>
      </c>
    </row>
    <row r="664">
      <c r="A664" s="170">
        <v>42181.0</v>
      </c>
      <c r="B664" s="168" t="s">
        <v>395</v>
      </c>
      <c r="C664" s="168" t="s">
        <v>405</v>
      </c>
      <c r="D664" s="169" t="s">
        <v>353</v>
      </c>
    </row>
    <row r="665">
      <c r="A665" s="170">
        <v>42182.0</v>
      </c>
      <c r="B665" s="168" t="s">
        <v>395</v>
      </c>
      <c r="C665" s="168" t="s">
        <v>405</v>
      </c>
      <c r="D665" s="169" t="s">
        <v>353</v>
      </c>
    </row>
    <row r="666">
      <c r="A666" s="170">
        <v>42183.0</v>
      </c>
      <c r="B666" s="168" t="s">
        <v>395</v>
      </c>
      <c r="C666" s="168" t="s">
        <v>405</v>
      </c>
      <c r="D666" s="169" t="s">
        <v>353</v>
      </c>
    </row>
    <row r="667">
      <c r="A667" s="170">
        <v>42184.0</v>
      </c>
      <c r="B667" s="168" t="s">
        <v>396</v>
      </c>
      <c r="C667" s="168" t="s">
        <v>405</v>
      </c>
      <c r="D667" s="169" t="s">
        <v>353</v>
      </c>
    </row>
    <row r="668">
      <c r="A668" s="170">
        <v>42185.0</v>
      </c>
      <c r="B668" s="168" t="s">
        <v>396</v>
      </c>
      <c r="C668" s="168" t="s">
        <v>405</v>
      </c>
      <c r="D668" s="169" t="s">
        <v>353</v>
      </c>
    </row>
    <row r="669">
      <c r="A669" s="170">
        <v>42186.0</v>
      </c>
      <c r="B669" s="168" t="s">
        <v>396</v>
      </c>
      <c r="C669" s="168" t="s">
        <v>405</v>
      </c>
      <c r="D669" s="169" t="s">
        <v>353</v>
      </c>
    </row>
    <row r="670">
      <c r="A670" s="170">
        <v>42187.0</v>
      </c>
      <c r="B670" s="168" t="s">
        <v>396</v>
      </c>
      <c r="C670" s="168" t="s">
        <v>405</v>
      </c>
      <c r="D670" s="169" t="s">
        <v>353</v>
      </c>
    </row>
    <row r="671">
      <c r="A671" s="170">
        <v>42188.0</v>
      </c>
      <c r="B671" s="168" t="s">
        <v>396</v>
      </c>
      <c r="C671" s="168" t="s">
        <v>405</v>
      </c>
      <c r="D671" s="169" t="s">
        <v>353</v>
      </c>
    </row>
    <row r="672">
      <c r="A672" s="170">
        <v>42189.0</v>
      </c>
      <c r="B672" s="168" t="s">
        <v>396</v>
      </c>
      <c r="C672" s="168" t="s">
        <v>405</v>
      </c>
      <c r="D672" s="169" t="s">
        <v>353</v>
      </c>
    </row>
    <row r="673">
      <c r="A673" s="170">
        <v>42190.0</v>
      </c>
      <c r="B673" s="168" t="s">
        <v>396</v>
      </c>
      <c r="C673" s="168" t="s">
        <v>405</v>
      </c>
      <c r="D673" s="169" t="s">
        <v>353</v>
      </c>
    </row>
    <row r="674">
      <c r="A674" s="170">
        <v>42191.0</v>
      </c>
      <c r="B674" s="168" t="s">
        <v>397</v>
      </c>
      <c r="C674" s="168" t="s">
        <v>405</v>
      </c>
      <c r="D674" s="169" t="s">
        <v>354</v>
      </c>
    </row>
    <row r="675">
      <c r="A675" s="170">
        <v>42192.0</v>
      </c>
      <c r="B675" s="168" t="s">
        <v>397</v>
      </c>
      <c r="C675" s="168" t="s">
        <v>405</v>
      </c>
      <c r="D675" s="169" t="s">
        <v>354</v>
      </c>
    </row>
    <row r="676">
      <c r="A676" s="170">
        <v>42193.0</v>
      </c>
      <c r="B676" s="168" t="s">
        <v>397</v>
      </c>
      <c r="C676" s="168" t="s">
        <v>405</v>
      </c>
      <c r="D676" s="169" t="s">
        <v>354</v>
      </c>
    </row>
    <row r="677">
      <c r="A677" s="170">
        <v>42194.0</v>
      </c>
      <c r="B677" s="168" t="s">
        <v>397</v>
      </c>
      <c r="C677" s="168" t="s">
        <v>405</v>
      </c>
      <c r="D677" s="169" t="s">
        <v>354</v>
      </c>
    </row>
    <row r="678">
      <c r="A678" s="170">
        <v>42195.0</v>
      </c>
      <c r="B678" s="168" t="s">
        <v>397</v>
      </c>
      <c r="C678" s="168" t="s">
        <v>405</v>
      </c>
      <c r="D678" s="169" t="s">
        <v>354</v>
      </c>
    </row>
    <row r="679">
      <c r="A679" s="170">
        <v>42196.0</v>
      </c>
      <c r="B679" s="168" t="s">
        <v>397</v>
      </c>
      <c r="C679" s="168" t="s">
        <v>405</v>
      </c>
      <c r="D679" s="169" t="s">
        <v>354</v>
      </c>
    </row>
    <row r="680">
      <c r="A680" s="170">
        <v>42197.0</v>
      </c>
      <c r="B680" s="168" t="s">
        <v>397</v>
      </c>
      <c r="C680" s="168" t="s">
        <v>405</v>
      </c>
      <c r="D680" s="169" t="s">
        <v>354</v>
      </c>
    </row>
    <row r="681">
      <c r="A681" s="170">
        <v>42198.0</v>
      </c>
      <c r="B681" s="168" t="s">
        <v>398</v>
      </c>
      <c r="C681" s="168" t="s">
        <v>405</v>
      </c>
      <c r="D681" s="169" t="s">
        <v>354</v>
      </c>
    </row>
    <row r="682">
      <c r="A682" s="170">
        <v>42199.0</v>
      </c>
      <c r="B682" s="168" t="s">
        <v>398</v>
      </c>
      <c r="C682" s="168" t="s">
        <v>405</v>
      </c>
      <c r="D682" s="169" t="s">
        <v>354</v>
      </c>
    </row>
    <row r="683">
      <c r="A683" s="170">
        <v>42200.0</v>
      </c>
      <c r="B683" s="168" t="s">
        <v>398</v>
      </c>
      <c r="C683" s="168" t="s">
        <v>405</v>
      </c>
      <c r="D683" s="169" t="s">
        <v>354</v>
      </c>
    </row>
    <row r="684">
      <c r="A684" s="170">
        <v>42201.0</v>
      </c>
      <c r="B684" s="168" t="s">
        <v>398</v>
      </c>
      <c r="C684" s="168" t="s">
        <v>405</v>
      </c>
      <c r="D684" s="169" t="s">
        <v>354</v>
      </c>
    </row>
    <row r="685">
      <c r="A685" s="170">
        <v>42202.0</v>
      </c>
      <c r="B685" s="168" t="s">
        <v>398</v>
      </c>
      <c r="C685" s="168" t="s">
        <v>405</v>
      </c>
      <c r="D685" s="169" t="s">
        <v>354</v>
      </c>
    </row>
    <row r="686">
      <c r="A686" s="170">
        <v>42203.0</v>
      </c>
      <c r="B686" s="168" t="s">
        <v>398</v>
      </c>
      <c r="C686" s="168" t="s">
        <v>405</v>
      </c>
      <c r="D686" s="169" t="s">
        <v>354</v>
      </c>
    </row>
    <row r="687">
      <c r="A687" s="170">
        <v>42204.0</v>
      </c>
      <c r="B687" s="168" t="s">
        <v>398</v>
      </c>
      <c r="C687" s="168" t="s">
        <v>405</v>
      </c>
      <c r="D687" s="169" t="s">
        <v>354</v>
      </c>
    </row>
    <row r="688">
      <c r="A688" s="170">
        <v>42205.0</v>
      </c>
      <c r="B688" s="168" t="s">
        <v>399</v>
      </c>
      <c r="C688" s="168" t="s">
        <v>405</v>
      </c>
      <c r="D688" s="169" t="s">
        <v>354</v>
      </c>
    </row>
    <row r="689">
      <c r="A689" s="170">
        <v>42206.0</v>
      </c>
      <c r="B689" s="168" t="s">
        <v>399</v>
      </c>
      <c r="C689" s="168" t="s">
        <v>405</v>
      </c>
      <c r="D689" s="169" t="s">
        <v>354</v>
      </c>
    </row>
    <row r="690">
      <c r="A690" s="170">
        <v>42207.0</v>
      </c>
      <c r="B690" s="168" t="s">
        <v>399</v>
      </c>
      <c r="C690" s="168" t="s">
        <v>405</v>
      </c>
      <c r="D690" s="169" t="s">
        <v>354</v>
      </c>
    </row>
    <row r="691">
      <c r="A691" s="170">
        <v>42208.0</v>
      </c>
      <c r="B691" s="168" t="s">
        <v>399</v>
      </c>
      <c r="C691" s="168" t="s">
        <v>405</v>
      </c>
      <c r="D691" s="169" t="s">
        <v>354</v>
      </c>
    </row>
    <row r="692">
      <c r="A692" s="170">
        <v>42209.0</v>
      </c>
      <c r="B692" s="168" t="s">
        <v>399</v>
      </c>
      <c r="C692" s="168" t="s">
        <v>405</v>
      </c>
      <c r="D692" s="169" t="s">
        <v>354</v>
      </c>
    </row>
    <row r="693">
      <c r="A693" s="170">
        <v>42210.0</v>
      </c>
      <c r="B693" s="168" t="s">
        <v>399</v>
      </c>
      <c r="C693" s="168" t="s">
        <v>405</v>
      </c>
      <c r="D693" s="169" t="s">
        <v>354</v>
      </c>
    </row>
    <row r="694">
      <c r="A694" s="170">
        <v>42211.0</v>
      </c>
      <c r="B694" s="168" t="s">
        <v>399</v>
      </c>
      <c r="C694" s="168" t="s">
        <v>405</v>
      </c>
      <c r="D694" s="169" t="s">
        <v>354</v>
      </c>
    </row>
    <row r="695">
      <c r="A695" s="170">
        <v>42212.0</v>
      </c>
      <c r="B695" s="168" t="s">
        <v>400</v>
      </c>
      <c r="C695" s="168" t="s">
        <v>405</v>
      </c>
      <c r="D695" s="169" t="s">
        <v>354</v>
      </c>
    </row>
    <row r="696">
      <c r="A696" s="170">
        <v>42213.0</v>
      </c>
      <c r="B696" s="168" t="s">
        <v>400</v>
      </c>
      <c r="C696" s="168" t="s">
        <v>405</v>
      </c>
      <c r="D696" s="169" t="s">
        <v>354</v>
      </c>
    </row>
    <row r="697">
      <c r="A697" s="170">
        <v>42214.0</v>
      </c>
      <c r="B697" s="168" t="s">
        <v>400</v>
      </c>
      <c r="C697" s="168" t="s">
        <v>405</v>
      </c>
      <c r="D697" s="169" t="s">
        <v>354</v>
      </c>
    </row>
    <row r="698">
      <c r="A698" s="170">
        <v>42215.0</v>
      </c>
      <c r="B698" s="168" t="s">
        <v>400</v>
      </c>
      <c r="C698" s="168" t="s">
        <v>405</v>
      </c>
      <c r="D698" s="169" t="s">
        <v>354</v>
      </c>
    </row>
    <row r="699">
      <c r="A699" s="170">
        <v>42216.0</v>
      </c>
      <c r="B699" s="168" t="s">
        <v>400</v>
      </c>
      <c r="C699" s="168" t="s">
        <v>405</v>
      </c>
      <c r="D699" s="169" t="s">
        <v>354</v>
      </c>
    </row>
    <row r="700">
      <c r="A700" s="170">
        <v>42217.0</v>
      </c>
      <c r="B700" s="168" t="s">
        <v>400</v>
      </c>
      <c r="C700" s="168" t="s">
        <v>405</v>
      </c>
      <c r="D700" s="169" t="s">
        <v>354</v>
      </c>
    </row>
    <row r="701">
      <c r="A701" s="170">
        <v>42218.0</v>
      </c>
      <c r="B701" s="168" t="s">
        <v>400</v>
      </c>
      <c r="C701" s="168" t="s">
        <v>405</v>
      </c>
      <c r="D701" s="169" t="s">
        <v>354</v>
      </c>
    </row>
    <row r="702">
      <c r="A702" s="170">
        <v>42219.0</v>
      </c>
      <c r="B702" s="168" t="s">
        <v>401</v>
      </c>
      <c r="C702" s="168" t="s">
        <v>405</v>
      </c>
      <c r="D702" s="169" t="s">
        <v>134</v>
      </c>
    </row>
    <row r="703">
      <c r="A703" s="170">
        <v>42220.0</v>
      </c>
      <c r="B703" s="168" t="s">
        <v>401</v>
      </c>
      <c r="C703" s="168" t="s">
        <v>405</v>
      </c>
      <c r="D703" s="169" t="s">
        <v>134</v>
      </c>
    </row>
    <row r="704">
      <c r="A704" s="170">
        <v>42221.0</v>
      </c>
      <c r="B704" s="168" t="s">
        <v>401</v>
      </c>
      <c r="C704" s="168" t="s">
        <v>405</v>
      </c>
      <c r="D704" s="169" t="s">
        <v>134</v>
      </c>
    </row>
    <row r="705">
      <c r="A705" s="170">
        <v>42222.0</v>
      </c>
      <c r="B705" s="168" t="s">
        <v>401</v>
      </c>
      <c r="C705" s="168" t="s">
        <v>405</v>
      </c>
      <c r="D705" s="169" t="s">
        <v>134</v>
      </c>
    </row>
    <row r="706">
      <c r="A706" s="170">
        <v>42223.0</v>
      </c>
      <c r="B706" s="168" t="s">
        <v>401</v>
      </c>
      <c r="C706" s="168" t="s">
        <v>405</v>
      </c>
      <c r="D706" s="169" t="s">
        <v>134</v>
      </c>
    </row>
    <row r="707">
      <c r="A707" s="170">
        <v>42224.0</v>
      </c>
      <c r="B707" s="168" t="s">
        <v>401</v>
      </c>
      <c r="C707" s="168" t="s">
        <v>405</v>
      </c>
      <c r="D707" s="169" t="s">
        <v>134</v>
      </c>
    </row>
    <row r="708">
      <c r="A708" s="170">
        <v>42225.0</v>
      </c>
      <c r="B708" s="168" t="s">
        <v>401</v>
      </c>
      <c r="C708" s="168" t="s">
        <v>405</v>
      </c>
      <c r="D708" s="169" t="s">
        <v>134</v>
      </c>
    </row>
    <row r="709">
      <c r="A709" s="170">
        <v>42226.0</v>
      </c>
      <c r="B709" s="168" t="s">
        <v>402</v>
      </c>
      <c r="C709" s="168" t="s">
        <v>405</v>
      </c>
      <c r="D709" s="169" t="s">
        <v>134</v>
      </c>
    </row>
    <row r="710">
      <c r="A710" s="170">
        <v>42227.0</v>
      </c>
      <c r="B710" s="168" t="s">
        <v>402</v>
      </c>
      <c r="C710" s="168" t="s">
        <v>405</v>
      </c>
      <c r="D710" s="169" t="s">
        <v>134</v>
      </c>
    </row>
    <row r="711">
      <c r="A711" s="170">
        <v>42228.0</v>
      </c>
      <c r="B711" s="168" t="s">
        <v>402</v>
      </c>
      <c r="C711" s="168" t="s">
        <v>405</v>
      </c>
      <c r="D711" s="169" t="s">
        <v>134</v>
      </c>
    </row>
    <row r="712">
      <c r="A712" s="170">
        <v>42229.0</v>
      </c>
      <c r="B712" s="168" t="s">
        <v>402</v>
      </c>
      <c r="C712" s="168" t="s">
        <v>405</v>
      </c>
      <c r="D712" s="169" t="s">
        <v>134</v>
      </c>
    </row>
    <row r="713">
      <c r="A713" s="170">
        <v>42230.0</v>
      </c>
      <c r="B713" s="168" t="s">
        <v>402</v>
      </c>
      <c r="C713" s="168" t="s">
        <v>405</v>
      </c>
      <c r="D713" s="169" t="s">
        <v>134</v>
      </c>
    </row>
    <row r="714">
      <c r="A714" s="170">
        <v>42231.0</v>
      </c>
      <c r="B714" s="168" t="s">
        <v>402</v>
      </c>
      <c r="C714" s="168" t="s">
        <v>405</v>
      </c>
      <c r="D714" s="169" t="s">
        <v>134</v>
      </c>
    </row>
    <row r="715">
      <c r="A715" s="170">
        <v>42232.0</v>
      </c>
      <c r="B715" s="168" t="s">
        <v>402</v>
      </c>
      <c r="C715" s="168" t="s">
        <v>405</v>
      </c>
      <c r="D715" s="169" t="s">
        <v>134</v>
      </c>
    </row>
    <row r="716">
      <c r="A716" s="170">
        <v>42233.0</v>
      </c>
      <c r="B716" s="168" t="s">
        <v>403</v>
      </c>
      <c r="C716" s="168" t="s">
        <v>405</v>
      </c>
      <c r="D716" s="169" t="s">
        <v>134</v>
      </c>
    </row>
    <row r="717">
      <c r="A717" s="170">
        <v>42234.0</v>
      </c>
      <c r="B717" s="168" t="s">
        <v>403</v>
      </c>
      <c r="C717" s="168" t="s">
        <v>405</v>
      </c>
      <c r="D717" s="169" t="s">
        <v>134</v>
      </c>
    </row>
    <row r="718">
      <c r="A718" s="170">
        <v>42235.0</v>
      </c>
      <c r="B718" s="168" t="s">
        <v>403</v>
      </c>
      <c r="C718" s="168" t="s">
        <v>405</v>
      </c>
      <c r="D718" s="169" t="s">
        <v>134</v>
      </c>
    </row>
    <row r="719">
      <c r="A719" s="170">
        <v>42236.0</v>
      </c>
      <c r="B719" s="168" t="s">
        <v>403</v>
      </c>
      <c r="C719" s="168" t="s">
        <v>405</v>
      </c>
      <c r="D719" s="169" t="s">
        <v>134</v>
      </c>
    </row>
    <row r="720">
      <c r="A720" s="170">
        <v>42237.0</v>
      </c>
      <c r="B720" s="168" t="s">
        <v>403</v>
      </c>
      <c r="C720" s="168" t="s">
        <v>405</v>
      </c>
      <c r="D720" s="169" t="s">
        <v>134</v>
      </c>
    </row>
    <row r="721">
      <c r="A721" s="170">
        <v>42238.0</v>
      </c>
      <c r="B721" s="168" t="s">
        <v>403</v>
      </c>
      <c r="C721" s="168" t="s">
        <v>405</v>
      </c>
      <c r="D721" s="169" t="s">
        <v>134</v>
      </c>
    </row>
    <row r="722">
      <c r="A722" s="170">
        <v>42239.0</v>
      </c>
      <c r="B722" s="168" t="s">
        <v>403</v>
      </c>
      <c r="C722" s="168" t="s">
        <v>405</v>
      </c>
      <c r="D722" s="169" t="s">
        <v>134</v>
      </c>
    </row>
    <row r="723">
      <c r="A723" s="170">
        <v>42240.0</v>
      </c>
      <c r="B723" s="168" t="s">
        <v>404</v>
      </c>
      <c r="C723" s="168" t="s">
        <v>405</v>
      </c>
      <c r="D723" s="169" t="s">
        <v>134</v>
      </c>
    </row>
    <row r="724">
      <c r="A724" s="170">
        <v>42241.0</v>
      </c>
      <c r="B724" s="168" t="s">
        <v>404</v>
      </c>
      <c r="C724" s="168" t="s">
        <v>405</v>
      </c>
      <c r="D724" s="169" t="s">
        <v>134</v>
      </c>
    </row>
    <row r="725">
      <c r="A725" s="170">
        <v>42242.0</v>
      </c>
      <c r="B725" s="168" t="s">
        <v>404</v>
      </c>
      <c r="C725" s="168" t="s">
        <v>405</v>
      </c>
      <c r="D725" s="169" t="s">
        <v>134</v>
      </c>
    </row>
    <row r="726">
      <c r="A726" s="170">
        <v>42243.0</v>
      </c>
      <c r="B726" s="168" t="s">
        <v>404</v>
      </c>
      <c r="C726" s="168" t="s">
        <v>405</v>
      </c>
      <c r="D726" s="169" t="s">
        <v>134</v>
      </c>
    </row>
    <row r="727">
      <c r="A727" s="170">
        <v>42244.0</v>
      </c>
      <c r="B727" s="168" t="s">
        <v>404</v>
      </c>
      <c r="C727" s="168" t="s">
        <v>405</v>
      </c>
      <c r="D727" s="169" t="s">
        <v>134</v>
      </c>
    </row>
    <row r="728">
      <c r="A728" s="170">
        <v>42245.0</v>
      </c>
      <c r="B728" s="168" t="s">
        <v>404</v>
      </c>
      <c r="C728" s="168" t="s">
        <v>405</v>
      </c>
      <c r="D728" s="169" t="s">
        <v>134</v>
      </c>
    </row>
    <row r="729">
      <c r="A729" s="170">
        <v>42246.0</v>
      </c>
      <c r="B729" s="168" t="s">
        <v>404</v>
      </c>
      <c r="C729" s="168" t="s">
        <v>405</v>
      </c>
      <c r="D729" s="169" t="s">
        <v>134</v>
      </c>
    </row>
    <row r="730">
      <c r="A730" s="170">
        <v>42247.0</v>
      </c>
      <c r="B730" s="168" t="s">
        <v>341</v>
      </c>
      <c r="C730" s="168" t="s">
        <v>406</v>
      </c>
      <c r="D730" s="169" t="s">
        <v>340</v>
      </c>
    </row>
    <row r="731">
      <c r="A731" s="170">
        <v>42248.0</v>
      </c>
      <c r="B731" s="168" t="s">
        <v>341</v>
      </c>
      <c r="C731" s="168" t="s">
        <v>406</v>
      </c>
      <c r="D731" s="169" t="s">
        <v>340</v>
      </c>
    </row>
    <row r="732">
      <c r="A732" s="170">
        <v>42249.0</v>
      </c>
      <c r="B732" s="168" t="s">
        <v>341</v>
      </c>
      <c r="C732" s="168" t="s">
        <v>406</v>
      </c>
      <c r="D732" s="169" t="s">
        <v>340</v>
      </c>
    </row>
    <row r="733">
      <c r="A733" s="170">
        <v>42250.0</v>
      </c>
      <c r="B733" s="168" t="s">
        <v>341</v>
      </c>
      <c r="C733" s="168" t="s">
        <v>406</v>
      </c>
      <c r="D733" s="169" t="s">
        <v>340</v>
      </c>
    </row>
    <row r="734">
      <c r="A734" s="170">
        <v>42251.0</v>
      </c>
      <c r="B734" s="168" t="s">
        <v>341</v>
      </c>
      <c r="C734" s="168" t="s">
        <v>406</v>
      </c>
      <c r="D734" s="169" t="s">
        <v>340</v>
      </c>
    </row>
    <row r="735">
      <c r="A735" s="170">
        <v>42252.0</v>
      </c>
      <c r="B735" s="168" t="s">
        <v>341</v>
      </c>
      <c r="C735" s="168" t="s">
        <v>406</v>
      </c>
      <c r="D735" s="169" t="s">
        <v>340</v>
      </c>
    </row>
    <row r="736">
      <c r="A736" s="170">
        <v>42253.0</v>
      </c>
      <c r="B736" s="168" t="s">
        <v>341</v>
      </c>
      <c r="C736" s="168" t="s">
        <v>406</v>
      </c>
      <c r="D736" s="169" t="s">
        <v>340</v>
      </c>
    </row>
    <row r="737">
      <c r="A737" s="170">
        <v>42254.0</v>
      </c>
      <c r="B737" s="168" t="s">
        <v>350</v>
      </c>
      <c r="C737" s="168" t="s">
        <v>406</v>
      </c>
      <c r="D737" s="169" t="s">
        <v>340</v>
      </c>
    </row>
    <row r="738">
      <c r="A738" s="170">
        <v>42255.0</v>
      </c>
      <c r="B738" s="168" t="s">
        <v>350</v>
      </c>
      <c r="C738" s="168" t="s">
        <v>406</v>
      </c>
      <c r="D738" s="169" t="s">
        <v>340</v>
      </c>
    </row>
    <row r="739">
      <c r="A739" s="170">
        <v>42256.0</v>
      </c>
      <c r="B739" s="168" t="s">
        <v>350</v>
      </c>
      <c r="C739" s="168" t="s">
        <v>406</v>
      </c>
      <c r="D739" s="169" t="s">
        <v>340</v>
      </c>
    </row>
    <row r="740">
      <c r="A740" s="170">
        <v>42257.0</v>
      </c>
      <c r="B740" s="168" t="s">
        <v>350</v>
      </c>
      <c r="C740" s="168" t="s">
        <v>406</v>
      </c>
      <c r="D740" s="169" t="s">
        <v>340</v>
      </c>
    </row>
    <row r="741">
      <c r="A741" s="170">
        <v>42258.0</v>
      </c>
      <c r="B741" s="168" t="s">
        <v>350</v>
      </c>
      <c r="C741" s="168" t="s">
        <v>406</v>
      </c>
      <c r="D741" s="169" t="s">
        <v>340</v>
      </c>
    </row>
    <row r="742">
      <c r="A742" s="170">
        <v>42259.0</v>
      </c>
      <c r="B742" s="168" t="s">
        <v>350</v>
      </c>
      <c r="C742" s="168" t="s">
        <v>406</v>
      </c>
      <c r="D742" s="169" t="s">
        <v>340</v>
      </c>
    </row>
    <row r="743">
      <c r="A743" s="170">
        <v>42260.0</v>
      </c>
      <c r="B743" s="168" t="s">
        <v>350</v>
      </c>
      <c r="C743" s="168" t="s">
        <v>406</v>
      </c>
      <c r="D743" s="169" t="s">
        <v>340</v>
      </c>
    </row>
    <row r="744">
      <c r="A744" s="170">
        <v>42261.0</v>
      </c>
      <c r="B744" s="168" t="s">
        <v>355</v>
      </c>
      <c r="C744" s="168" t="s">
        <v>406</v>
      </c>
      <c r="D744" s="169" t="s">
        <v>340</v>
      </c>
    </row>
    <row r="745">
      <c r="A745" s="170">
        <v>42262.0</v>
      </c>
      <c r="B745" s="168" t="s">
        <v>355</v>
      </c>
      <c r="C745" s="168" t="s">
        <v>406</v>
      </c>
      <c r="D745" s="169" t="s">
        <v>340</v>
      </c>
    </row>
    <row r="746">
      <c r="A746" s="170">
        <v>42263.0</v>
      </c>
      <c r="B746" s="168" t="s">
        <v>355</v>
      </c>
      <c r="C746" s="168" t="s">
        <v>406</v>
      </c>
      <c r="D746" s="169" t="s">
        <v>340</v>
      </c>
    </row>
    <row r="747">
      <c r="A747" s="170">
        <v>42264.0</v>
      </c>
      <c r="B747" s="168" t="s">
        <v>355</v>
      </c>
      <c r="C747" s="168" t="s">
        <v>406</v>
      </c>
      <c r="D747" s="169" t="s">
        <v>340</v>
      </c>
    </row>
    <row r="748">
      <c r="A748" s="170">
        <v>42265.0</v>
      </c>
      <c r="B748" s="168" t="s">
        <v>355</v>
      </c>
      <c r="C748" s="168" t="s">
        <v>406</v>
      </c>
      <c r="D748" s="169" t="s">
        <v>340</v>
      </c>
    </row>
    <row r="749">
      <c r="A749" s="170">
        <v>42266.0</v>
      </c>
      <c r="B749" s="168" t="s">
        <v>355</v>
      </c>
      <c r="C749" s="168" t="s">
        <v>406</v>
      </c>
      <c r="D749" s="169" t="s">
        <v>340</v>
      </c>
    </row>
    <row r="750">
      <c r="A750" s="170">
        <v>42267.0</v>
      </c>
      <c r="B750" s="168" t="s">
        <v>355</v>
      </c>
      <c r="C750" s="168" t="s">
        <v>406</v>
      </c>
      <c r="D750" s="169" t="s">
        <v>340</v>
      </c>
    </row>
    <row r="751">
      <c r="A751" s="170">
        <v>42268.0</v>
      </c>
      <c r="B751" s="168" t="s">
        <v>356</v>
      </c>
      <c r="C751" s="168" t="s">
        <v>406</v>
      </c>
      <c r="D751" s="169" t="s">
        <v>340</v>
      </c>
    </row>
    <row r="752">
      <c r="A752" s="170">
        <v>42269.0</v>
      </c>
      <c r="B752" s="168" t="s">
        <v>356</v>
      </c>
      <c r="C752" s="168" t="s">
        <v>406</v>
      </c>
      <c r="D752" s="169" t="s">
        <v>340</v>
      </c>
    </row>
    <row r="753">
      <c r="A753" s="170">
        <v>42270.0</v>
      </c>
      <c r="B753" s="168" t="s">
        <v>356</v>
      </c>
      <c r="C753" s="168" t="s">
        <v>406</v>
      </c>
      <c r="D753" s="169" t="s">
        <v>340</v>
      </c>
    </row>
    <row r="754">
      <c r="A754" s="170">
        <v>42271.0</v>
      </c>
      <c r="B754" s="168" t="s">
        <v>356</v>
      </c>
      <c r="C754" s="168" t="s">
        <v>406</v>
      </c>
      <c r="D754" s="169" t="s">
        <v>340</v>
      </c>
    </row>
    <row r="755">
      <c r="A755" s="170">
        <v>42272.0</v>
      </c>
      <c r="B755" s="168" t="s">
        <v>356</v>
      </c>
      <c r="C755" s="168" t="s">
        <v>406</v>
      </c>
      <c r="D755" s="169" t="s">
        <v>340</v>
      </c>
    </row>
    <row r="756">
      <c r="A756" s="170">
        <v>42273.0</v>
      </c>
      <c r="B756" s="168" t="s">
        <v>356</v>
      </c>
      <c r="C756" s="168" t="s">
        <v>406</v>
      </c>
      <c r="D756" s="169" t="s">
        <v>340</v>
      </c>
    </row>
    <row r="757">
      <c r="A757" s="170">
        <v>42274.0</v>
      </c>
      <c r="B757" s="168" t="s">
        <v>356</v>
      </c>
      <c r="C757" s="168" t="s">
        <v>406</v>
      </c>
      <c r="D757" s="169" t="s">
        <v>340</v>
      </c>
    </row>
    <row r="758">
      <c r="A758" s="170">
        <v>42275.0</v>
      </c>
      <c r="B758" s="168" t="s">
        <v>357</v>
      </c>
      <c r="C758" s="168" t="s">
        <v>406</v>
      </c>
      <c r="D758" s="169" t="s">
        <v>343</v>
      </c>
    </row>
    <row r="759">
      <c r="A759" s="170">
        <v>42276.0</v>
      </c>
      <c r="B759" s="168" t="s">
        <v>357</v>
      </c>
      <c r="C759" s="168" t="s">
        <v>406</v>
      </c>
      <c r="D759" s="169" t="s">
        <v>343</v>
      </c>
    </row>
    <row r="760">
      <c r="A760" s="170">
        <v>42277.0</v>
      </c>
      <c r="B760" s="168" t="s">
        <v>357</v>
      </c>
      <c r="C760" s="168" t="s">
        <v>406</v>
      </c>
      <c r="D760" s="169" t="s">
        <v>343</v>
      </c>
    </row>
    <row r="761">
      <c r="A761" s="170">
        <v>42278.0</v>
      </c>
      <c r="B761" s="168" t="s">
        <v>357</v>
      </c>
      <c r="C761" s="168" t="s">
        <v>406</v>
      </c>
      <c r="D761" s="169" t="s">
        <v>343</v>
      </c>
    </row>
    <row r="762">
      <c r="A762" s="170">
        <v>42279.0</v>
      </c>
      <c r="B762" s="168" t="s">
        <v>357</v>
      </c>
      <c r="C762" s="168" t="s">
        <v>406</v>
      </c>
      <c r="D762" s="169" t="s">
        <v>343</v>
      </c>
    </row>
    <row r="763">
      <c r="A763" s="170">
        <v>42280.0</v>
      </c>
      <c r="B763" s="168" t="s">
        <v>357</v>
      </c>
      <c r="C763" s="168" t="s">
        <v>406</v>
      </c>
      <c r="D763" s="169" t="s">
        <v>343</v>
      </c>
    </row>
    <row r="764">
      <c r="A764" s="170">
        <v>42281.0</v>
      </c>
      <c r="B764" s="168" t="s">
        <v>357</v>
      </c>
      <c r="C764" s="168" t="s">
        <v>406</v>
      </c>
      <c r="D764" s="169" t="s">
        <v>343</v>
      </c>
    </row>
    <row r="765">
      <c r="A765" s="170">
        <v>42282.0</v>
      </c>
      <c r="B765" s="168" t="s">
        <v>358</v>
      </c>
      <c r="C765" s="168" t="s">
        <v>406</v>
      </c>
      <c r="D765" s="169" t="s">
        <v>343</v>
      </c>
    </row>
    <row r="766">
      <c r="A766" s="170">
        <v>42283.0</v>
      </c>
      <c r="B766" s="168" t="s">
        <v>358</v>
      </c>
      <c r="C766" s="168" t="s">
        <v>406</v>
      </c>
      <c r="D766" s="169" t="s">
        <v>343</v>
      </c>
    </row>
    <row r="767">
      <c r="A767" s="170">
        <v>42284.0</v>
      </c>
      <c r="B767" s="168" t="s">
        <v>358</v>
      </c>
      <c r="C767" s="168" t="s">
        <v>406</v>
      </c>
      <c r="D767" s="169" t="s">
        <v>343</v>
      </c>
    </row>
    <row r="768">
      <c r="A768" s="170">
        <v>42285.0</v>
      </c>
      <c r="B768" s="168" t="s">
        <v>358</v>
      </c>
      <c r="C768" s="168" t="s">
        <v>406</v>
      </c>
      <c r="D768" s="169" t="s">
        <v>343</v>
      </c>
    </row>
    <row r="769">
      <c r="A769" s="170">
        <v>42286.0</v>
      </c>
      <c r="B769" s="168" t="s">
        <v>358</v>
      </c>
      <c r="C769" s="168" t="s">
        <v>406</v>
      </c>
      <c r="D769" s="169" t="s">
        <v>343</v>
      </c>
    </row>
    <row r="770">
      <c r="A770" s="170">
        <v>42287.0</v>
      </c>
      <c r="B770" s="168" t="s">
        <v>358</v>
      </c>
      <c r="C770" s="168" t="s">
        <v>406</v>
      </c>
      <c r="D770" s="169" t="s">
        <v>343</v>
      </c>
    </row>
    <row r="771">
      <c r="A771" s="170">
        <v>42288.0</v>
      </c>
      <c r="B771" s="168" t="s">
        <v>358</v>
      </c>
      <c r="C771" s="168" t="s">
        <v>406</v>
      </c>
      <c r="D771" s="169" t="s">
        <v>343</v>
      </c>
    </row>
    <row r="772">
      <c r="A772" s="170">
        <v>42289.0</v>
      </c>
      <c r="B772" s="168" t="s">
        <v>359</v>
      </c>
      <c r="C772" s="168" t="s">
        <v>406</v>
      </c>
      <c r="D772" s="169" t="s">
        <v>343</v>
      </c>
    </row>
    <row r="773">
      <c r="A773" s="170">
        <v>42290.0</v>
      </c>
      <c r="B773" s="168" t="s">
        <v>359</v>
      </c>
      <c r="C773" s="168" t="s">
        <v>406</v>
      </c>
      <c r="D773" s="169" t="s">
        <v>343</v>
      </c>
    </row>
    <row r="774">
      <c r="A774" s="170">
        <v>42291.0</v>
      </c>
      <c r="B774" s="168" t="s">
        <v>359</v>
      </c>
      <c r="C774" s="168" t="s">
        <v>406</v>
      </c>
      <c r="D774" s="169" t="s">
        <v>343</v>
      </c>
    </row>
    <row r="775">
      <c r="A775" s="170">
        <v>42292.0</v>
      </c>
      <c r="B775" s="168" t="s">
        <v>359</v>
      </c>
      <c r="C775" s="168" t="s">
        <v>406</v>
      </c>
      <c r="D775" s="169" t="s">
        <v>343</v>
      </c>
    </row>
    <row r="776">
      <c r="A776" s="170">
        <v>42293.0</v>
      </c>
      <c r="B776" s="168" t="s">
        <v>359</v>
      </c>
      <c r="C776" s="168" t="s">
        <v>406</v>
      </c>
      <c r="D776" s="169" t="s">
        <v>343</v>
      </c>
    </row>
    <row r="777">
      <c r="A777" s="170">
        <v>42294.0</v>
      </c>
      <c r="B777" s="168" t="s">
        <v>359</v>
      </c>
      <c r="C777" s="168" t="s">
        <v>406</v>
      </c>
      <c r="D777" s="169" t="s">
        <v>343</v>
      </c>
    </row>
    <row r="778">
      <c r="A778" s="170">
        <v>42295.0</v>
      </c>
      <c r="B778" s="168" t="s">
        <v>359</v>
      </c>
      <c r="C778" s="168" t="s">
        <v>406</v>
      </c>
      <c r="D778" s="169" t="s">
        <v>343</v>
      </c>
    </row>
    <row r="779">
      <c r="A779" s="170">
        <v>42296.0</v>
      </c>
      <c r="B779" s="168" t="s">
        <v>360</v>
      </c>
      <c r="C779" s="168" t="s">
        <v>406</v>
      </c>
      <c r="D779" s="169" t="s">
        <v>343</v>
      </c>
    </row>
    <row r="780">
      <c r="A780" s="170">
        <v>42297.0</v>
      </c>
      <c r="B780" s="168" t="s">
        <v>360</v>
      </c>
      <c r="C780" s="168" t="s">
        <v>406</v>
      </c>
      <c r="D780" s="169" t="s">
        <v>343</v>
      </c>
    </row>
    <row r="781">
      <c r="A781" s="170">
        <v>42298.0</v>
      </c>
      <c r="B781" s="168" t="s">
        <v>360</v>
      </c>
      <c r="C781" s="168" t="s">
        <v>406</v>
      </c>
      <c r="D781" s="169" t="s">
        <v>343</v>
      </c>
    </row>
    <row r="782">
      <c r="A782" s="170">
        <v>42299.0</v>
      </c>
      <c r="B782" s="168" t="s">
        <v>360</v>
      </c>
      <c r="C782" s="168" t="s">
        <v>406</v>
      </c>
      <c r="D782" s="169" t="s">
        <v>343</v>
      </c>
    </row>
    <row r="783">
      <c r="A783" s="170">
        <v>42300.0</v>
      </c>
      <c r="B783" s="168" t="s">
        <v>360</v>
      </c>
      <c r="C783" s="168" t="s">
        <v>406</v>
      </c>
      <c r="D783" s="169" t="s">
        <v>343</v>
      </c>
    </row>
    <row r="784">
      <c r="A784" s="170">
        <v>42301.0</v>
      </c>
      <c r="B784" s="168" t="s">
        <v>360</v>
      </c>
      <c r="C784" s="168" t="s">
        <v>406</v>
      </c>
      <c r="D784" s="169" t="s">
        <v>343</v>
      </c>
    </row>
    <row r="785">
      <c r="A785" s="170">
        <v>42302.0</v>
      </c>
      <c r="B785" s="168" t="s">
        <v>360</v>
      </c>
      <c r="C785" s="168" t="s">
        <v>406</v>
      </c>
      <c r="D785" s="169" t="s">
        <v>343</v>
      </c>
    </row>
    <row r="786">
      <c r="A786" s="170">
        <v>42303.0</v>
      </c>
      <c r="B786" s="168" t="s">
        <v>361</v>
      </c>
      <c r="C786" s="168" t="s">
        <v>406</v>
      </c>
      <c r="D786" s="169" t="s">
        <v>344</v>
      </c>
    </row>
    <row r="787">
      <c r="A787" s="170">
        <v>42304.0</v>
      </c>
      <c r="B787" s="168" t="s">
        <v>361</v>
      </c>
      <c r="C787" s="168" t="s">
        <v>406</v>
      </c>
      <c r="D787" s="169" t="s">
        <v>344</v>
      </c>
    </row>
    <row r="788">
      <c r="A788" s="170">
        <v>42305.0</v>
      </c>
      <c r="B788" s="168" t="s">
        <v>361</v>
      </c>
      <c r="C788" s="168" t="s">
        <v>406</v>
      </c>
      <c r="D788" s="169" t="s">
        <v>344</v>
      </c>
    </row>
    <row r="789">
      <c r="A789" s="170">
        <v>42306.0</v>
      </c>
      <c r="B789" s="168" t="s">
        <v>361</v>
      </c>
      <c r="C789" s="168" t="s">
        <v>406</v>
      </c>
      <c r="D789" s="169" t="s">
        <v>344</v>
      </c>
    </row>
    <row r="790">
      <c r="A790" s="170">
        <v>42307.0</v>
      </c>
      <c r="B790" s="168" t="s">
        <v>361</v>
      </c>
      <c r="C790" s="168" t="s">
        <v>406</v>
      </c>
      <c r="D790" s="169" t="s">
        <v>344</v>
      </c>
    </row>
    <row r="791">
      <c r="A791" s="170">
        <v>42308.0</v>
      </c>
      <c r="B791" s="168" t="s">
        <v>361</v>
      </c>
      <c r="C791" s="168" t="s">
        <v>406</v>
      </c>
      <c r="D791" s="169" t="s">
        <v>344</v>
      </c>
    </row>
    <row r="792">
      <c r="A792" s="170">
        <v>42309.0</v>
      </c>
      <c r="B792" s="168" t="s">
        <v>361</v>
      </c>
      <c r="C792" s="168" t="s">
        <v>406</v>
      </c>
      <c r="D792" s="169" t="s">
        <v>344</v>
      </c>
    </row>
    <row r="793">
      <c r="A793" s="170">
        <v>42310.0</v>
      </c>
      <c r="B793" s="168" t="s">
        <v>362</v>
      </c>
      <c r="C793" s="168" t="s">
        <v>406</v>
      </c>
      <c r="D793" s="169" t="s">
        <v>344</v>
      </c>
    </row>
    <row r="794">
      <c r="A794" s="170">
        <v>42311.0</v>
      </c>
      <c r="B794" s="168" t="s">
        <v>362</v>
      </c>
      <c r="C794" s="168" t="s">
        <v>406</v>
      </c>
      <c r="D794" s="169" t="s">
        <v>344</v>
      </c>
    </row>
    <row r="795">
      <c r="A795" s="170">
        <v>42312.0</v>
      </c>
      <c r="B795" s="168" t="s">
        <v>362</v>
      </c>
      <c r="C795" s="168" t="s">
        <v>406</v>
      </c>
      <c r="D795" s="169" t="s">
        <v>344</v>
      </c>
    </row>
    <row r="796">
      <c r="A796" s="170">
        <v>42313.0</v>
      </c>
      <c r="B796" s="168" t="s">
        <v>362</v>
      </c>
      <c r="C796" s="168" t="s">
        <v>406</v>
      </c>
      <c r="D796" s="169" t="s">
        <v>344</v>
      </c>
    </row>
    <row r="797">
      <c r="A797" s="170">
        <v>42314.0</v>
      </c>
      <c r="B797" s="168" t="s">
        <v>362</v>
      </c>
      <c r="C797" s="168" t="s">
        <v>406</v>
      </c>
      <c r="D797" s="169" t="s">
        <v>344</v>
      </c>
    </row>
    <row r="798">
      <c r="A798" s="170">
        <v>42315.0</v>
      </c>
      <c r="B798" s="168" t="s">
        <v>362</v>
      </c>
      <c r="C798" s="168" t="s">
        <v>406</v>
      </c>
      <c r="D798" s="169" t="s">
        <v>344</v>
      </c>
    </row>
    <row r="799">
      <c r="A799" s="170">
        <v>42316.0</v>
      </c>
      <c r="B799" s="168" t="s">
        <v>362</v>
      </c>
      <c r="C799" s="168" t="s">
        <v>406</v>
      </c>
      <c r="D799" s="169" t="s">
        <v>344</v>
      </c>
    </row>
    <row r="800">
      <c r="A800" s="170">
        <v>42317.0</v>
      </c>
      <c r="B800" s="168" t="s">
        <v>363</v>
      </c>
      <c r="C800" s="168" t="s">
        <v>406</v>
      </c>
      <c r="D800" s="169" t="s">
        <v>344</v>
      </c>
    </row>
    <row r="801">
      <c r="A801" s="170">
        <v>42318.0</v>
      </c>
      <c r="B801" s="168" t="s">
        <v>363</v>
      </c>
      <c r="C801" s="168" t="s">
        <v>406</v>
      </c>
      <c r="D801" s="169" t="s">
        <v>344</v>
      </c>
    </row>
    <row r="802">
      <c r="A802" s="170">
        <v>42319.0</v>
      </c>
      <c r="B802" s="168" t="s">
        <v>363</v>
      </c>
      <c r="C802" s="168" t="s">
        <v>406</v>
      </c>
      <c r="D802" s="169" t="s">
        <v>344</v>
      </c>
    </row>
    <row r="803">
      <c r="A803" s="170">
        <v>42320.0</v>
      </c>
      <c r="B803" s="168" t="s">
        <v>363</v>
      </c>
      <c r="C803" s="168" t="s">
        <v>406</v>
      </c>
      <c r="D803" s="169" t="s">
        <v>344</v>
      </c>
    </row>
    <row r="804">
      <c r="A804" s="170">
        <v>42321.0</v>
      </c>
      <c r="B804" s="168" t="s">
        <v>363</v>
      </c>
      <c r="C804" s="168" t="s">
        <v>406</v>
      </c>
      <c r="D804" s="169" t="s">
        <v>344</v>
      </c>
    </row>
    <row r="805">
      <c r="A805" s="170">
        <v>42322.0</v>
      </c>
      <c r="B805" s="168" t="s">
        <v>363</v>
      </c>
      <c r="C805" s="168" t="s">
        <v>406</v>
      </c>
      <c r="D805" s="169" t="s">
        <v>344</v>
      </c>
    </row>
    <row r="806">
      <c r="A806" s="170">
        <v>42323.0</v>
      </c>
      <c r="B806" s="168" t="s">
        <v>363</v>
      </c>
      <c r="C806" s="168" t="s">
        <v>406</v>
      </c>
      <c r="D806" s="169" t="s">
        <v>344</v>
      </c>
    </row>
    <row r="807">
      <c r="A807" s="170">
        <v>42324.0</v>
      </c>
      <c r="B807" s="168" t="s">
        <v>364</v>
      </c>
      <c r="C807" s="168" t="s">
        <v>406</v>
      </c>
      <c r="D807" s="169" t="s">
        <v>344</v>
      </c>
    </row>
    <row r="808">
      <c r="A808" s="170">
        <v>42325.0</v>
      </c>
      <c r="B808" s="168" t="s">
        <v>364</v>
      </c>
      <c r="C808" s="168" t="s">
        <v>406</v>
      </c>
      <c r="D808" s="169" t="s">
        <v>344</v>
      </c>
    </row>
    <row r="809">
      <c r="A809" s="170">
        <v>42326.0</v>
      </c>
      <c r="B809" s="168" t="s">
        <v>364</v>
      </c>
      <c r="C809" s="168" t="s">
        <v>406</v>
      </c>
      <c r="D809" s="169" t="s">
        <v>344</v>
      </c>
    </row>
    <row r="810">
      <c r="A810" s="170">
        <v>42327.0</v>
      </c>
      <c r="B810" s="168" t="s">
        <v>364</v>
      </c>
      <c r="C810" s="168" t="s">
        <v>406</v>
      </c>
      <c r="D810" s="169" t="s">
        <v>344</v>
      </c>
    </row>
    <row r="811">
      <c r="A811" s="170">
        <v>42328.0</v>
      </c>
      <c r="B811" s="168" t="s">
        <v>364</v>
      </c>
      <c r="C811" s="168" t="s">
        <v>406</v>
      </c>
      <c r="D811" s="169" t="s">
        <v>344</v>
      </c>
    </row>
    <row r="812">
      <c r="A812" s="170">
        <v>42329.0</v>
      </c>
      <c r="B812" s="168" t="s">
        <v>364</v>
      </c>
      <c r="C812" s="168" t="s">
        <v>406</v>
      </c>
      <c r="D812" s="169" t="s">
        <v>344</v>
      </c>
    </row>
    <row r="813">
      <c r="A813" s="170">
        <v>42330.0</v>
      </c>
      <c r="B813" s="168" t="s">
        <v>364</v>
      </c>
      <c r="C813" s="168" t="s">
        <v>406</v>
      </c>
      <c r="D813" s="169" t="s">
        <v>344</v>
      </c>
    </row>
    <row r="814">
      <c r="A814" s="170">
        <v>42331.0</v>
      </c>
      <c r="B814" s="168" t="s">
        <v>365</v>
      </c>
      <c r="C814" s="168" t="s">
        <v>406</v>
      </c>
      <c r="D814" s="169" t="s">
        <v>345</v>
      </c>
    </row>
    <row r="815">
      <c r="A815" s="170">
        <v>42332.0</v>
      </c>
      <c r="B815" s="168" t="s">
        <v>365</v>
      </c>
      <c r="C815" s="168" t="s">
        <v>406</v>
      </c>
      <c r="D815" s="169" t="s">
        <v>345</v>
      </c>
    </row>
    <row r="816">
      <c r="A816" s="170">
        <v>42333.0</v>
      </c>
      <c r="B816" s="168" t="s">
        <v>365</v>
      </c>
      <c r="C816" s="168" t="s">
        <v>406</v>
      </c>
      <c r="D816" s="169" t="s">
        <v>345</v>
      </c>
    </row>
    <row r="817">
      <c r="A817" s="170">
        <v>42334.0</v>
      </c>
      <c r="B817" s="168" t="s">
        <v>365</v>
      </c>
      <c r="C817" s="168" t="s">
        <v>406</v>
      </c>
      <c r="D817" s="169" t="s">
        <v>345</v>
      </c>
    </row>
    <row r="818">
      <c r="A818" s="170">
        <v>42335.0</v>
      </c>
      <c r="B818" s="168" t="s">
        <v>365</v>
      </c>
      <c r="C818" s="168" t="s">
        <v>406</v>
      </c>
      <c r="D818" s="169" t="s">
        <v>345</v>
      </c>
    </row>
    <row r="819">
      <c r="A819" s="170">
        <v>42336.0</v>
      </c>
      <c r="B819" s="168" t="s">
        <v>365</v>
      </c>
      <c r="C819" s="168" t="s">
        <v>406</v>
      </c>
      <c r="D819" s="169" t="s">
        <v>345</v>
      </c>
    </row>
    <row r="820">
      <c r="A820" s="170">
        <v>42337.0</v>
      </c>
      <c r="B820" s="168" t="s">
        <v>365</v>
      </c>
      <c r="C820" s="168" t="s">
        <v>406</v>
      </c>
      <c r="D820" s="169" t="s">
        <v>345</v>
      </c>
    </row>
    <row r="821">
      <c r="A821" s="170">
        <v>42338.0</v>
      </c>
      <c r="B821" s="168" t="s">
        <v>366</v>
      </c>
      <c r="C821" s="168" t="s">
        <v>406</v>
      </c>
      <c r="D821" s="169" t="s">
        <v>345</v>
      </c>
    </row>
    <row r="822">
      <c r="A822" s="170">
        <v>42339.0</v>
      </c>
      <c r="B822" s="168" t="s">
        <v>366</v>
      </c>
      <c r="C822" s="168" t="s">
        <v>406</v>
      </c>
      <c r="D822" s="169" t="s">
        <v>345</v>
      </c>
    </row>
    <row r="823">
      <c r="A823" s="170">
        <v>42340.0</v>
      </c>
      <c r="B823" s="168" t="s">
        <v>366</v>
      </c>
      <c r="C823" s="168" t="s">
        <v>406</v>
      </c>
      <c r="D823" s="169" t="s">
        <v>345</v>
      </c>
    </row>
    <row r="824">
      <c r="A824" s="170">
        <v>42341.0</v>
      </c>
      <c r="B824" s="168" t="s">
        <v>366</v>
      </c>
      <c r="C824" s="168" t="s">
        <v>406</v>
      </c>
      <c r="D824" s="169" t="s">
        <v>345</v>
      </c>
    </row>
    <row r="825">
      <c r="A825" s="170">
        <v>42342.0</v>
      </c>
      <c r="B825" s="168" t="s">
        <v>366</v>
      </c>
      <c r="C825" s="168" t="s">
        <v>406</v>
      </c>
      <c r="D825" s="169" t="s">
        <v>345</v>
      </c>
    </row>
    <row r="826">
      <c r="A826" s="170">
        <v>42343.0</v>
      </c>
      <c r="B826" s="168" t="s">
        <v>366</v>
      </c>
      <c r="C826" s="168" t="s">
        <v>406</v>
      </c>
      <c r="D826" s="169" t="s">
        <v>345</v>
      </c>
    </row>
    <row r="827">
      <c r="A827" s="170">
        <v>42344.0</v>
      </c>
      <c r="B827" s="168" t="s">
        <v>366</v>
      </c>
      <c r="C827" s="168" t="s">
        <v>406</v>
      </c>
      <c r="D827" s="169" t="s">
        <v>345</v>
      </c>
    </row>
    <row r="828">
      <c r="A828" s="170">
        <v>42345.0</v>
      </c>
      <c r="B828" s="168" t="s">
        <v>367</v>
      </c>
      <c r="C828" s="168" t="s">
        <v>406</v>
      </c>
      <c r="D828" s="169" t="s">
        <v>345</v>
      </c>
    </row>
    <row r="829">
      <c r="A829" s="170">
        <v>42346.0</v>
      </c>
      <c r="B829" s="168" t="s">
        <v>367</v>
      </c>
      <c r="C829" s="168" t="s">
        <v>406</v>
      </c>
      <c r="D829" s="169" t="s">
        <v>345</v>
      </c>
    </row>
    <row r="830">
      <c r="A830" s="170">
        <v>42347.0</v>
      </c>
      <c r="B830" s="168" t="s">
        <v>367</v>
      </c>
      <c r="C830" s="168" t="s">
        <v>406</v>
      </c>
      <c r="D830" s="169" t="s">
        <v>345</v>
      </c>
    </row>
    <row r="831">
      <c r="A831" s="170">
        <v>42348.0</v>
      </c>
      <c r="B831" s="168" t="s">
        <v>367</v>
      </c>
      <c r="C831" s="168" t="s">
        <v>406</v>
      </c>
      <c r="D831" s="169" t="s">
        <v>345</v>
      </c>
    </row>
    <row r="832">
      <c r="A832" s="170">
        <v>42349.0</v>
      </c>
      <c r="B832" s="168" t="s">
        <v>367</v>
      </c>
      <c r="C832" s="168" t="s">
        <v>406</v>
      </c>
      <c r="D832" s="169" t="s">
        <v>345</v>
      </c>
    </row>
    <row r="833">
      <c r="A833" s="170">
        <v>42350.0</v>
      </c>
      <c r="B833" s="168" t="s">
        <v>367</v>
      </c>
      <c r="C833" s="168" t="s">
        <v>406</v>
      </c>
      <c r="D833" s="169" t="s">
        <v>345</v>
      </c>
    </row>
    <row r="834">
      <c r="A834" s="170">
        <v>42351.0</v>
      </c>
      <c r="B834" s="168" t="s">
        <v>367</v>
      </c>
      <c r="C834" s="168" t="s">
        <v>406</v>
      </c>
      <c r="D834" s="169" t="s">
        <v>345</v>
      </c>
    </row>
    <row r="835">
      <c r="A835" s="170">
        <v>42352.0</v>
      </c>
      <c r="B835" s="168" t="s">
        <v>368</v>
      </c>
      <c r="C835" s="168" t="s">
        <v>406</v>
      </c>
      <c r="D835" s="169" t="s">
        <v>345</v>
      </c>
    </row>
    <row r="836">
      <c r="A836" s="170">
        <v>42353.0</v>
      </c>
      <c r="B836" s="168" t="s">
        <v>368</v>
      </c>
      <c r="C836" s="168" t="s">
        <v>406</v>
      </c>
      <c r="D836" s="169" t="s">
        <v>345</v>
      </c>
    </row>
    <row r="837">
      <c r="A837" s="170">
        <v>42354.0</v>
      </c>
      <c r="B837" s="168" t="s">
        <v>368</v>
      </c>
      <c r="C837" s="168" t="s">
        <v>406</v>
      </c>
      <c r="D837" s="169" t="s">
        <v>345</v>
      </c>
    </row>
    <row r="838">
      <c r="A838" s="170">
        <v>42355.0</v>
      </c>
      <c r="B838" s="168" t="s">
        <v>368</v>
      </c>
      <c r="C838" s="168" t="s">
        <v>406</v>
      </c>
      <c r="D838" s="169" t="s">
        <v>345</v>
      </c>
    </row>
    <row r="839">
      <c r="A839" s="170">
        <v>42356.0</v>
      </c>
      <c r="B839" s="168" t="s">
        <v>368</v>
      </c>
      <c r="C839" s="168" t="s">
        <v>406</v>
      </c>
      <c r="D839" s="169" t="s">
        <v>345</v>
      </c>
    </row>
    <row r="840">
      <c r="A840" s="170">
        <v>42357.0</v>
      </c>
      <c r="B840" s="168" t="s">
        <v>368</v>
      </c>
      <c r="C840" s="168" t="s">
        <v>406</v>
      </c>
      <c r="D840" s="169" t="s">
        <v>345</v>
      </c>
    </row>
    <row r="841">
      <c r="A841" s="170">
        <v>42358.0</v>
      </c>
      <c r="B841" s="168" t="s">
        <v>368</v>
      </c>
      <c r="C841" s="168" t="s">
        <v>406</v>
      </c>
      <c r="D841" s="169" t="s">
        <v>345</v>
      </c>
    </row>
    <row r="842">
      <c r="A842" s="170">
        <v>42359.0</v>
      </c>
      <c r="B842" s="168" t="s">
        <v>369</v>
      </c>
      <c r="C842" s="168" t="s">
        <v>406</v>
      </c>
      <c r="D842" s="169" t="s">
        <v>346</v>
      </c>
    </row>
    <row r="843">
      <c r="A843" s="170">
        <v>42360.0</v>
      </c>
      <c r="B843" s="168" t="s">
        <v>369</v>
      </c>
      <c r="C843" s="168" t="s">
        <v>406</v>
      </c>
      <c r="D843" s="169" t="s">
        <v>346</v>
      </c>
    </row>
    <row r="844">
      <c r="A844" s="170">
        <v>42361.0</v>
      </c>
      <c r="B844" s="168" t="s">
        <v>369</v>
      </c>
      <c r="C844" s="168" t="s">
        <v>406</v>
      </c>
      <c r="D844" s="169" t="s">
        <v>346</v>
      </c>
    </row>
    <row r="845">
      <c r="A845" s="170">
        <v>42362.0</v>
      </c>
      <c r="B845" s="168" t="s">
        <v>369</v>
      </c>
      <c r="C845" s="168" t="s">
        <v>406</v>
      </c>
      <c r="D845" s="169" t="s">
        <v>346</v>
      </c>
    </row>
    <row r="846">
      <c r="A846" s="170">
        <v>42363.0</v>
      </c>
      <c r="B846" s="168" t="s">
        <v>369</v>
      </c>
      <c r="C846" s="168" t="s">
        <v>406</v>
      </c>
      <c r="D846" s="169" t="s">
        <v>346</v>
      </c>
    </row>
    <row r="847">
      <c r="A847" s="170">
        <v>42364.0</v>
      </c>
      <c r="B847" s="168" t="s">
        <v>369</v>
      </c>
      <c r="C847" s="168" t="s">
        <v>406</v>
      </c>
      <c r="D847" s="169" t="s">
        <v>346</v>
      </c>
    </row>
    <row r="848">
      <c r="A848" s="170">
        <v>42365.0</v>
      </c>
      <c r="B848" s="168" t="s">
        <v>369</v>
      </c>
      <c r="C848" s="168" t="s">
        <v>406</v>
      </c>
      <c r="D848" s="169" t="s">
        <v>346</v>
      </c>
    </row>
    <row r="849">
      <c r="A849" s="170">
        <v>42366.0</v>
      </c>
      <c r="B849" s="168" t="s">
        <v>370</v>
      </c>
      <c r="C849" s="168" t="s">
        <v>406</v>
      </c>
      <c r="D849" s="169" t="s">
        <v>346</v>
      </c>
    </row>
    <row r="850">
      <c r="A850" s="170">
        <v>42367.0</v>
      </c>
      <c r="B850" s="168" t="s">
        <v>370</v>
      </c>
      <c r="C850" s="168" t="s">
        <v>406</v>
      </c>
      <c r="D850" s="169" t="s">
        <v>346</v>
      </c>
    </row>
    <row r="851">
      <c r="A851" s="170">
        <v>42368.0</v>
      </c>
      <c r="B851" s="168" t="s">
        <v>370</v>
      </c>
      <c r="C851" s="168" t="s">
        <v>406</v>
      </c>
      <c r="D851" s="169" t="s">
        <v>346</v>
      </c>
    </row>
    <row r="852">
      <c r="A852" s="170">
        <v>42369.0</v>
      </c>
      <c r="B852" s="168" t="s">
        <v>370</v>
      </c>
      <c r="C852" s="168" t="s">
        <v>406</v>
      </c>
      <c r="D852" s="169" t="s">
        <v>346</v>
      </c>
    </row>
    <row r="853">
      <c r="A853" s="170">
        <v>42370.0</v>
      </c>
      <c r="B853" s="168" t="s">
        <v>370</v>
      </c>
      <c r="C853" s="168" t="s">
        <v>406</v>
      </c>
      <c r="D853" s="169" t="s">
        <v>346</v>
      </c>
    </row>
    <row r="854">
      <c r="A854" s="170">
        <v>42371.0</v>
      </c>
      <c r="B854" s="168" t="s">
        <v>370</v>
      </c>
      <c r="C854" s="168" t="s">
        <v>406</v>
      </c>
      <c r="D854" s="169" t="s">
        <v>346</v>
      </c>
    </row>
    <row r="855">
      <c r="A855" s="170">
        <v>42372.0</v>
      </c>
      <c r="B855" s="168" t="s">
        <v>370</v>
      </c>
      <c r="C855" s="168" t="s">
        <v>406</v>
      </c>
      <c r="D855" s="169" t="s">
        <v>346</v>
      </c>
    </row>
    <row r="856">
      <c r="A856" s="170">
        <v>42373.0</v>
      </c>
      <c r="B856" s="168" t="s">
        <v>371</v>
      </c>
      <c r="C856" s="168" t="s">
        <v>406</v>
      </c>
      <c r="D856" s="169" t="s">
        <v>346</v>
      </c>
    </row>
    <row r="857">
      <c r="A857" s="170">
        <v>42374.0</v>
      </c>
      <c r="B857" s="168" t="s">
        <v>371</v>
      </c>
      <c r="C857" s="168" t="s">
        <v>406</v>
      </c>
      <c r="D857" s="169" t="s">
        <v>346</v>
      </c>
    </row>
    <row r="858">
      <c r="A858" s="170">
        <v>42375.0</v>
      </c>
      <c r="B858" s="168" t="s">
        <v>371</v>
      </c>
      <c r="C858" s="168" t="s">
        <v>406</v>
      </c>
      <c r="D858" s="169" t="s">
        <v>346</v>
      </c>
    </row>
    <row r="859">
      <c r="A859" s="170">
        <v>42376.0</v>
      </c>
      <c r="B859" s="168" t="s">
        <v>371</v>
      </c>
      <c r="C859" s="168" t="s">
        <v>406</v>
      </c>
      <c r="D859" s="169" t="s">
        <v>346</v>
      </c>
    </row>
    <row r="860">
      <c r="A860" s="170">
        <v>42377.0</v>
      </c>
      <c r="B860" s="168" t="s">
        <v>371</v>
      </c>
      <c r="C860" s="168" t="s">
        <v>406</v>
      </c>
      <c r="D860" s="169" t="s">
        <v>346</v>
      </c>
    </row>
    <row r="861">
      <c r="A861" s="170">
        <v>42378.0</v>
      </c>
      <c r="B861" s="168" t="s">
        <v>371</v>
      </c>
      <c r="C861" s="168" t="s">
        <v>406</v>
      </c>
      <c r="D861" s="169" t="s">
        <v>346</v>
      </c>
    </row>
    <row r="862">
      <c r="A862" s="170">
        <v>42379.0</v>
      </c>
      <c r="B862" s="168" t="s">
        <v>371</v>
      </c>
      <c r="C862" s="168" t="s">
        <v>406</v>
      </c>
      <c r="D862" s="169" t="s">
        <v>346</v>
      </c>
    </row>
    <row r="863">
      <c r="A863" s="170">
        <v>42380.0</v>
      </c>
      <c r="B863" s="168" t="s">
        <v>372</v>
      </c>
      <c r="C863" s="168" t="s">
        <v>406</v>
      </c>
      <c r="D863" s="169" t="s">
        <v>346</v>
      </c>
    </row>
    <row r="864">
      <c r="A864" s="170">
        <v>42381.0</v>
      </c>
      <c r="B864" s="168" t="s">
        <v>372</v>
      </c>
      <c r="C864" s="168" t="s">
        <v>406</v>
      </c>
      <c r="D864" s="169" t="s">
        <v>346</v>
      </c>
    </row>
    <row r="865">
      <c r="A865" s="170">
        <v>42382.0</v>
      </c>
      <c r="B865" s="168" t="s">
        <v>372</v>
      </c>
      <c r="C865" s="168" t="s">
        <v>406</v>
      </c>
      <c r="D865" s="169" t="s">
        <v>346</v>
      </c>
    </row>
    <row r="866">
      <c r="A866" s="170">
        <v>42383.0</v>
      </c>
      <c r="B866" s="168" t="s">
        <v>372</v>
      </c>
      <c r="C866" s="168" t="s">
        <v>406</v>
      </c>
      <c r="D866" s="169" t="s">
        <v>346</v>
      </c>
    </row>
    <row r="867">
      <c r="A867" s="170">
        <v>42384.0</v>
      </c>
      <c r="B867" s="168" t="s">
        <v>372</v>
      </c>
      <c r="C867" s="168" t="s">
        <v>406</v>
      </c>
      <c r="D867" s="169" t="s">
        <v>346</v>
      </c>
    </row>
    <row r="868">
      <c r="A868" s="170">
        <v>42385.0</v>
      </c>
      <c r="B868" s="168" t="s">
        <v>372</v>
      </c>
      <c r="C868" s="168" t="s">
        <v>406</v>
      </c>
      <c r="D868" s="169" t="s">
        <v>346</v>
      </c>
    </row>
    <row r="869">
      <c r="A869" s="170">
        <v>42386.0</v>
      </c>
      <c r="B869" s="168" t="s">
        <v>372</v>
      </c>
      <c r="C869" s="168" t="s">
        <v>406</v>
      </c>
      <c r="D869" s="169" t="s">
        <v>346</v>
      </c>
    </row>
    <row r="870">
      <c r="A870" s="170">
        <v>42387.0</v>
      </c>
      <c r="B870" s="168" t="s">
        <v>373</v>
      </c>
      <c r="C870" s="168" t="s">
        <v>406</v>
      </c>
      <c r="D870" s="169" t="s">
        <v>347</v>
      </c>
    </row>
    <row r="871">
      <c r="A871" s="170">
        <v>42388.0</v>
      </c>
      <c r="B871" s="168" t="s">
        <v>373</v>
      </c>
      <c r="C871" s="168" t="s">
        <v>406</v>
      </c>
      <c r="D871" s="169" t="s">
        <v>347</v>
      </c>
    </row>
    <row r="872">
      <c r="A872" s="170">
        <v>42389.0</v>
      </c>
      <c r="B872" s="168" t="s">
        <v>373</v>
      </c>
      <c r="C872" s="168" t="s">
        <v>406</v>
      </c>
      <c r="D872" s="169" t="s">
        <v>347</v>
      </c>
    </row>
    <row r="873">
      <c r="A873" s="170">
        <v>42390.0</v>
      </c>
      <c r="B873" s="168" t="s">
        <v>373</v>
      </c>
      <c r="C873" s="168" t="s">
        <v>406</v>
      </c>
      <c r="D873" s="169" t="s">
        <v>347</v>
      </c>
    </row>
    <row r="874">
      <c r="A874" s="170">
        <v>42391.0</v>
      </c>
      <c r="B874" s="168" t="s">
        <v>373</v>
      </c>
      <c r="C874" s="168" t="s">
        <v>406</v>
      </c>
      <c r="D874" s="169" t="s">
        <v>347</v>
      </c>
    </row>
    <row r="875">
      <c r="A875" s="170">
        <v>42392.0</v>
      </c>
      <c r="B875" s="168" t="s">
        <v>373</v>
      </c>
      <c r="C875" s="168" t="s">
        <v>406</v>
      </c>
      <c r="D875" s="169" t="s">
        <v>347</v>
      </c>
    </row>
    <row r="876">
      <c r="A876" s="170">
        <v>42393.0</v>
      </c>
      <c r="B876" s="168" t="s">
        <v>373</v>
      </c>
      <c r="C876" s="168" t="s">
        <v>406</v>
      </c>
      <c r="D876" s="169" t="s">
        <v>347</v>
      </c>
    </row>
    <row r="877">
      <c r="A877" s="170">
        <v>42394.0</v>
      </c>
      <c r="B877" s="168" t="s">
        <v>374</v>
      </c>
      <c r="C877" s="168" t="s">
        <v>406</v>
      </c>
      <c r="D877" s="169" t="s">
        <v>347</v>
      </c>
    </row>
    <row r="878">
      <c r="A878" s="170">
        <v>42395.0</v>
      </c>
      <c r="B878" s="168" t="s">
        <v>374</v>
      </c>
      <c r="C878" s="168" t="s">
        <v>406</v>
      </c>
      <c r="D878" s="169" t="s">
        <v>347</v>
      </c>
    </row>
    <row r="879">
      <c r="A879" s="170">
        <v>42396.0</v>
      </c>
      <c r="B879" s="168" t="s">
        <v>374</v>
      </c>
      <c r="C879" s="168" t="s">
        <v>406</v>
      </c>
      <c r="D879" s="169" t="s">
        <v>347</v>
      </c>
    </row>
    <row r="880">
      <c r="A880" s="170">
        <v>42397.0</v>
      </c>
      <c r="B880" s="168" t="s">
        <v>374</v>
      </c>
      <c r="C880" s="168" t="s">
        <v>406</v>
      </c>
      <c r="D880" s="169" t="s">
        <v>347</v>
      </c>
    </row>
    <row r="881">
      <c r="A881" s="170">
        <v>42398.0</v>
      </c>
      <c r="B881" s="168" t="s">
        <v>374</v>
      </c>
      <c r="C881" s="168" t="s">
        <v>406</v>
      </c>
      <c r="D881" s="169" t="s">
        <v>347</v>
      </c>
    </row>
    <row r="882">
      <c r="A882" s="170">
        <v>42399.0</v>
      </c>
      <c r="B882" s="168" t="s">
        <v>374</v>
      </c>
      <c r="C882" s="168" t="s">
        <v>406</v>
      </c>
      <c r="D882" s="169" t="s">
        <v>347</v>
      </c>
    </row>
    <row r="883">
      <c r="A883" s="170">
        <v>42400.0</v>
      </c>
      <c r="B883" s="168" t="s">
        <v>374</v>
      </c>
      <c r="C883" s="168" t="s">
        <v>406</v>
      </c>
      <c r="D883" s="169" t="s">
        <v>347</v>
      </c>
    </row>
    <row r="884">
      <c r="A884" s="170">
        <v>42401.0</v>
      </c>
      <c r="B884" s="168" t="s">
        <v>375</v>
      </c>
      <c r="C884" s="168" t="s">
        <v>406</v>
      </c>
      <c r="D884" s="169" t="s">
        <v>347</v>
      </c>
    </row>
    <row r="885">
      <c r="A885" s="170">
        <v>42402.0</v>
      </c>
      <c r="B885" s="168" t="s">
        <v>375</v>
      </c>
      <c r="C885" s="168" t="s">
        <v>406</v>
      </c>
      <c r="D885" s="169" t="s">
        <v>347</v>
      </c>
    </row>
    <row r="886">
      <c r="A886" s="170">
        <v>42403.0</v>
      </c>
      <c r="B886" s="168" t="s">
        <v>375</v>
      </c>
      <c r="C886" s="168" t="s">
        <v>406</v>
      </c>
      <c r="D886" s="169" t="s">
        <v>347</v>
      </c>
    </row>
    <row r="887">
      <c r="A887" s="170">
        <v>42404.0</v>
      </c>
      <c r="B887" s="168" t="s">
        <v>375</v>
      </c>
      <c r="C887" s="168" t="s">
        <v>406</v>
      </c>
      <c r="D887" s="169" t="s">
        <v>347</v>
      </c>
    </row>
    <row r="888">
      <c r="A888" s="170">
        <v>42405.0</v>
      </c>
      <c r="B888" s="168" t="s">
        <v>375</v>
      </c>
      <c r="C888" s="168" t="s">
        <v>406</v>
      </c>
      <c r="D888" s="169" t="s">
        <v>347</v>
      </c>
    </row>
    <row r="889">
      <c r="A889" s="170">
        <v>42406.0</v>
      </c>
      <c r="B889" s="168" t="s">
        <v>375</v>
      </c>
      <c r="C889" s="168" t="s">
        <v>406</v>
      </c>
      <c r="D889" s="169" t="s">
        <v>347</v>
      </c>
    </row>
    <row r="890">
      <c r="A890" s="170">
        <v>42407.0</v>
      </c>
      <c r="B890" s="168" t="s">
        <v>375</v>
      </c>
      <c r="C890" s="168" t="s">
        <v>406</v>
      </c>
      <c r="D890" s="169" t="s">
        <v>347</v>
      </c>
    </row>
    <row r="891">
      <c r="A891" s="170">
        <v>42408.0</v>
      </c>
      <c r="B891" s="168" t="s">
        <v>376</v>
      </c>
      <c r="C891" s="168" t="s">
        <v>406</v>
      </c>
      <c r="D891" s="169" t="s">
        <v>347</v>
      </c>
    </row>
    <row r="892">
      <c r="A892" s="170">
        <v>42409.0</v>
      </c>
      <c r="B892" s="168" t="s">
        <v>376</v>
      </c>
      <c r="C892" s="168" t="s">
        <v>406</v>
      </c>
      <c r="D892" s="169" t="s">
        <v>347</v>
      </c>
    </row>
    <row r="893">
      <c r="A893" s="170">
        <v>42410.0</v>
      </c>
      <c r="B893" s="168" t="s">
        <v>376</v>
      </c>
      <c r="C893" s="168" t="s">
        <v>406</v>
      </c>
      <c r="D893" s="169" t="s">
        <v>347</v>
      </c>
    </row>
    <row r="894">
      <c r="A894" s="170">
        <v>42411.0</v>
      </c>
      <c r="B894" s="168" t="s">
        <v>376</v>
      </c>
      <c r="C894" s="168" t="s">
        <v>406</v>
      </c>
      <c r="D894" s="169" t="s">
        <v>347</v>
      </c>
    </row>
    <row r="895">
      <c r="A895" s="170">
        <v>42412.0</v>
      </c>
      <c r="B895" s="168" t="s">
        <v>376</v>
      </c>
      <c r="C895" s="168" t="s">
        <v>406</v>
      </c>
      <c r="D895" s="169" t="s">
        <v>347</v>
      </c>
    </row>
    <row r="896">
      <c r="A896" s="170">
        <v>42413.0</v>
      </c>
      <c r="B896" s="168" t="s">
        <v>376</v>
      </c>
      <c r="C896" s="168" t="s">
        <v>406</v>
      </c>
      <c r="D896" s="169" t="s">
        <v>347</v>
      </c>
    </row>
    <row r="897">
      <c r="A897" s="170">
        <v>42414.0</v>
      </c>
      <c r="B897" s="168" t="s">
        <v>376</v>
      </c>
      <c r="C897" s="168" t="s">
        <v>406</v>
      </c>
      <c r="D897" s="169" t="s">
        <v>347</v>
      </c>
    </row>
    <row r="898">
      <c r="A898" s="170">
        <v>42415.0</v>
      </c>
      <c r="B898" s="168" t="s">
        <v>377</v>
      </c>
      <c r="C898" s="168" t="s">
        <v>406</v>
      </c>
      <c r="D898" s="169" t="s">
        <v>348</v>
      </c>
    </row>
    <row r="899">
      <c r="A899" s="170">
        <v>42416.0</v>
      </c>
      <c r="B899" s="168" t="s">
        <v>377</v>
      </c>
      <c r="C899" s="168" t="s">
        <v>406</v>
      </c>
      <c r="D899" s="169" t="s">
        <v>348</v>
      </c>
    </row>
    <row r="900">
      <c r="A900" s="170">
        <v>42417.0</v>
      </c>
      <c r="B900" s="168" t="s">
        <v>377</v>
      </c>
      <c r="C900" s="168" t="s">
        <v>406</v>
      </c>
      <c r="D900" s="169" t="s">
        <v>348</v>
      </c>
    </row>
    <row r="901">
      <c r="A901" s="170">
        <v>42418.0</v>
      </c>
      <c r="B901" s="168" t="s">
        <v>377</v>
      </c>
      <c r="C901" s="168" t="s">
        <v>406</v>
      </c>
      <c r="D901" s="169" t="s">
        <v>348</v>
      </c>
    </row>
    <row r="902">
      <c r="A902" s="170">
        <v>42419.0</v>
      </c>
      <c r="B902" s="168" t="s">
        <v>377</v>
      </c>
      <c r="C902" s="168" t="s">
        <v>406</v>
      </c>
      <c r="D902" s="169" t="s">
        <v>348</v>
      </c>
    </row>
    <row r="903">
      <c r="A903" s="170">
        <v>42420.0</v>
      </c>
      <c r="B903" s="168" t="s">
        <v>377</v>
      </c>
      <c r="C903" s="168" t="s">
        <v>406</v>
      </c>
      <c r="D903" s="169" t="s">
        <v>348</v>
      </c>
    </row>
    <row r="904">
      <c r="A904" s="170">
        <v>42421.0</v>
      </c>
      <c r="B904" s="168" t="s">
        <v>377</v>
      </c>
      <c r="C904" s="168" t="s">
        <v>406</v>
      </c>
      <c r="D904" s="169" t="s">
        <v>348</v>
      </c>
    </row>
    <row r="905">
      <c r="A905" s="170">
        <v>42422.0</v>
      </c>
      <c r="B905" s="168" t="s">
        <v>378</v>
      </c>
      <c r="C905" s="168" t="s">
        <v>406</v>
      </c>
      <c r="D905" s="169" t="s">
        <v>348</v>
      </c>
    </row>
    <row r="906">
      <c r="A906" s="170">
        <v>42423.0</v>
      </c>
      <c r="B906" s="168" t="s">
        <v>378</v>
      </c>
      <c r="C906" s="168" t="s">
        <v>406</v>
      </c>
      <c r="D906" s="169" t="s">
        <v>348</v>
      </c>
    </row>
    <row r="907">
      <c r="A907" s="170">
        <v>42424.0</v>
      </c>
      <c r="B907" s="168" t="s">
        <v>378</v>
      </c>
      <c r="C907" s="168" t="s">
        <v>406</v>
      </c>
      <c r="D907" s="169" t="s">
        <v>348</v>
      </c>
    </row>
    <row r="908">
      <c r="A908" s="170">
        <v>42425.0</v>
      </c>
      <c r="B908" s="168" t="s">
        <v>378</v>
      </c>
      <c r="C908" s="168" t="s">
        <v>406</v>
      </c>
      <c r="D908" s="169" t="s">
        <v>348</v>
      </c>
    </row>
    <row r="909">
      <c r="A909" s="170">
        <v>42426.0</v>
      </c>
      <c r="B909" s="168" t="s">
        <v>378</v>
      </c>
      <c r="C909" s="168" t="s">
        <v>406</v>
      </c>
      <c r="D909" s="169" t="s">
        <v>348</v>
      </c>
    </row>
    <row r="910">
      <c r="A910" s="170">
        <v>42427.0</v>
      </c>
      <c r="B910" s="168" t="s">
        <v>378</v>
      </c>
      <c r="C910" s="168" t="s">
        <v>406</v>
      </c>
      <c r="D910" s="169" t="s">
        <v>348</v>
      </c>
    </row>
    <row r="911">
      <c r="A911" s="170">
        <v>42428.0</v>
      </c>
      <c r="B911" s="168" t="s">
        <v>378</v>
      </c>
      <c r="C911" s="168" t="s">
        <v>406</v>
      </c>
      <c r="D911" s="169" t="s">
        <v>348</v>
      </c>
    </row>
    <row r="912">
      <c r="A912" s="170">
        <v>42429.0</v>
      </c>
      <c r="B912" s="168" t="s">
        <v>379</v>
      </c>
      <c r="C912" s="168" t="s">
        <v>406</v>
      </c>
      <c r="D912" s="169" t="s">
        <v>348</v>
      </c>
    </row>
    <row r="913">
      <c r="A913" s="170">
        <v>42430.0</v>
      </c>
      <c r="B913" s="168" t="s">
        <v>379</v>
      </c>
      <c r="C913" s="168" t="s">
        <v>406</v>
      </c>
      <c r="D913" s="169" t="s">
        <v>348</v>
      </c>
    </row>
    <row r="914">
      <c r="A914" s="170">
        <v>42431.0</v>
      </c>
      <c r="B914" s="168" t="s">
        <v>379</v>
      </c>
      <c r="C914" s="168" t="s">
        <v>406</v>
      </c>
      <c r="D914" s="169" t="s">
        <v>348</v>
      </c>
    </row>
    <row r="915">
      <c r="A915" s="170">
        <v>42432.0</v>
      </c>
      <c r="B915" s="168" t="s">
        <v>379</v>
      </c>
      <c r="C915" s="168" t="s">
        <v>406</v>
      </c>
      <c r="D915" s="169" t="s">
        <v>348</v>
      </c>
    </row>
    <row r="916">
      <c r="A916" s="170">
        <v>42433.0</v>
      </c>
      <c r="B916" s="168" t="s">
        <v>379</v>
      </c>
      <c r="C916" s="168" t="s">
        <v>406</v>
      </c>
      <c r="D916" s="169" t="s">
        <v>348</v>
      </c>
    </row>
    <row r="917">
      <c r="A917" s="170">
        <v>42434.0</v>
      </c>
      <c r="B917" s="168" t="s">
        <v>379</v>
      </c>
      <c r="C917" s="168" t="s">
        <v>406</v>
      </c>
      <c r="D917" s="169" t="s">
        <v>348</v>
      </c>
    </row>
    <row r="918">
      <c r="A918" s="170">
        <v>42435.0</v>
      </c>
      <c r="B918" s="168" t="s">
        <v>379</v>
      </c>
      <c r="C918" s="168" t="s">
        <v>406</v>
      </c>
      <c r="D918" s="169" t="s">
        <v>348</v>
      </c>
    </row>
    <row r="919">
      <c r="A919" s="170">
        <v>42436.0</v>
      </c>
      <c r="B919" s="168" t="s">
        <v>380</v>
      </c>
      <c r="C919" s="168" t="s">
        <v>406</v>
      </c>
      <c r="D919" s="169" t="s">
        <v>348</v>
      </c>
    </row>
    <row r="920">
      <c r="A920" s="170">
        <v>42437.0</v>
      </c>
      <c r="B920" s="168" t="s">
        <v>380</v>
      </c>
      <c r="C920" s="168" t="s">
        <v>406</v>
      </c>
      <c r="D920" s="169" t="s">
        <v>348</v>
      </c>
    </row>
    <row r="921">
      <c r="A921" s="170">
        <v>42438.0</v>
      </c>
      <c r="B921" s="168" t="s">
        <v>380</v>
      </c>
      <c r="C921" s="168" t="s">
        <v>406</v>
      </c>
      <c r="D921" s="169" t="s">
        <v>348</v>
      </c>
    </row>
    <row r="922">
      <c r="A922" s="170">
        <v>42439.0</v>
      </c>
      <c r="B922" s="168" t="s">
        <v>380</v>
      </c>
      <c r="C922" s="168" t="s">
        <v>406</v>
      </c>
      <c r="D922" s="169" t="s">
        <v>348</v>
      </c>
    </row>
    <row r="923">
      <c r="A923" s="170">
        <v>42440.0</v>
      </c>
      <c r="B923" s="168" t="s">
        <v>380</v>
      </c>
      <c r="C923" s="168" t="s">
        <v>406</v>
      </c>
      <c r="D923" s="169" t="s">
        <v>348</v>
      </c>
    </row>
    <row r="924">
      <c r="A924" s="170">
        <v>42441.0</v>
      </c>
      <c r="B924" s="168" t="s">
        <v>380</v>
      </c>
      <c r="C924" s="168" t="s">
        <v>406</v>
      </c>
      <c r="D924" s="169" t="s">
        <v>348</v>
      </c>
    </row>
    <row r="925">
      <c r="A925" s="170">
        <v>42442.0</v>
      </c>
      <c r="B925" s="168" t="s">
        <v>380</v>
      </c>
      <c r="C925" s="168" t="s">
        <v>406</v>
      </c>
      <c r="D925" s="169" t="s">
        <v>348</v>
      </c>
    </row>
    <row r="926">
      <c r="A926" s="170">
        <v>42443.0</v>
      </c>
      <c r="B926" s="168" t="s">
        <v>381</v>
      </c>
      <c r="C926" s="168" t="s">
        <v>406</v>
      </c>
      <c r="D926" s="169" t="s">
        <v>349</v>
      </c>
    </row>
    <row r="927">
      <c r="A927" s="170">
        <v>42444.0</v>
      </c>
      <c r="B927" s="168" t="s">
        <v>381</v>
      </c>
      <c r="C927" s="168" t="s">
        <v>406</v>
      </c>
      <c r="D927" s="169" t="s">
        <v>349</v>
      </c>
    </row>
    <row r="928">
      <c r="A928" s="170">
        <v>42445.0</v>
      </c>
      <c r="B928" s="168" t="s">
        <v>381</v>
      </c>
      <c r="C928" s="168" t="s">
        <v>406</v>
      </c>
      <c r="D928" s="169" t="s">
        <v>349</v>
      </c>
    </row>
    <row r="929">
      <c r="A929" s="170">
        <v>42446.0</v>
      </c>
      <c r="B929" s="168" t="s">
        <v>381</v>
      </c>
      <c r="C929" s="168" t="s">
        <v>406</v>
      </c>
      <c r="D929" s="169" t="s">
        <v>349</v>
      </c>
    </row>
    <row r="930">
      <c r="A930" s="170">
        <v>42447.0</v>
      </c>
      <c r="B930" s="168" t="s">
        <v>381</v>
      </c>
      <c r="C930" s="168" t="s">
        <v>406</v>
      </c>
      <c r="D930" s="169" t="s">
        <v>349</v>
      </c>
    </row>
    <row r="931">
      <c r="A931" s="170">
        <v>42448.0</v>
      </c>
      <c r="B931" s="168" t="s">
        <v>381</v>
      </c>
      <c r="C931" s="168" t="s">
        <v>406</v>
      </c>
      <c r="D931" s="169" t="s">
        <v>349</v>
      </c>
    </row>
    <row r="932">
      <c r="A932" s="170">
        <v>42449.0</v>
      </c>
      <c r="B932" s="168" t="s">
        <v>381</v>
      </c>
      <c r="C932" s="168" t="s">
        <v>406</v>
      </c>
      <c r="D932" s="169" t="s">
        <v>349</v>
      </c>
    </row>
    <row r="933">
      <c r="A933" s="170">
        <v>42450.0</v>
      </c>
      <c r="B933" s="168" t="s">
        <v>382</v>
      </c>
      <c r="C933" s="168" t="s">
        <v>406</v>
      </c>
      <c r="D933" s="169" t="s">
        <v>349</v>
      </c>
    </row>
    <row r="934">
      <c r="A934" s="170">
        <v>42451.0</v>
      </c>
      <c r="B934" s="168" t="s">
        <v>382</v>
      </c>
      <c r="C934" s="168" t="s">
        <v>406</v>
      </c>
      <c r="D934" s="169" t="s">
        <v>349</v>
      </c>
    </row>
    <row r="935">
      <c r="A935" s="170">
        <v>42452.0</v>
      </c>
      <c r="B935" s="168" t="s">
        <v>382</v>
      </c>
      <c r="C935" s="168" t="s">
        <v>406</v>
      </c>
      <c r="D935" s="169" t="s">
        <v>349</v>
      </c>
    </row>
    <row r="936">
      <c r="A936" s="170">
        <v>42453.0</v>
      </c>
      <c r="B936" s="168" t="s">
        <v>382</v>
      </c>
      <c r="C936" s="168" t="s">
        <v>406</v>
      </c>
      <c r="D936" s="169" t="s">
        <v>349</v>
      </c>
    </row>
    <row r="937">
      <c r="A937" s="170">
        <v>42454.0</v>
      </c>
      <c r="B937" s="168" t="s">
        <v>382</v>
      </c>
      <c r="C937" s="168" t="s">
        <v>406</v>
      </c>
      <c r="D937" s="169" t="s">
        <v>349</v>
      </c>
    </row>
    <row r="938">
      <c r="A938" s="170">
        <v>42455.0</v>
      </c>
      <c r="B938" s="168" t="s">
        <v>382</v>
      </c>
      <c r="C938" s="168" t="s">
        <v>406</v>
      </c>
      <c r="D938" s="169" t="s">
        <v>349</v>
      </c>
    </row>
    <row r="939">
      <c r="A939" s="170">
        <v>42456.0</v>
      </c>
      <c r="B939" s="168" t="s">
        <v>382</v>
      </c>
      <c r="C939" s="168" t="s">
        <v>406</v>
      </c>
      <c r="D939" s="169" t="s">
        <v>349</v>
      </c>
    </row>
    <row r="940">
      <c r="A940" s="170">
        <v>42457.0</v>
      </c>
      <c r="B940" s="168" t="s">
        <v>383</v>
      </c>
      <c r="C940" s="168" t="s">
        <v>406</v>
      </c>
      <c r="D940" s="169" t="s">
        <v>349</v>
      </c>
    </row>
    <row r="941">
      <c r="A941" s="170">
        <v>42458.0</v>
      </c>
      <c r="B941" s="168" t="s">
        <v>383</v>
      </c>
      <c r="C941" s="168" t="s">
        <v>406</v>
      </c>
      <c r="D941" s="169" t="s">
        <v>349</v>
      </c>
    </row>
    <row r="942">
      <c r="A942" s="170">
        <v>42459.0</v>
      </c>
      <c r="B942" s="168" t="s">
        <v>383</v>
      </c>
      <c r="C942" s="168" t="s">
        <v>406</v>
      </c>
      <c r="D942" s="169" t="s">
        <v>349</v>
      </c>
    </row>
    <row r="943">
      <c r="A943" s="170">
        <v>42460.0</v>
      </c>
      <c r="B943" s="168" t="s">
        <v>383</v>
      </c>
      <c r="C943" s="168" t="s">
        <v>406</v>
      </c>
      <c r="D943" s="169" t="s">
        <v>349</v>
      </c>
    </row>
    <row r="944">
      <c r="A944" s="170">
        <v>42461.0</v>
      </c>
      <c r="B944" s="168" t="s">
        <v>383</v>
      </c>
      <c r="C944" s="168" t="s">
        <v>406</v>
      </c>
      <c r="D944" s="169" t="s">
        <v>349</v>
      </c>
    </row>
    <row r="945">
      <c r="A945" s="170">
        <v>42462.0</v>
      </c>
      <c r="B945" s="168" t="s">
        <v>383</v>
      </c>
      <c r="C945" s="168" t="s">
        <v>406</v>
      </c>
      <c r="D945" s="169" t="s">
        <v>349</v>
      </c>
    </row>
    <row r="946">
      <c r="A946" s="170">
        <v>42463.0</v>
      </c>
      <c r="B946" s="168" t="s">
        <v>383</v>
      </c>
      <c r="C946" s="168" t="s">
        <v>406</v>
      </c>
      <c r="D946" s="169" t="s">
        <v>349</v>
      </c>
    </row>
    <row r="947">
      <c r="A947" s="170">
        <v>42464.0</v>
      </c>
      <c r="B947" s="168" t="s">
        <v>384</v>
      </c>
      <c r="C947" s="168" t="s">
        <v>406</v>
      </c>
      <c r="D947" s="169" t="s">
        <v>349</v>
      </c>
    </row>
    <row r="948">
      <c r="A948" s="170">
        <v>42465.0</v>
      </c>
      <c r="B948" s="168" t="s">
        <v>384</v>
      </c>
      <c r="C948" s="168" t="s">
        <v>406</v>
      </c>
      <c r="D948" s="169" t="s">
        <v>349</v>
      </c>
    </row>
    <row r="949">
      <c r="A949" s="170">
        <v>42466.0</v>
      </c>
      <c r="B949" s="168" t="s">
        <v>384</v>
      </c>
      <c r="C949" s="168" t="s">
        <v>406</v>
      </c>
      <c r="D949" s="169" t="s">
        <v>349</v>
      </c>
    </row>
    <row r="950">
      <c r="A950" s="170">
        <v>42467.0</v>
      </c>
      <c r="B950" s="168" t="s">
        <v>384</v>
      </c>
      <c r="C950" s="168" t="s">
        <v>406</v>
      </c>
      <c r="D950" s="169" t="s">
        <v>349</v>
      </c>
    </row>
    <row r="951">
      <c r="A951" s="170">
        <v>42468.0</v>
      </c>
      <c r="B951" s="168" t="s">
        <v>384</v>
      </c>
      <c r="C951" s="168" t="s">
        <v>406</v>
      </c>
      <c r="D951" s="169" t="s">
        <v>349</v>
      </c>
    </row>
    <row r="952">
      <c r="A952" s="170">
        <v>42469.0</v>
      </c>
      <c r="B952" s="168" t="s">
        <v>384</v>
      </c>
      <c r="C952" s="168" t="s">
        <v>406</v>
      </c>
      <c r="D952" s="169" t="s">
        <v>349</v>
      </c>
    </row>
    <row r="953">
      <c r="A953" s="170">
        <v>42470.0</v>
      </c>
      <c r="B953" s="168" t="s">
        <v>384</v>
      </c>
      <c r="C953" s="168" t="s">
        <v>406</v>
      </c>
      <c r="D953" s="169" t="s">
        <v>349</v>
      </c>
    </row>
    <row r="954">
      <c r="A954" s="170">
        <v>42471.0</v>
      </c>
      <c r="B954" s="168" t="s">
        <v>385</v>
      </c>
      <c r="C954" s="168" t="s">
        <v>406</v>
      </c>
      <c r="D954" s="169" t="s">
        <v>351</v>
      </c>
    </row>
    <row r="955">
      <c r="A955" s="170">
        <v>42472.0</v>
      </c>
      <c r="B955" s="168" t="s">
        <v>385</v>
      </c>
      <c r="C955" s="168" t="s">
        <v>406</v>
      </c>
      <c r="D955" s="169" t="s">
        <v>351</v>
      </c>
    </row>
    <row r="956">
      <c r="A956" s="170">
        <v>42473.0</v>
      </c>
      <c r="B956" s="168" t="s">
        <v>385</v>
      </c>
      <c r="C956" s="168" t="s">
        <v>406</v>
      </c>
      <c r="D956" s="169" t="s">
        <v>351</v>
      </c>
    </row>
    <row r="957">
      <c r="A957" s="170">
        <v>42474.0</v>
      </c>
      <c r="B957" s="168" t="s">
        <v>385</v>
      </c>
      <c r="C957" s="168" t="s">
        <v>406</v>
      </c>
      <c r="D957" s="169" t="s">
        <v>351</v>
      </c>
    </row>
    <row r="958">
      <c r="A958" s="170">
        <v>42475.0</v>
      </c>
      <c r="B958" s="168" t="s">
        <v>385</v>
      </c>
      <c r="C958" s="168" t="s">
        <v>406</v>
      </c>
      <c r="D958" s="169" t="s">
        <v>351</v>
      </c>
    </row>
    <row r="959">
      <c r="A959" s="170">
        <v>42476.0</v>
      </c>
      <c r="B959" s="168" t="s">
        <v>385</v>
      </c>
      <c r="C959" s="168" t="s">
        <v>406</v>
      </c>
      <c r="D959" s="169" t="s">
        <v>351</v>
      </c>
    </row>
    <row r="960">
      <c r="A960" s="170">
        <v>42477.0</v>
      </c>
      <c r="B960" s="168" t="s">
        <v>385</v>
      </c>
      <c r="C960" s="168" t="s">
        <v>406</v>
      </c>
      <c r="D960" s="169" t="s">
        <v>351</v>
      </c>
    </row>
    <row r="961">
      <c r="A961" s="170">
        <v>42478.0</v>
      </c>
      <c r="B961" s="168" t="s">
        <v>386</v>
      </c>
      <c r="C961" s="168" t="s">
        <v>406</v>
      </c>
      <c r="D961" s="169" t="s">
        <v>351</v>
      </c>
    </row>
    <row r="962">
      <c r="A962" s="170">
        <v>42479.0</v>
      </c>
      <c r="B962" s="168" t="s">
        <v>386</v>
      </c>
      <c r="C962" s="168" t="s">
        <v>406</v>
      </c>
      <c r="D962" s="169" t="s">
        <v>351</v>
      </c>
    </row>
    <row r="963">
      <c r="A963" s="170">
        <v>42480.0</v>
      </c>
      <c r="B963" s="168" t="s">
        <v>386</v>
      </c>
      <c r="C963" s="168" t="s">
        <v>406</v>
      </c>
      <c r="D963" s="169" t="s">
        <v>351</v>
      </c>
    </row>
    <row r="964">
      <c r="A964" s="170">
        <v>42481.0</v>
      </c>
      <c r="B964" s="168" t="s">
        <v>386</v>
      </c>
      <c r="C964" s="168" t="s">
        <v>406</v>
      </c>
      <c r="D964" s="169" t="s">
        <v>351</v>
      </c>
    </row>
    <row r="965">
      <c r="A965" s="170">
        <v>42482.0</v>
      </c>
      <c r="B965" s="168" t="s">
        <v>386</v>
      </c>
      <c r="C965" s="168" t="s">
        <v>406</v>
      </c>
      <c r="D965" s="169" t="s">
        <v>351</v>
      </c>
    </row>
    <row r="966">
      <c r="A966" s="170">
        <v>42483.0</v>
      </c>
      <c r="B966" s="168" t="s">
        <v>386</v>
      </c>
      <c r="C966" s="168" t="s">
        <v>406</v>
      </c>
      <c r="D966" s="169" t="s">
        <v>351</v>
      </c>
    </row>
    <row r="967">
      <c r="A967" s="170">
        <v>42484.0</v>
      </c>
      <c r="B967" s="168" t="s">
        <v>386</v>
      </c>
      <c r="C967" s="168" t="s">
        <v>406</v>
      </c>
      <c r="D967" s="169" t="s">
        <v>351</v>
      </c>
    </row>
    <row r="968">
      <c r="A968" s="170">
        <v>42485.0</v>
      </c>
      <c r="B968" s="168" t="s">
        <v>387</v>
      </c>
      <c r="C968" s="168" t="s">
        <v>406</v>
      </c>
      <c r="D968" s="169" t="s">
        <v>351</v>
      </c>
    </row>
    <row r="969">
      <c r="A969" s="170">
        <v>42486.0</v>
      </c>
      <c r="B969" s="168" t="s">
        <v>387</v>
      </c>
      <c r="C969" s="168" t="s">
        <v>406</v>
      </c>
      <c r="D969" s="169" t="s">
        <v>351</v>
      </c>
    </row>
    <row r="970">
      <c r="A970" s="170">
        <v>42487.0</v>
      </c>
      <c r="B970" s="168" t="s">
        <v>387</v>
      </c>
      <c r="C970" s="168" t="s">
        <v>406</v>
      </c>
      <c r="D970" s="169" t="s">
        <v>351</v>
      </c>
    </row>
    <row r="971">
      <c r="A971" s="170">
        <v>42488.0</v>
      </c>
      <c r="B971" s="168" t="s">
        <v>387</v>
      </c>
      <c r="C971" s="168" t="s">
        <v>406</v>
      </c>
      <c r="D971" s="169" t="s">
        <v>351</v>
      </c>
    </row>
    <row r="972">
      <c r="A972" s="170">
        <v>42489.0</v>
      </c>
      <c r="B972" s="168" t="s">
        <v>387</v>
      </c>
      <c r="C972" s="168" t="s">
        <v>406</v>
      </c>
      <c r="D972" s="169" t="s">
        <v>351</v>
      </c>
    </row>
    <row r="973">
      <c r="A973" s="170">
        <v>42490.0</v>
      </c>
      <c r="B973" s="168" t="s">
        <v>387</v>
      </c>
      <c r="C973" s="168" t="s">
        <v>406</v>
      </c>
      <c r="D973" s="169" t="s">
        <v>351</v>
      </c>
    </row>
    <row r="974">
      <c r="A974" s="170">
        <v>42491.0</v>
      </c>
      <c r="B974" s="168" t="s">
        <v>387</v>
      </c>
      <c r="C974" s="168" t="s">
        <v>406</v>
      </c>
      <c r="D974" s="169" t="s">
        <v>351</v>
      </c>
    </row>
    <row r="975">
      <c r="A975" s="170">
        <v>42492.0</v>
      </c>
      <c r="B975" s="168" t="s">
        <v>388</v>
      </c>
      <c r="C975" s="168" t="s">
        <v>406</v>
      </c>
      <c r="D975" s="169" t="s">
        <v>351</v>
      </c>
    </row>
    <row r="976">
      <c r="A976" s="170">
        <v>42493.0</v>
      </c>
      <c r="B976" s="168" t="s">
        <v>388</v>
      </c>
      <c r="C976" s="168" t="s">
        <v>406</v>
      </c>
      <c r="D976" s="169" t="s">
        <v>351</v>
      </c>
    </row>
    <row r="977">
      <c r="A977" s="170">
        <v>42494.0</v>
      </c>
      <c r="B977" s="168" t="s">
        <v>388</v>
      </c>
      <c r="C977" s="168" t="s">
        <v>406</v>
      </c>
      <c r="D977" s="169" t="s">
        <v>351</v>
      </c>
    </row>
    <row r="978">
      <c r="A978" s="170">
        <v>42495.0</v>
      </c>
      <c r="B978" s="168" t="s">
        <v>388</v>
      </c>
      <c r="C978" s="168" t="s">
        <v>406</v>
      </c>
      <c r="D978" s="169" t="s">
        <v>351</v>
      </c>
    </row>
    <row r="979">
      <c r="A979" s="170">
        <v>42496.0</v>
      </c>
      <c r="B979" s="168" t="s">
        <v>388</v>
      </c>
      <c r="C979" s="168" t="s">
        <v>406</v>
      </c>
      <c r="D979" s="169" t="s">
        <v>351</v>
      </c>
    </row>
    <row r="980">
      <c r="A980" s="170">
        <v>42497.0</v>
      </c>
      <c r="B980" s="168" t="s">
        <v>388</v>
      </c>
      <c r="C980" s="168" t="s">
        <v>406</v>
      </c>
      <c r="D980" s="169" t="s">
        <v>351</v>
      </c>
    </row>
    <row r="981">
      <c r="A981" s="170">
        <v>42498.0</v>
      </c>
      <c r="B981" s="168" t="s">
        <v>388</v>
      </c>
      <c r="C981" s="168" t="s">
        <v>406</v>
      </c>
      <c r="D981" s="169" t="s">
        <v>351</v>
      </c>
    </row>
    <row r="982">
      <c r="A982" s="170">
        <v>42499.0</v>
      </c>
      <c r="B982" s="168" t="s">
        <v>389</v>
      </c>
      <c r="C982" s="168" t="s">
        <v>406</v>
      </c>
      <c r="D982" s="169" t="s">
        <v>352</v>
      </c>
    </row>
    <row r="983">
      <c r="A983" s="170">
        <v>42500.0</v>
      </c>
      <c r="B983" s="168" t="s">
        <v>389</v>
      </c>
      <c r="C983" s="168" t="s">
        <v>406</v>
      </c>
      <c r="D983" s="169" t="s">
        <v>352</v>
      </c>
    </row>
    <row r="984">
      <c r="A984" s="170">
        <v>42501.0</v>
      </c>
      <c r="B984" s="168" t="s">
        <v>389</v>
      </c>
      <c r="C984" s="168" t="s">
        <v>406</v>
      </c>
      <c r="D984" s="169" t="s">
        <v>352</v>
      </c>
    </row>
    <row r="985">
      <c r="A985" s="170">
        <v>42502.0</v>
      </c>
      <c r="B985" s="168" t="s">
        <v>389</v>
      </c>
      <c r="C985" s="168" t="s">
        <v>406</v>
      </c>
      <c r="D985" s="169" t="s">
        <v>352</v>
      </c>
    </row>
    <row r="986">
      <c r="A986" s="170">
        <v>42503.0</v>
      </c>
      <c r="B986" s="168" t="s">
        <v>389</v>
      </c>
      <c r="C986" s="168" t="s">
        <v>406</v>
      </c>
      <c r="D986" s="169" t="s">
        <v>352</v>
      </c>
    </row>
    <row r="987">
      <c r="A987" s="170">
        <v>42504.0</v>
      </c>
      <c r="B987" s="168" t="s">
        <v>389</v>
      </c>
      <c r="C987" s="168" t="s">
        <v>406</v>
      </c>
      <c r="D987" s="169" t="s">
        <v>352</v>
      </c>
    </row>
    <row r="988">
      <c r="A988" s="170">
        <v>42505.0</v>
      </c>
      <c r="B988" s="168" t="s">
        <v>389</v>
      </c>
      <c r="C988" s="168" t="s">
        <v>406</v>
      </c>
      <c r="D988" s="169" t="s">
        <v>352</v>
      </c>
    </row>
    <row r="989">
      <c r="A989" s="170">
        <v>42506.0</v>
      </c>
      <c r="B989" s="168" t="s">
        <v>390</v>
      </c>
      <c r="C989" s="168" t="s">
        <v>406</v>
      </c>
      <c r="D989" s="169" t="s">
        <v>352</v>
      </c>
    </row>
    <row r="990">
      <c r="A990" s="170">
        <v>42507.0</v>
      </c>
      <c r="B990" s="168" t="s">
        <v>390</v>
      </c>
      <c r="C990" s="168" t="s">
        <v>406</v>
      </c>
      <c r="D990" s="169" t="s">
        <v>352</v>
      </c>
    </row>
    <row r="991">
      <c r="A991" s="170">
        <v>42508.0</v>
      </c>
      <c r="B991" s="168" t="s">
        <v>390</v>
      </c>
      <c r="C991" s="168" t="s">
        <v>406</v>
      </c>
      <c r="D991" s="169" t="s">
        <v>352</v>
      </c>
    </row>
    <row r="992">
      <c r="A992" s="170">
        <v>42509.0</v>
      </c>
      <c r="B992" s="168" t="s">
        <v>390</v>
      </c>
      <c r="C992" s="168" t="s">
        <v>406</v>
      </c>
      <c r="D992" s="169" t="s">
        <v>352</v>
      </c>
    </row>
    <row r="993">
      <c r="A993" s="170">
        <v>42510.0</v>
      </c>
      <c r="B993" s="168" t="s">
        <v>390</v>
      </c>
      <c r="C993" s="168" t="s">
        <v>406</v>
      </c>
      <c r="D993" s="169" t="s">
        <v>352</v>
      </c>
    </row>
    <row r="994">
      <c r="A994" s="170">
        <v>42511.0</v>
      </c>
      <c r="B994" s="168" t="s">
        <v>390</v>
      </c>
      <c r="C994" s="168" t="s">
        <v>406</v>
      </c>
      <c r="D994" s="169" t="s">
        <v>352</v>
      </c>
    </row>
    <row r="995">
      <c r="A995" s="170">
        <v>42512.0</v>
      </c>
      <c r="B995" s="168" t="s">
        <v>390</v>
      </c>
      <c r="C995" s="168" t="s">
        <v>406</v>
      </c>
      <c r="D995" s="169" t="s">
        <v>352</v>
      </c>
    </row>
    <row r="996">
      <c r="A996" s="170">
        <v>42513.0</v>
      </c>
      <c r="B996" s="168" t="s">
        <v>391</v>
      </c>
      <c r="C996" s="168" t="s">
        <v>406</v>
      </c>
      <c r="D996" s="169" t="s">
        <v>352</v>
      </c>
    </row>
    <row r="997">
      <c r="A997" s="170">
        <v>42514.0</v>
      </c>
      <c r="B997" s="168" t="s">
        <v>391</v>
      </c>
      <c r="C997" s="168" t="s">
        <v>406</v>
      </c>
      <c r="D997" s="169" t="s">
        <v>352</v>
      </c>
    </row>
    <row r="998">
      <c r="A998" s="170">
        <v>42515.0</v>
      </c>
      <c r="B998" s="168" t="s">
        <v>391</v>
      </c>
      <c r="C998" s="168" t="s">
        <v>406</v>
      </c>
      <c r="D998" s="169" t="s">
        <v>352</v>
      </c>
    </row>
    <row r="999">
      <c r="A999" s="170">
        <v>42516.0</v>
      </c>
      <c r="B999" s="168" t="s">
        <v>391</v>
      </c>
      <c r="C999" s="168" t="s">
        <v>406</v>
      </c>
      <c r="D999" s="169" t="s">
        <v>352</v>
      </c>
    </row>
    <row r="1000">
      <c r="A1000" s="170">
        <v>42517.0</v>
      </c>
      <c r="B1000" s="168" t="s">
        <v>391</v>
      </c>
      <c r="C1000" s="168" t="s">
        <v>406</v>
      </c>
      <c r="D1000" s="169" t="s">
        <v>352</v>
      </c>
    </row>
    <row r="1001">
      <c r="A1001" s="170">
        <v>42518.0</v>
      </c>
      <c r="B1001" s="168" t="s">
        <v>391</v>
      </c>
      <c r="C1001" s="168" t="s">
        <v>406</v>
      </c>
      <c r="D1001" s="169" t="s">
        <v>352</v>
      </c>
    </row>
    <row r="1002">
      <c r="A1002" s="170">
        <v>42519.0</v>
      </c>
      <c r="B1002" s="168" t="s">
        <v>391</v>
      </c>
      <c r="C1002" s="168" t="s">
        <v>406</v>
      </c>
      <c r="D1002" s="169" t="s">
        <v>352</v>
      </c>
    </row>
    <row r="1003">
      <c r="A1003" s="170">
        <v>42520.0</v>
      </c>
      <c r="B1003" s="168" t="s">
        <v>392</v>
      </c>
      <c r="C1003" s="168" t="s">
        <v>406</v>
      </c>
      <c r="D1003" s="169" t="s">
        <v>352</v>
      </c>
    </row>
    <row r="1004">
      <c r="A1004" s="170">
        <v>42521.0</v>
      </c>
      <c r="B1004" s="168" t="s">
        <v>392</v>
      </c>
      <c r="C1004" s="168" t="s">
        <v>406</v>
      </c>
      <c r="D1004" s="169" t="s">
        <v>352</v>
      </c>
    </row>
    <row r="1005">
      <c r="A1005" s="170">
        <v>42522.0</v>
      </c>
      <c r="B1005" s="168" t="s">
        <v>392</v>
      </c>
      <c r="C1005" s="168" t="s">
        <v>406</v>
      </c>
      <c r="D1005" s="169" t="s">
        <v>352</v>
      </c>
    </row>
    <row r="1006">
      <c r="A1006" s="170">
        <v>42523.0</v>
      </c>
      <c r="B1006" s="168" t="s">
        <v>392</v>
      </c>
      <c r="C1006" s="168" t="s">
        <v>406</v>
      </c>
      <c r="D1006" s="169" t="s">
        <v>352</v>
      </c>
    </row>
    <row r="1007">
      <c r="A1007" s="170">
        <v>42524.0</v>
      </c>
      <c r="B1007" s="168" t="s">
        <v>392</v>
      </c>
      <c r="C1007" s="168" t="s">
        <v>406</v>
      </c>
      <c r="D1007" s="169" t="s">
        <v>352</v>
      </c>
    </row>
    <row r="1008">
      <c r="A1008" s="170">
        <v>42525.0</v>
      </c>
      <c r="B1008" s="168" t="s">
        <v>392</v>
      </c>
      <c r="C1008" s="168" t="s">
        <v>406</v>
      </c>
      <c r="D1008" s="169" t="s">
        <v>352</v>
      </c>
    </row>
    <row r="1009">
      <c r="A1009" s="170">
        <v>42526.0</v>
      </c>
      <c r="B1009" s="168" t="s">
        <v>392</v>
      </c>
      <c r="C1009" s="168" t="s">
        <v>406</v>
      </c>
      <c r="D1009" s="169" t="s">
        <v>352</v>
      </c>
    </row>
    <row r="1010">
      <c r="A1010" s="170">
        <v>42527.0</v>
      </c>
      <c r="B1010" s="168" t="s">
        <v>393</v>
      </c>
      <c r="C1010" s="168" t="s">
        <v>406</v>
      </c>
      <c r="D1010" s="169" t="s">
        <v>353</v>
      </c>
    </row>
    <row r="1011">
      <c r="A1011" s="170">
        <v>42528.0</v>
      </c>
      <c r="B1011" s="168" t="s">
        <v>393</v>
      </c>
      <c r="C1011" s="168" t="s">
        <v>406</v>
      </c>
      <c r="D1011" s="169" t="s">
        <v>353</v>
      </c>
    </row>
    <row r="1012">
      <c r="A1012" s="170">
        <v>42529.0</v>
      </c>
      <c r="B1012" s="168" t="s">
        <v>393</v>
      </c>
      <c r="C1012" s="168" t="s">
        <v>406</v>
      </c>
      <c r="D1012" s="169" t="s">
        <v>353</v>
      </c>
    </row>
    <row r="1013">
      <c r="A1013" s="170">
        <v>42530.0</v>
      </c>
      <c r="B1013" s="168" t="s">
        <v>393</v>
      </c>
      <c r="C1013" s="168" t="s">
        <v>406</v>
      </c>
      <c r="D1013" s="169" t="s">
        <v>353</v>
      </c>
    </row>
    <row r="1014">
      <c r="A1014" s="170">
        <v>42531.0</v>
      </c>
      <c r="B1014" s="168" t="s">
        <v>393</v>
      </c>
      <c r="C1014" s="168" t="s">
        <v>406</v>
      </c>
      <c r="D1014" s="169" t="s">
        <v>353</v>
      </c>
    </row>
    <row r="1015">
      <c r="A1015" s="170">
        <v>42532.0</v>
      </c>
      <c r="B1015" s="168" t="s">
        <v>393</v>
      </c>
      <c r="C1015" s="168" t="s">
        <v>406</v>
      </c>
      <c r="D1015" s="169" t="s">
        <v>353</v>
      </c>
    </row>
    <row r="1016">
      <c r="A1016" s="170">
        <v>42533.0</v>
      </c>
      <c r="B1016" s="168" t="s">
        <v>393</v>
      </c>
      <c r="C1016" s="168" t="s">
        <v>406</v>
      </c>
      <c r="D1016" s="169" t="s">
        <v>353</v>
      </c>
    </row>
    <row r="1017">
      <c r="A1017" s="170">
        <v>42534.0</v>
      </c>
      <c r="B1017" s="168" t="s">
        <v>394</v>
      </c>
      <c r="C1017" s="168" t="s">
        <v>406</v>
      </c>
      <c r="D1017" s="169" t="s">
        <v>353</v>
      </c>
    </row>
    <row r="1018">
      <c r="A1018" s="170">
        <v>42535.0</v>
      </c>
      <c r="B1018" s="168" t="s">
        <v>394</v>
      </c>
      <c r="C1018" s="168" t="s">
        <v>406</v>
      </c>
      <c r="D1018" s="169" t="s">
        <v>353</v>
      </c>
    </row>
    <row r="1019">
      <c r="A1019" s="170">
        <v>42536.0</v>
      </c>
      <c r="B1019" s="168" t="s">
        <v>394</v>
      </c>
      <c r="C1019" s="168" t="s">
        <v>406</v>
      </c>
      <c r="D1019" s="169" t="s">
        <v>353</v>
      </c>
    </row>
    <row r="1020">
      <c r="A1020" s="170">
        <v>42537.0</v>
      </c>
      <c r="B1020" s="168" t="s">
        <v>394</v>
      </c>
      <c r="C1020" s="168" t="s">
        <v>406</v>
      </c>
      <c r="D1020" s="169" t="s">
        <v>353</v>
      </c>
    </row>
    <row r="1021">
      <c r="A1021" s="170">
        <v>42538.0</v>
      </c>
      <c r="B1021" s="168" t="s">
        <v>394</v>
      </c>
      <c r="C1021" s="168" t="s">
        <v>406</v>
      </c>
      <c r="D1021" s="169" t="s">
        <v>353</v>
      </c>
    </row>
    <row r="1022">
      <c r="A1022" s="170">
        <v>42539.0</v>
      </c>
      <c r="B1022" s="168" t="s">
        <v>394</v>
      </c>
      <c r="C1022" s="168" t="s">
        <v>406</v>
      </c>
      <c r="D1022" s="169" t="s">
        <v>353</v>
      </c>
    </row>
    <row r="1023">
      <c r="A1023" s="170">
        <v>42540.0</v>
      </c>
      <c r="B1023" s="168" t="s">
        <v>394</v>
      </c>
      <c r="C1023" s="168" t="s">
        <v>406</v>
      </c>
      <c r="D1023" s="169" t="s">
        <v>353</v>
      </c>
    </row>
    <row r="1024">
      <c r="A1024" s="170">
        <v>42541.0</v>
      </c>
      <c r="B1024" s="168" t="s">
        <v>395</v>
      </c>
      <c r="C1024" s="168" t="s">
        <v>406</v>
      </c>
      <c r="D1024" s="169" t="s">
        <v>353</v>
      </c>
    </row>
    <row r="1025">
      <c r="A1025" s="170">
        <v>42542.0</v>
      </c>
      <c r="B1025" s="168" t="s">
        <v>395</v>
      </c>
      <c r="C1025" s="168" t="s">
        <v>406</v>
      </c>
      <c r="D1025" s="169" t="s">
        <v>353</v>
      </c>
    </row>
    <row r="1026">
      <c r="A1026" s="170">
        <v>42543.0</v>
      </c>
      <c r="B1026" s="168" t="s">
        <v>395</v>
      </c>
      <c r="C1026" s="168" t="s">
        <v>406</v>
      </c>
      <c r="D1026" s="169" t="s">
        <v>353</v>
      </c>
    </row>
    <row r="1027">
      <c r="A1027" s="170">
        <v>42544.0</v>
      </c>
      <c r="B1027" s="168" t="s">
        <v>395</v>
      </c>
      <c r="C1027" s="168" t="s">
        <v>406</v>
      </c>
      <c r="D1027" s="169" t="s">
        <v>353</v>
      </c>
    </row>
    <row r="1028">
      <c r="A1028" s="170">
        <v>42545.0</v>
      </c>
      <c r="B1028" s="168" t="s">
        <v>395</v>
      </c>
      <c r="C1028" s="168" t="s">
        <v>406</v>
      </c>
      <c r="D1028" s="169" t="s">
        <v>353</v>
      </c>
    </row>
    <row r="1029">
      <c r="A1029" s="170">
        <v>42546.0</v>
      </c>
      <c r="B1029" s="168" t="s">
        <v>395</v>
      </c>
      <c r="C1029" s="168" t="s">
        <v>406</v>
      </c>
      <c r="D1029" s="169" t="s">
        <v>353</v>
      </c>
    </row>
    <row r="1030">
      <c r="A1030" s="170">
        <v>42547.0</v>
      </c>
      <c r="B1030" s="168" t="s">
        <v>395</v>
      </c>
      <c r="C1030" s="168" t="s">
        <v>406</v>
      </c>
      <c r="D1030" s="169" t="s">
        <v>353</v>
      </c>
    </row>
    <row r="1031">
      <c r="A1031" s="170">
        <v>42548.0</v>
      </c>
      <c r="B1031" s="168" t="s">
        <v>396</v>
      </c>
      <c r="C1031" s="168" t="s">
        <v>406</v>
      </c>
      <c r="D1031" s="169" t="s">
        <v>353</v>
      </c>
    </row>
    <row r="1032">
      <c r="A1032" s="170">
        <v>42549.0</v>
      </c>
      <c r="B1032" s="168" t="s">
        <v>396</v>
      </c>
      <c r="C1032" s="168" t="s">
        <v>406</v>
      </c>
      <c r="D1032" s="169" t="s">
        <v>353</v>
      </c>
    </row>
    <row r="1033">
      <c r="A1033" s="170">
        <v>42550.0</v>
      </c>
      <c r="B1033" s="168" t="s">
        <v>396</v>
      </c>
      <c r="C1033" s="168" t="s">
        <v>406</v>
      </c>
      <c r="D1033" s="169" t="s">
        <v>353</v>
      </c>
    </row>
    <row r="1034">
      <c r="A1034" s="170">
        <v>42551.0</v>
      </c>
      <c r="B1034" s="168" t="s">
        <v>396</v>
      </c>
      <c r="C1034" s="168" t="s">
        <v>406</v>
      </c>
      <c r="D1034" s="169" t="s">
        <v>353</v>
      </c>
    </row>
    <row r="1035">
      <c r="A1035" s="170">
        <v>42552.0</v>
      </c>
      <c r="B1035" s="168" t="s">
        <v>396</v>
      </c>
      <c r="C1035" s="168" t="s">
        <v>406</v>
      </c>
      <c r="D1035" s="169" t="s">
        <v>353</v>
      </c>
    </row>
    <row r="1036">
      <c r="A1036" s="170">
        <v>42553.0</v>
      </c>
      <c r="B1036" s="168" t="s">
        <v>396</v>
      </c>
      <c r="C1036" s="168" t="s">
        <v>406</v>
      </c>
      <c r="D1036" s="169" t="s">
        <v>353</v>
      </c>
    </row>
    <row r="1037">
      <c r="A1037" s="170">
        <v>42554.0</v>
      </c>
      <c r="B1037" s="168" t="s">
        <v>396</v>
      </c>
      <c r="C1037" s="168" t="s">
        <v>406</v>
      </c>
      <c r="D1037" s="169" t="s">
        <v>353</v>
      </c>
    </row>
    <row r="1038">
      <c r="A1038" s="170">
        <v>42555.0</v>
      </c>
      <c r="B1038" s="168" t="s">
        <v>397</v>
      </c>
      <c r="C1038" s="168" t="s">
        <v>406</v>
      </c>
      <c r="D1038" s="169" t="s">
        <v>354</v>
      </c>
    </row>
    <row r="1039">
      <c r="A1039" s="170">
        <v>42556.0</v>
      </c>
      <c r="B1039" s="168" t="s">
        <v>397</v>
      </c>
      <c r="C1039" s="168" t="s">
        <v>406</v>
      </c>
      <c r="D1039" s="169" t="s">
        <v>354</v>
      </c>
    </row>
    <row r="1040">
      <c r="A1040" s="170">
        <v>42557.0</v>
      </c>
      <c r="B1040" s="168" t="s">
        <v>397</v>
      </c>
      <c r="C1040" s="168" t="s">
        <v>406</v>
      </c>
      <c r="D1040" s="169" t="s">
        <v>354</v>
      </c>
    </row>
    <row r="1041">
      <c r="A1041" s="170">
        <v>42558.0</v>
      </c>
      <c r="B1041" s="168" t="s">
        <v>397</v>
      </c>
      <c r="C1041" s="168" t="s">
        <v>406</v>
      </c>
      <c r="D1041" s="169" t="s">
        <v>354</v>
      </c>
    </row>
    <row r="1042">
      <c r="A1042" s="170">
        <v>42559.0</v>
      </c>
      <c r="B1042" s="168" t="s">
        <v>397</v>
      </c>
      <c r="C1042" s="168" t="s">
        <v>406</v>
      </c>
      <c r="D1042" s="169" t="s">
        <v>354</v>
      </c>
    </row>
    <row r="1043">
      <c r="A1043" s="170">
        <v>42560.0</v>
      </c>
      <c r="B1043" s="168" t="s">
        <v>397</v>
      </c>
      <c r="C1043" s="168" t="s">
        <v>406</v>
      </c>
      <c r="D1043" s="169" t="s">
        <v>354</v>
      </c>
    </row>
    <row r="1044">
      <c r="A1044" s="170">
        <v>42561.0</v>
      </c>
      <c r="B1044" s="168" t="s">
        <v>397</v>
      </c>
      <c r="C1044" s="168" t="s">
        <v>406</v>
      </c>
      <c r="D1044" s="169" t="s">
        <v>354</v>
      </c>
    </row>
    <row r="1045">
      <c r="A1045" s="170">
        <v>42562.0</v>
      </c>
      <c r="B1045" s="168" t="s">
        <v>398</v>
      </c>
      <c r="C1045" s="168" t="s">
        <v>406</v>
      </c>
      <c r="D1045" s="169" t="s">
        <v>354</v>
      </c>
    </row>
    <row r="1046">
      <c r="A1046" s="170">
        <v>42563.0</v>
      </c>
      <c r="B1046" s="168" t="s">
        <v>398</v>
      </c>
      <c r="C1046" s="168" t="s">
        <v>406</v>
      </c>
      <c r="D1046" s="169" t="s">
        <v>354</v>
      </c>
    </row>
    <row r="1047">
      <c r="A1047" s="170">
        <v>42564.0</v>
      </c>
      <c r="B1047" s="168" t="s">
        <v>398</v>
      </c>
      <c r="C1047" s="168" t="s">
        <v>406</v>
      </c>
      <c r="D1047" s="169" t="s">
        <v>354</v>
      </c>
    </row>
    <row r="1048">
      <c r="A1048" s="170">
        <v>42565.0</v>
      </c>
      <c r="B1048" s="168" t="s">
        <v>398</v>
      </c>
      <c r="C1048" s="168" t="s">
        <v>406</v>
      </c>
      <c r="D1048" s="169" t="s">
        <v>354</v>
      </c>
    </row>
    <row r="1049">
      <c r="A1049" s="170">
        <v>42566.0</v>
      </c>
      <c r="B1049" s="168" t="s">
        <v>398</v>
      </c>
      <c r="C1049" s="168" t="s">
        <v>406</v>
      </c>
      <c r="D1049" s="169" t="s">
        <v>354</v>
      </c>
    </row>
    <row r="1050">
      <c r="A1050" s="170">
        <v>42567.0</v>
      </c>
      <c r="B1050" s="168" t="s">
        <v>398</v>
      </c>
      <c r="C1050" s="168" t="s">
        <v>406</v>
      </c>
      <c r="D1050" s="169" t="s">
        <v>354</v>
      </c>
    </row>
    <row r="1051">
      <c r="A1051" s="170">
        <v>42568.0</v>
      </c>
      <c r="B1051" s="168" t="s">
        <v>398</v>
      </c>
      <c r="C1051" s="168" t="s">
        <v>406</v>
      </c>
      <c r="D1051" s="169" t="s">
        <v>354</v>
      </c>
    </row>
    <row r="1052">
      <c r="A1052" s="170">
        <v>42569.0</v>
      </c>
      <c r="B1052" s="168" t="s">
        <v>399</v>
      </c>
      <c r="C1052" s="168" t="s">
        <v>406</v>
      </c>
      <c r="D1052" s="169" t="s">
        <v>354</v>
      </c>
    </row>
    <row r="1053">
      <c r="A1053" s="170">
        <v>42570.0</v>
      </c>
      <c r="B1053" s="168" t="s">
        <v>399</v>
      </c>
      <c r="C1053" s="168" t="s">
        <v>406</v>
      </c>
      <c r="D1053" s="169" t="s">
        <v>354</v>
      </c>
    </row>
    <row r="1054">
      <c r="A1054" s="170">
        <v>42571.0</v>
      </c>
      <c r="B1054" s="168" t="s">
        <v>399</v>
      </c>
      <c r="C1054" s="168" t="s">
        <v>406</v>
      </c>
      <c r="D1054" s="169" t="s">
        <v>354</v>
      </c>
    </row>
    <row r="1055">
      <c r="A1055" s="170">
        <v>42572.0</v>
      </c>
      <c r="B1055" s="168" t="s">
        <v>399</v>
      </c>
      <c r="C1055" s="168" t="s">
        <v>406</v>
      </c>
      <c r="D1055" s="169" t="s">
        <v>354</v>
      </c>
    </row>
    <row r="1056">
      <c r="A1056" s="170">
        <v>42573.0</v>
      </c>
      <c r="B1056" s="168" t="s">
        <v>399</v>
      </c>
      <c r="C1056" s="168" t="s">
        <v>406</v>
      </c>
      <c r="D1056" s="169" t="s">
        <v>354</v>
      </c>
    </row>
    <row r="1057">
      <c r="A1057" s="170">
        <v>42574.0</v>
      </c>
      <c r="B1057" s="168" t="s">
        <v>399</v>
      </c>
      <c r="C1057" s="168" t="s">
        <v>406</v>
      </c>
      <c r="D1057" s="169" t="s">
        <v>354</v>
      </c>
    </row>
    <row r="1058">
      <c r="A1058" s="170">
        <v>42575.0</v>
      </c>
      <c r="B1058" s="168" t="s">
        <v>399</v>
      </c>
      <c r="C1058" s="168" t="s">
        <v>406</v>
      </c>
      <c r="D1058" s="169" t="s">
        <v>354</v>
      </c>
    </row>
    <row r="1059">
      <c r="A1059" s="170">
        <v>42576.0</v>
      </c>
      <c r="B1059" s="168" t="s">
        <v>400</v>
      </c>
      <c r="C1059" s="168" t="s">
        <v>406</v>
      </c>
      <c r="D1059" s="169" t="s">
        <v>354</v>
      </c>
    </row>
    <row r="1060">
      <c r="A1060" s="170">
        <v>42577.0</v>
      </c>
      <c r="B1060" s="168" t="s">
        <v>400</v>
      </c>
      <c r="C1060" s="168" t="s">
        <v>406</v>
      </c>
      <c r="D1060" s="169" t="s">
        <v>354</v>
      </c>
    </row>
    <row r="1061">
      <c r="A1061" s="170">
        <v>42578.0</v>
      </c>
      <c r="B1061" s="168" t="s">
        <v>400</v>
      </c>
      <c r="C1061" s="168" t="s">
        <v>406</v>
      </c>
      <c r="D1061" s="169" t="s">
        <v>354</v>
      </c>
    </row>
    <row r="1062">
      <c r="A1062" s="170">
        <v>42579.0</v>
      </c>
      <c r="B1062" s="168" t="s">
        <v>400</v>
      </c>
      <c r="C1062" s="168" t="s">
        <v>406</v>
      </c>
      <c r="D1062" s="169" t="s">
        <v>354</v>
      </c>
    </row>
    <row r="1063">
      <c r="A1063" s="170">
        <v>42580.0</v>
      </c>
      <c r="B1063" s="168" t="s">
        <v>400</v>
      </c>
      <c r="C1063" s="168" t="s">
        <v>406</v>
      </c>
      <c r="D1063" s="169" t="s">
        <v>354</v>
      </c>
    </row>
    <row r="1064">
      <c r="A1064" s="170">
        <v>42581.0</v>
      </c>
      <c r="B1064" s="168" t="s">
        <v>400</v>
      </c>
      <c r="C1064" s="168" t="s">
        <v>406</v>
      </c>
      <c r="D1064" s="169" t="s">
        <v>354</v>
      </c>
    </row>
    <row r="1065">
      <c r="A1065" s="170">
        <v>42582.0</v>
      </c>
      <c r="B1065" s="168" t="s">
        <v>400</v>
      </c>
      <c r="C1065" s="168" t="s">
        <v>406</v>
      </c>
      <c r="D1065" s="169" t="s">
        <v>354</v>
      </c>
    </row>
    <row r="1066">
      <c r="A1066" s="170">
        <v>42583.0</v>
      </c>
      <c r="B1066" s="168" t="s">
        <v>401</v>
      </c>
      <c r="C1066" s="168" t="s">
        <v>406</v>
      </c>
      <c r="D1066" s="169" t="s">
        <v>134</v>
      </c>
    </row>
    <row r="1067">
      <c r="A1067" s="170">
        <v>42584.0</v>
      </c>
      <c r="B1067" s="168" t="s">
        <v>401</v>
      </c>
      <c r="C1067" s="168" t="s">
        <v>406</v>
      </c>
      <c r="D1067" s="169" t="s">
        <v>134</v>
      </c>
    </row>
    <row r="1068">
      <c r="A1068" s="170">
        <v>42585.0</v>
      </c>
      <c r="B1068" s="168" t="s">
        <v>401</v>
      </c>
      <c r="C1068" s="168" t="s">
        <v>406</v>
      </c>
      <c r="D1068" s="169" t="s">
        <v>134</v>
      </c>
    </row>
    <row r="1069">
      <c r="A1069" s="170">
        <v>42586.0</v>
      </c>
      <c r="B1069" s="168" t="s">
        <v>401</v>
      </c>
      <c r="C1069" s="168" t="s">
        <v>406</v>
      </c>
      <c r="D1069" s="169" t="s">
        <v>134</v>
      </c>
    </row>
    <row r="1070">
      <c r="A1070" s="170">
        <v>42587.0</v>
      </c>
      <c r="B1070" s="168" t="s">
        <v>401</v>
      </c>
      <c r="C1070" s="168" t="s">
        <v>406</v>
      </c>
      <c r="D1070" s="169" t="s">
        <v>134</v>
      </c>
    </row>
    <row r="1071">
      <c r="A1071" s="170">
        <v>42588.0</v>
      </c>
      <c r="B1071" s="168" t="s">
        <v>401</v>
      </c>
      <c r="C1071" s="168" t="s">
        <v>406</v>
      </c>
      <c r="D1071" s="169" t="s">
        <v>134</v>
      </c>
    </row>
    <row r="1072">
      <c r="A1072" s="170">
        <v>42589.0</v>
      </c>
      <c r="B1072" s="168" t="s">
        <v>401</v>
      </c>
      <c r="C1072" s="168" t="s">
        <v>406</v>
      </c>
      <c r="D1072" s="169" t="s">
        <v>134</v>
      </c>
    </row>
    <row r="1073">
      <c r="A1073" s="170">
        <v>42590.0</v>
      </c>
      <c r="B1073" s="168" t="s">
        <v>402</v>
      </c>
      <c r="C1073" s="168" t="s">
        <v>406</v>
      </c>
      <c r="D1073" s="169" t="s">
        <v>134</v>
      </c>
    </row>
    <row r="1074">
      <c r="A1074" s="170">
        <v>42591.0</v>
      </c>
      <c r="B1074" s="168" t="s">
        <v>402</v>
      </c>
      <c r="C1074" s="168" t="s">
        <v>406</v>
      </c>
      <c r="D1074" s="169" t="s">
        <v>134</v>
      </c>
    </row>
    <row r="1075">
      <c r="A1075" s="170">
        <v>42592.0</v>
      </c>
      <c r="B1075" s="168" t="s">
        <v>402</v>
      </c>
      <c r="C1075" s="168" t="s">
        <v>406</v>
      </c>
      <c r="D1075" s="169" t="s">
        <v>134</v>
      </c>
    </row>
    <row r="1076">
      <c r="A1076" s="170">
        <v>42593.0</v>
      </c>
      <c r="B1076" s="168" t="s">
        <v>402</v>
      </c>
      <c r="C1076" s="168" t="s">
        <v>406</v>
      </c>
      <c r="D1076" s="169" t="s">
        <v>134</v>
      </c>
    </row>
    <row r="1077">
      <c r="A1077" s="170">
        <v>42594.0</v>
      </c>
      <c r="B1077" s="168" t="s">
        <v>402</v>
      </c>
      <c r="C1077" s="168" t="s">
        <v>406</v>
      </c>
      <c r="D1077" s="169" t="s">
        <v>134</v>
      </c>
    </row>
    <row r="1078">
      <c r="A1078" s="170">
        <v>42595.0</v>
      </c>
      <c r="B1078" s="168" t="s">
        <v>402</v>
      </c>
      <c r="C1078" s="168" t="s">
        <v>406</v>
      </c>
      <c r="D1078" s="169" t="s">
        <v>134</v>
      </c>
    </row>
    <row r="1079">
      <c r="A1079" s="170">
        <v>42596.0</v>
      </c>
      <c r="B1079" s="168" t="s">
        <v>402</v>
      </c>
      <c r="C1079" s="168" t="s">
        <v>406</v>
      </c>
      <c r="D1079" s="169" t="s">
        <v>134</v>
      </c>
    </row>
    <row r="1080">
      <c r="A1080" s="170">
        <v>42597.0</v>
      </c>
      <c r="B1080" s="168" t="s">
        <v>403</v>
      </c>
      <c r="C1080" s="168" t="s">
        <v>406</v>
      </c>
      <c r="D1080" s="169" t="s">
        <v>134</v>
      </c>
    </row>
    <row r="1081">
      <c r="A1081" s="170">
        <v>42598.0</v>
      </c>
      <c r="B1081" s="168" t="s">
        <v>403</v>
      </c>
      <c r="C1081" s="168" t="s">
        <v>406</v>
      </c>
      <c r="D1081" s="169" t="s">
        <v>134</v>
      </c>
    </row>
    <row r="1082">
      <c r="A1082" s="170">
        <v>42599.0</v>
      </c>
      <c r="B1082" s="168" t="s">
        <v>403</v>
      </c>
      <c r="C1082" s="168" t="s">
        <v>406</v>
      </c>
      <c r="D1082" s="169" t="s">
        <v>134</v>
      </c>
    </row>
    <row r="1083">
      <c r="A1083" s="170">
        <v>42600.0</v>
      </c>
      <c r="B1083" s="168" t="s">
        <v>403</v>
      </c>
      <c r="C1083" s="168" t="s">
        <v>406</v>
      </c>
      <c r="D1083" s="169" t="s">
        <v>134</v>
      </c>
    </row>
    <row r="1084">
      <c r="A1084" s="170">
        <v>42601.0</v>
      </c>
      <c r="B1084" s="168" t="s">
        <v>403</v>
      </c>
      <c r="C1084" s="168" t="s">
        <v>406</v>
      </c>
      <c r="D1084" s="169" t="s">
        <v>134</v>
      </c>
    </row>
    <row r="1085">
      <c r="A1085" s="170">
        <v>42602.0</v>
      </c>
      <c r="B1085" s="168" t="s">
        <v>403</v>
      </c>
      <c r="C1085" s="168" t="s">
        <v>406</v>
      </c>
      <c r="D1085" s="169" t="s">
        <v>134</v>
      </c>
    </row>
    <row r="1086">
      <c r="A1086" s="170">
        <v>42603.0</v>
      </c>
      <c r="B1086" s="168" t="s">
        <v>403</v>
      </c>
      <c r="C1086" s="168" t="s">
        <v>406</v>
      </c>
      <c r="D1086" s="169" t="s">
        <v>134</v>
      </c>
    </row>
    <row r="1087">
      <c r="A1087" s="170">
        <v>42604.0</v>
      </c>
      <c r="B1087" s="168" t="s">
        <v>404</v>
      </c>
      <c r="C1087" s="168" t="s">
        <v>406</v>
      </c>
      <c r="D1087" s="169" t="s">
        <v>134</v>
      </c>
    </row>
    <row r="1088">
      <c r="A1088" s="170">
        <v>42605.0</v>
      </c>
      <c r="B1088" s="168" t="s">
        <v>404</v>
      </c>
      <c r="C1088" s="168" t="s">
        <v>406</v>
      </c>
      <c r="D1088" s="169" t="s">
        <v>134</v>
      </c>
    </row>
    <row r="1089">
      <c r="A1089" s="170">
        <v>42606.0</v>
      </c>
      <c r="B1089" s="168" t="s">
        <v>404</v>
      </c>
      <c r="C1089" s="168" t="s">
        <v>406</v>
      </c>
      <c r="D1089" s="169" t="s">
        <v>134</v>
      </c>
    </row>
    <row r="1090">
      <c r="A1090" s="170">
        <v>42607.0</v>
      </c>
      <c r="B1090" s="168" t="s">
        <v>404</v>
      </c>
      <c r="C1090" s="168" t="s">
        <v>406</v>
      </c>
      <c r="D1090" s="169" t="s">
        <v>134</v>
      </c>
    </row>
    <row r="1091">
      <c r="A1091" s="170">
        <v>42608.0</v>
      </c>
      <c r="B1091" s="168" t="s">
        <v>404</v>
      </c>
      <c r="C1091" s="168" t="s">
        <v>406</v>
      </c>
      <c r="D1091" s="169" t="s">
        <v>134</v>
      </c>
    </row>
    <row r="1092">
      <c r="A1092" s="170">
        <v>42609.0</v>
      </c>
      <c r="B1092" s="168" t="s">
        <v>404</v>
      </c>
      <c r="C1092" s="168" t="s">
        <v>406</v>
      </c>
      <c r="D1092" s="169" t="s">
        <v>134</v>
      </c>
    </row>
    <row r="1093">
      <c r="A1093" s="170">
        <v>42610.0</v>
      </c>
      <c r="B1093" s="168" t="s">
        <v>404</v>
      </c>
      <c r="C1093" s="168" t="s">
        <v>406</v>
      </c>
      <c r="D1093" s="169" t="s">
        <v>134</v>
      </c>
    </row>
    <row r="1094">
      <c r="A1094" s="170">
        <v>42611.0</v>
      </c>
      <c r="B1094" s="168" t="s">
        <v>341</v>
      </c>
      <c r="C1094" s="168" t="s">
        <v>407</v>
      </c>
      <c r="D1094" s="169" t="s">
        <v>340</v>
      </c>
    </row>
    <row r="1095">
      <c r="A1095" s="170">
        <v>42612.0</v>
      </c>
      <c r="B1095" s="168" t="s">
        <v>341</v>
      </c>
      <c r="C1095" s="168" t="s">
        <v>407</v>
      </c>
      <c r="D1095" s="169" t="s">
        <v>340</v>
      </c>
    </row>
    <row r="1096">
      <c r="A1096" s="170">
        <v>42613.0</v>
      </c>
      <c r="B1096" s="168" t="s">
        <v>341</v>
      </c>
      <c r="C1096" s="168" t="s">
        <v>407</v>
      </c>
      <c r="D1096" s="169" t="s">
        <v>340</v>
      </c>
    </row>
    <row r="1097">
      <c r="A1097" s="170">
        <v>42614.0</v>
      </c>
      <c r="B1097" s="168" t="s">
        <v>341</v>
      </c>
      <c r="C1097" s="168" t="s">
        <v>407</v>
      </c>
      <c r="D1097" s="169" t="s">
        <v>340</v>
      </c>
    </row>
    <row r="1098">
      <c r="A1098" s="170">
        <v>42615.0</v>
      </c>
      <c r="B1098" s="168" t="s">
        <v>341</v>
      </c>
      <c r="C1098" s="168" t="s">
        <v>407</v>
      </c>
      <c r="D1098" s="169" t="s">
        <v>340</v>
      </c>
    </row>
    <row r="1099">
      <c r="A1099" s="170">
        <v>42616.0</v>
      </c>
      <c r="B1099" s="168" t="s">
        <v>341</v>
      </c>
      <c r="C1099" s="168" t="s">
        <v>407</v>
      </c>
      <c r="D1099" s="169" t="s">
        <v>340</v>
      </c>
    </row>
    <row r="1100">
      <c r="A1100" s="170">
        <v>42617.0</v>
      </c>
      <c r="B1100" s="168" t="s">
        <v>341</v>
      </c>
      <c r="C1100" s="168" t="s">
        <v>407</v>
      </c>
      <c r="D1100" s="169" t="s">
        <v>340</v>
      </c>
    </row>
    <row r="1101">
      <c r="A1101" s="170">
        <v>42618.0</v>
      </c>
      <c r="B1101" s="168" t="s">
        <v>350</v>
      </c>
      <c r="C1101" s="168" t="s">
        <v>407</v>
      </c>
      <c r="D1101" s="169" t="s">
        <v>340</v>
      </c>
    </row>
    <row r="1102">
      <c r="A1102" s="170">
        <v>42619.0</v>
      </c>
      <c r="B1102" s="168" t="s">
        <v>350</v>
      </c>
      <c r="C1102" s="168" t="s">
        <v>407</v>
      </c>
      <c r="D1102" s="169" t="s">
        <v>340</v>
      </c>
    </row>
    <row r="1103">
      <c r="A1103" s="170">
        <v>42620.0</v>
      </c>
      <c r="B1103" s="168" t="s">
        <v>350</v>
      </c>
      <c r="C1103" s="168" t="s">
        <v>407</v>
      </c>
      <c r="D1103" s="169" t="s">
        <v>340</v>
      </c>
    </row>
    <row r="1104">
      <c r="A1104" s="170">
        <v>42621.0</v>
      </c>
      <c r="B1104" s="168" t="s">
        <v>350</v>
      </c>
      <c r="C1104" s="168" t="s">
        <v>407</v>
      </c>
      <c r="D1104" s="169" t="s">
        <v>340</v>
      </c>
    </row>
    <row r="1105">
      <c r="A1105" s="170">
        <v>42622.0</v>
      </c>
      <c r="B1105" s="168" t="s">
        <v>350</v>
      </c>
      <c r="C1105" s="168" t="s">
        <v>407</v>
      </c>
      <c r="D1105" s="169" t="s">
        <v>340</v>
      </c>
    </row>
    <row r="1106">
      <c r="A1106" s="170">
        <v>42623.0</v>
      </c>
      <c r="B1106" s="168" t="s">
        <v>350</v>
      </c>
      <c r="C1106" s="168" t="s">
        <v>407</v>
      </c>
      <c r="D1106" s="169" t="s">
        <v>340</v>
      </c>
    </row>
    <row r="1107">
      <c r="A1107" s="170">
        <v>42624.0</v>
      </c>
      <c r="B1107" s="168" t="s">
        <v>350</v>
      </c>
      <c r="C1107" s="168" t="s">
        <v>407</v>
      </c>
      <c r="D1107" s="169" t="s">
        <v>340</v>
      </c>
    </row>
    <row r="1108">
      <c r="A1108" s="170">
        <v>42625.0</v>
      </c>
      <c r="B1108" s="168" t="s">
        <v>355</v>
      </c>
      <c r="C1108" s="168" t="s">
        <v>407</v>
      </c>
      <c r="D1108" s="169" t="s">
        <v>340</v>
      </c>
    </row>
    <row r="1109">
      <c r="A1109" s="170">
        <v>42626.0</v>
      </c>
      <c r="B1109" s="168" t="s">
        <v>355</v>
      </c>
      <c r="C1109" s="168" t="s">
        <v>407</v>
      </c>
      <c r="D1109" s="169" t="s">
        <v>340</v>
      </c>
    </row>
    <row r="1110">
      <c r="A1110" s="170">
        <v>42627.0</v>
      </c>
      <c r="B1110" s="168" t="s">
        <v>355</v>
      </c>
      <c r="C1110" s="168" t="s">
        <v>407</v>
      </c>
      <c r="D1110" s="169" t="s">
        <v>340</v>
      </c>
    </row>
    <row r="1111">
      <c r="A1111" s="170">
        <v>42628.0</v>
      </c>
      <c r="B1111" s="168" t="s">
        <v>355</v>
      </c>
      <c r="C1111" s="168" t="s">
        <v>407</v>
      </c>
      <c r="D1111" s="169" t="s">
        <v>340</v>
      </c>
    </row>
    <row r="1112">
      <c r="A1112" s="170">
        <v>42629.0</v>
      </c>
      <c r="B1112" s="168" t="s">
        <v>355</v>
      </c>
      <c r="C1112" s="168" t="s">
        <v>407</v>
      </c>
      <c r="D1112" s="169" t="s">
        <v>340</v>
      </c>
    </row>
    <row r="1113">
      <c r="A1113" s="170">
        <v>42630.0</v>
      </c>
      <c r="B1113" s="168" t="s">
        <v>355</v>
      </c>
      <c r="C1113" s="168" t="s">
        <v>407</v>
      </c>
      <c r="D1113" s="169" t="s">
        <v>340</v>
      </c>
    </row>
    <row r="1114">
      <c r="A1114" s="170">
        <v>42631.0</v>
      </c>
      <c r="B1114" s="168" t="s">
        <v>355</v>
      </c>
      <c r="C1114" s="168" t="s">
        <v>407</v>
      </c>
      <c r="D1114" s="169" t="s">
        <v>340</v>
      </c>
    </row>
    <row r="1115">
      <c r="A1115" s="170">
        <v>42632.0</v>
      </c>
      <c r="B1115" s="168" t="s">
        <v>356</v>
      </c>
      <c r="C1115" s="168" t="s">
        <v>407</v>
      </c>
      <c r="D1115" s="169" t="s">
        <v>340</v>
      </c>
    </row>
    <row r="1116">
      <c r="A1116" s="170">
        <v>42633.0</v>
      </c>
      <c r="B1116" s="168" t="s">
        <v>356</v>
      </c>
      <c r="C1116" s="168" t="s">
        <v>407</v>
      </c>
      <c r="D1116" s="169" t="s">
        <v>340</v>
      </c>
    </row>
    <row r="1117">
      <c r="A1117" s="170">
        <v>42634.0</v>
      </c>
      <c r="B1117" s="168" t="s">
        <v>356</v>
      </c>
      <c r="C1117" s="168" t="s">
        <v>407</v>
      </c>
      <c r="D1117" s="169" t="s">
        <v>340</v>
      </c>
    </row>
    <row r="1118">
      <c r="A1118" s="170">
        <v>42635.0</v>
      </c>
      <c r="B1118" s="168" t="s">
        <v>356</v>
      </c>
      <c r="C1118" s="168" t="s">
        <v>407</v>
      </c>
      <c r="D1118" s="169" t="s">
        <v>340</v>
      </c>
    </row>
    <row r="1119">
      <c r="A1119" s="170">
        <v>42636.0</v>
      </c>
      <c r="B1119" s="168" t="s">
        <v>356</v>
      </c>
      <c r="C1119" s="168" t="s">
        <v>407</v>
      </c>
      <c r="D1119" s="169" t="s">
        <v>340</v>
      </c>
    </row>
    <row r="1120">
      <c r="A1120" s="170">
        <v>42637.0</v>
      </c>
      <c r="B1120" s="168" t="s">
        <v>356</v>
      </c>
      <c r="C1120" s="168" t="s">
        <v>407</v>
      </c>
      <c r="D1120" s="169" t="s">
        <v>340</v>
      </c>
    </row>
    <row r="1121">
      <c r="A1121" s="170">
        <v>42638.0</v>
      </c>
      <c r="B1121" s="168" t="s">
        <v>356</v>
      </c>
      <c r="C1121" s="168" t="s">
        <v>407</v>
      </c>
      <c r="D1121" s="169" t="s">
        <v>340</v>
      </c>
    </row>
    <row r="1122">
      <c r="A1122" s="170">
        <v>42639.0</v>
      </c>
      <c r="B1122" s="168" t="s">
        <v>357</v>
      </c>
      <c r="C1122" s="168" t="s">
        <v>407</v>
      </c>
      <c r="D1122" s="169" t="s">
        <v>343</v>
      </c>
    </row>
    <row r="1123">
      <c r="A1123" s="170">
        <v>42640.0</v>
      </c>
      <c r="B1123" s="168" t="s">
        <v>357</v>
      </c>
      <c r="C1123" s="168" t="s">
        <v>407</v>
      </c>
      <c r="D1123" s="169" t="s">
        <v>343</v>
      </c>
    </row>
    <row r="1124">
      <c r="A1124" s="170">
        <v>42641.0</v>
      </c>
      <c r="B1124" s="168" t="s">
        <v>357</v>
      </c>
      <c r="C1124" s="168" t="s">
        <v>407</v>
      </c>
      <c r="D1124" s="169" t="s">
        <v>343</v>
      </c>
    </row>
    <row r="1125">
      <c r="A1125" s="170">
        <v>42642.0</v>
      </c>
      <c r="B1125" s="168" t="s">
        <v>357</v>
      </c>
      <c r="C1125" s="168" t="s">
        <v>407</v>
      </c>
      <c r="D1125" s="169" t="s">
        <v>343</v>
      </c>
    </row>
    <row r="1126">
      <c r="A1126" s="170">
        <v>42643.0</v>
      </c>
      <c r="B1126" s="168" t="s">
        <v>357</v>
      </c>
      <c r="C1126" s="168" t="s">
        <v>407</v>
      </c>
      <c r="D1126" s="169" t="s">
        <v>343</v>
      </c>
    </row>
    <row r="1127">
      <c r="A1127" s="170">
        <v>42644.0</v>
      </c>
      <c r="B1127" s="168" t="s">
        <v>357</v>
      </c>
      <c r="C1127" s="168" t="s">
        <v>407</v>
      </c>
      <c r="D1127" s="169" t="s">
        <v>343</v>
      </c>
    </row>
    <row r="1128">
      <c r="A1128" s="170">
        <v>42645.0</v>
      </c>
      <c r="B1128" s="168" t="s">
        <v>357</v>
      </c>
      <c r="C1128" s="168" t="s">
        <v>407</v>
      </c>
      <c r="D1128" s="169" t="s">
        <v>343</v>
      </c>
    </row>
    <row r="1129">
      <c r="A1129" s="170">
        <v>42646.0</v>
      </c>
      <c r="B1129" s="168" t="s">
        <v>358</v>
      </c>
      <c r="C1129" s="168" t="s">
        <v>407</v>
      </c>
      <c r="D1129" s="169" t="s">
        <v>343</v>
      </c>
    </row>
    <row r="1130">
      <c r="A1130" s="170">
        <v>42647.0</v>
      </c>
      <c r="B1130" s="168" t="s">
        <v>358</v>
      </c>
      <c r="C1130" s="168" t="s">
        <v>407</v>
      </c>
      <c r="D1130" s="169" t="s">
        <v>343</v>
      </c>
    </row>
    <row r="1131">
      <c r="A1131" s="170">
        <v>42648.0</v>
      </c>
      <c r="B1131" s="168" t="s">
        <v>358</v>
      </c>
      <c r="C1131" s="168" t="s">
        <v>407</v>
      </c>
      <c r="D1131" s="169" t="s">
        <v>343</v>
      </c>
    </row>
    <row r="1132">
      <c r="A1132" s="170">
        <v>42649.0</v>
      </c>
      <c r="B1132" s="168" t="s">
        <v>358</v>
      </c>
      <c r="C1132" s="168" t="s">
        <v>407</v>
      </c>
      <c r="D1132" s="169" t="s">
        <v>343</v>
      </c>
    </row>
    <row r="1133">
      <c r="A1133" s="170">
        <v>42650.0</v>
      </c>
      <c r="B1133" s="168" t="s">
        <v>358</v>
      </c>
      <c r="C1133" s="168" t="s">
        <v>407</v>
      </c>
      <c r="D1133" s="169" t="s">
        <v>343</v>
      </c>
    </row>
    <row r="1134">
      <c r="A1134" s="170">
        <v>42651.0</v>
      </c>
      <c r="B1134" s="168" t="s">
        <v>358</v>
      </c>
      <c r="C1134" s="168" t="s">
        <v>407</v>
      </c>
      <c r="D1134" s="169" t="s">
        <v>343</v>
      </c>
    </row>
    <row r="1135">
      <c r="A1135" s="170">
        <v>42652.0</v>
      </c>
      <c r="B1135" s="168" t="s">
        <v>358</v>
      </c>
      <c r="C1135" s="168" t="s">
        <v>407</v>
      </c>
      <c r="D1135" s="169" t="s">
        <v>343</v>
      </c>
    </row>
    <row r="1136">
      <c r="A1136" s="170">
        <v>42653.0</v>
      </c>
      <c r="B1136" s="168" t="s">
        <v>359</v>
      </c>
      <c r="C1136" s="168" t="s">
        <v>407</v>
      </c>
      <c r="D1136" s="169" t="s">
        <v>343</v>
      </c>
    </row>
    <row r="1137">
      <c r="A1137" s="170">
        <v>42654.0</v>
      </c>
      <c r="B1137" s="168" t="s">
        <v>359</v>
      </c>
      <c r="C1137" s="168" t="s">
        <v>407</v>
      </c>
      <c r="D1137" s="169" t="s">
        <v>343</v>
      </c>
    </row>
    <row r="1138">
      <c r="A1138" s="170">
        <v>42655.0</v>
      </c>
      <c r="B1138" s="168" t="s">
        <v>359</v>
      </c>
      <c r="C1138" s="168" t="s">
        <v>407</v>
      </c>
      <c r="D1138" s="169" t="s">
        <v>343</v>
      </c>
    </row>
    <row r="1139">
      <c r="A1139" s="170">
        <v>42656.0</v>
      </c>
      <c r="B1139" s="168" t="s">
        <v>359</v>
      </c>
      <c r="C1139" s="168" t="s">
        <v>407</v>
      </c>
      <c r="D1139" s="169" t="s">
        <v>343</v>
      </c>
    </row>
    <row r="1140">
      <c r="A1140" s="170">
        <v>42657.0</v>
      </c>
      <c r="B1140" s="168" t="s">
        <v>359</v>
      </c>
      <c r="C1140" s="168" t="s">
        <v>407</v>
      </c>
      <c r="D1140" s="169" t="s">
        <v>343</v>
      </c>
    </row>
    <row r="1141">
      <c r="A1141" s="170">
        <v>42658.0</v>
      </c>
      <c r="B1141" s="168" t="s">
        <v>359</v>
      </c>
      <c r="C1141" s="168" t="s">
        <v>407</v>
      </c>
      <c r="D1141" s="169" t="s">
        <v>343</v>
      </c>
    </row>
    <row r="1142">
      <c r="A1142" s="170">
        <v>42659.0</v>
      </c>
      <c r="B1142" s="168" t="s">
        <v>359</v>
      </c>
      <c r="C1142" s="168" t="s">
        <v>407</v>
      </c>
      <c r="D1142" s="169" t="s">
        <v>343</v>
      </c>
    </row>
    <row r="1143">
      <c r="A1143" s="170">
        <v>42660.0</v>
      </c>
      <c r="B1143" s="168" t="s">
        <v>360</v>
      </c>
      <c r="C1143" s="168" t="s">
        <v>407</v>
      </c>
      <c r="D1143" s="169" t="s">
        <v>343</v>
      </c>
    </row>
    <row r="1144">
      <c r="A1144" s="170">
        <v>42661.0</v>
      </c>
      <c r="B1144" s="168" t="s">
        <v>360</v>
      </c>
      <c r="C1144" s="168" t="s">
        <v>407</v>
      </c>
      <c r="D1144" s="169" t="s">
        <v>343</v>
      </c>
    </row>
    <row r="1145">
      <c r="A1145" s="170">
        <v>42662.0</v>
      </c>
      <c r="B1145" s="168" t="s">
        <v>360</v>
      </c>
      <c r="C1145" s="168" t="s">
        <v>407</v>
      </c>
      <c r="D1145" s="169" t="s">
        <v>343</v>
      </c>
    </row>
    <row r="1146">
      <c r="A1146" s="170">
        <v>42663.0</v>
      </c>
      <c r="B1146" s="168" t="s">
        <v>360</v>
      </c>
      <c r="C1146" s="168" t="s">
        <v>407</v>
      </c>
      <c r="D1146" s="169" t="s">
        <v>343</v>
      </c>
    </row>
    <row r="1147">
      <c r="A1147" s="170">
        <v>42664.0</v>
      </c>
      <c r="B1147" s="168" t="s">
        <v>360</v>
      </c>
      <c r="C1147" s="168" t="s">
        <v>407</v>
      </c>
      <c r="D1147" s="169" t="s">
        <v>343</v>
      </c>
    </row>
    <row r="1148">
      <c r="A1148" s="170">
        <v>42665.0</v>
      </c>
      <c r="B1148" s="168" t="s">
        <v>360</v>
      </c>
      <c r="C1148" s="168" t="s">
        <v>407</v>
      </c>
      <c r="D1148" s="169" t="s">
        <v>343</v>
      </c>
    </row>
    <row r="1149">
      <c r="A1149" s="170">
        <v>42666.0</v>
      </c>
      <c r="B1149" s="168" t="s">
        <v>360</v>
      </c>
      <c r="C1149" s="168" t="s">
        <v>407</v>
      </c>
      <c r="D1149" s="169" t="s">
        <v>343</v>
      </c>
    </row>
    <row r="1150">
      <c r="A1150" s="170">
        <v>42667.0</v>
      </c>
      <c r="B1150" s="168" t="s">
        <v>361</v>
      </c>
      <c r="C1150" s="168" t="s">
        <v>407</v>
      </c>
      <c r="D1150" s="169" t="s">
        <v>344</v>
      </c>
    </row>
    <row r="1151">
      <c r="A1151" s="170">
        <v>42668.0</v>
      </c>
      <c r="B1151" s="168" t="s">
        <v>361</v>
      </c>
      <c r="C1151" s="168" t="s">
        <v>407</v>
      </c>
      <c r="D1151" s="169" t="s">
        <v>344</v>
      </c>
    </row>
    <row r="1152">
      <c r="A1152" s="170">
        <v>42669.0</v>
      </c>
      <c r="B1152" s="168" t="s">
        <v>361</v>
      </c>
      <c r="C1152" s="168" t="s">
        <v>407</v>
      </c>
      <c r="D1152" s="169" t="s">
        <v>344</v>
      </c>
    </row>
    <row r="1153">
      <c r="A1153" s="170">
        <v>42670.0</v>
      </c>
      <c r="B1153" s="168" t="s">
        <v>361</v>
      </c>
      <c r="C1153" s="168" t="s">
        <v>407</v>
      </c>
      <c r="D1153" s="169" t="s">
        <v>344</v>
      </c>
    </row>
    <row r="1154">
      <c r="A1154" s="170">
        <v>42671.0</v>
      </c>
      <c r="B1154" s="168" t="s">
        <v>361</v>
      </c>
      <c r="C1154" s="168" t="s">
        <v>407</v>
      </c>
      <c r="D1154" s="169" t="s">
        <v>344</v>
      </c>
    </row>
    <row r="1155">
      <c r="A1155" s="170">
        <v>42672.0</v>
      </c>
      <c r="B1155" s="168" t="s">
        <v>361</v>
      </c>
      <c r="C1155" s="168" t="s">
        <v>407</v>
      </c>
      <c r="D1155" s="169" t="s">
        <v>344</v>
      </c>
    </row>
    <row r="1156">
      <c r="A1156" s="170">
        <v>42673.0</v>
      </c>
      <c r="B1156" s="168" t="s">
        <v>361</v>
      </c>
      <c r="C1156" s="168" t="s">
        <v>407</v>
      </c>
      <c r="D1156" s="169" t="s">
        <v>344</v>
      </c>
    </row>
    <row r="1157">
      <c r="A1157" s="170">
        <v>42674.0</v>
      </c>
      <c r="B1157" s="168" t="s">
        <v>362</v>
      </c>
      <c r="C1157" s="168" t="s">
        <v>407</v>
      </c>
      <c r="D1157" s="169" t="s">
        <v>344</v>
      </c>
    </row>
    <row r="1158">
      <c r="A1158" s="170">
        <v>42675.0</v>
      </c>
      <c r="B1158" s="168" t="s">
        <v>362</v>
      </c>
      <c r="C1158" s="168" t="s">
        <v>407</v>
      </c>
      <c r="D1158" s="169" t="s">
        <v>344</v>
      </c>
    </row>
    <row r="1159">
      <c r="A1159" s="170">
        <v>42676.0</v>
      </c>
      <c r="B1159" s="168" t="s">
        <v>362</v>
      </c>
      <c r="C1159" s="168" t="s">
        <v>407</v>
      </c>
      <c r="D1159" s="169" t="s">
        <v>344</v>
      </c>
    </row>
    <row r="1160">
      <c r="A1160" s="170">
        <v>42677.0</v>
      </c>
      <c r="B1160" s="168" t="s">
        <v>362</v>
      </c>
      <c r="C1160" s="168" t="s">
        <v>407</v>
      </c>
      <c r="D1160" s="169" t="s">
        <v>344</v>
      </c>
    </row>
    <row r="1161">
      <c r="A1161" s="170">
        <v>42678.0</v>
      </c>
      <c r="B1161" s="168" t="s">
        <v>362</v>
      </c>
      <c r="C1161" s="168" t="s">
        <v>407</v>
      </c>
      <c r="D1161" s="169" t="s">
        <v>344</v>
      </c>
    </row>
    <row r="1162">
      <c r="A1162" s="170">
        <v>42679.0</v>
      </c>
      <c r="B1162" s="168" t="s">
        <v>362</v>
      </c>
      <c r="C1162" s="168" t="s">
        <v>407</v>
      </c>
      <c r="D1162" s="169" t="s">
        <v>344</v>
      </c>
    </row>
    <row r="1163">
      <c r="A1163" s="170">
        <v>42680.0</v>
      </c>
      <c r="B1163" s="168" t="s">
        <v>362</v>
      </c>
      <c r="C1163" s="168" t="s">
        <v>407</v>
      </c>
      <c r="D1163" s="169" t="s">
        <v>344</v>
      </c>
    </row>
    <row r="1164">
      <c r="A1164" s="170">
        <v>42681.0</v>
      </c>
      <c r="B1164" s="168" t="s">
        <v>363</v>
      </c>
      <c r="C1164" s="168" t="s">
        <v>407</v>
      </c>
      <c r="D1164" s="169" t="s">
        <v>344</v>
      </c>
    </row>
    <row r="1165">
      <c r="A1165" s="170">
        <v>42682.0</v>
      </c>
      <c r="B1165" s="168" t="s">
        <v>363</v>
      </c>
      <c r="C1165" s="168" t="s">
        <v>407</v>
      </c>
      <c r="D1165" s="169" t="s">
        <v>344</v>
      </c>
    </row>
    <row r="1166">
      <c r="A1166" s="170">
        <v>42683.0</v>
      </c>
      <c r="B1166" s="168" t="s">
        <v>363</v>
      </c>
      <c r="C1166" s="168" t="s">
        <v>407</v>
      </c>
      <c r="D1166" s="169" t="s">
        <v>344</v>
      </c>
    </row>
    <row r="1167">
      <c r="A1167" s="170">
        <v>42684.0</v>
      </c>
      <c r="B1167" s="168" t="s">
        <v>363</v>
      </c>
      <c r="C1167" s="168" t="s">
        <v>407</v>
      </c>
      <c r="D1167" s="169" t="s">
        <v>344</v>
      </c>
    </row>
    <row r="1168">
      <c r="A1168" s="170">
        <v>42685.0</v>
      </c>
      <c r="B1168" s="168" t="s">
        <v>363</v>
      </c>
      <c r="C1168" s="168" t="s">
        <v>407</v>
      </c>
      <c r="D1168" s="169" t="s">
        <v>344</v>
      </c>
    </row>
    <row r="1169">
      <c r="A1169" s="170">
        <v>42686.0</v>
      </c>
      <c r="B1169" s="168" t="s">
        <v>363</v>
      </c>
      <c r="C1169" s="168" t="s">
        <v>407</v>
      </c>
      <c r="D1169" s="169" t="s">
        <v>344</v>
      </c>
    </row>
    <row r="1170">
      <c r="A1170" s="170">
        <v>42687.0</v>
      </c>
      <c r="B1170" s="168" t="s">
        <v>363</v>
      </c>
      <c r="C1170" s="168" t="s">
        <v>407</v>
      </c>
      <c r="D1170" s="169" t="s">
        <v>344</v>
      </c>
    </row>
    <row r="1171">
      <c r="A1171" s="170">
        <v>42688.0</v>
      </c>
      <c r="B1171" s="168" t="s">
        <v>364</v>
      </c>
      <c r="C1171" s="168" t="s">
        <v>407</v>
      </c>
      <c r="D1171" s="169" t="s">
        <v>344</v>
      </c>
    </row>
    <row r="1172">
      <c r="A1172" s="170">
        <v>42689.0</v>
      </c>
      <c r="B1172" s="168" t="s">
        <v>364</v>
      </c>
      <c r="C1172" s="168" t="s">
        <v>407</v>
      </c>
      <c r="D1172" s="169" t="s">
        <v>344</v>
      </c>
    </row>
    <row r="1173">
      <c r="A1173" s="170">
        <v>42690.0</v>
      </c>
      <c r="B1173" s="168" t="s">
        <v>364</v>
      </c>
      <c r="C1173" s="168" t="s">
        <v>407</v>
      </c>
      <c r="D1173" s="169" t="s">
        <v>344</v>
      </c>
    </row>
    <row r="1174">
      <c r="A1174" s="170">
        <v>42691.0</v>
      </c>
      <c r="B1174" s="168" t="s">
        <v>364</v>
      </c>
      <c r="C1174" s="168" t="s">
        <v>407</v>
      </c>
      <c r="D1174" s="169" t="s">
        <v>344</v>
      </c>
    </row>
    <row r="1175">
      <c r="A1175" s="170">
        <v>42692.0</v>
      </c>
      <c r="B1175" s="168" t="s">
        <v>364</v>
      </c>
      <c r="C1175" s="168" t="s">
        <v>407</v>
      </c>
      <c r="D1175" s="169" t="s">
        <v>344</v>
      </c>
    </row>
    <row r="1176">
      <c r="A1176" s="170">
        <v>42693.0</v>
      </c>
      <c r="B1176" s="168" t="s">
        <v>364</v>
      </c>
      <c r="C1176" s="168" t="s">
        <v>407</v>
      </c>
      <c r="D1176" s="169" t="s">
        <v>344</v>
      </c>
    </row>
    <row r="1177">
      <c r="A1177" s="170">
        <v>42694.0</v>
      </c>
      <c r="B1177" s="168" t="s">
        <v>364</v>
      </c>
      <c r="C1177" s="168" t="s">
        <v>407</v>
      </c>
      <c r="D1177" s="169" t="s">
        <v>344</v>
      </c>
    </row>
    <row r="1178">
      <c r="A1178" s="170">
        <v>42695.0</v>
      </c>
      <c r="B1178" s="168" t="s">
        <v>365</v>
      </c>
      <c r="C1178" s="168" t="s">
        <v>407</v>
      </c>
      <c r="D1178" s="169" t="s">
        <v>345</v>
      </c>
    </row>
    <row r="1179">
      <c r="A1179" s="170">
        <v>42696.0</v>
      </c>
      <c r="B1179" s="168" t="s">
        <v>365</v>
      </c>
      <c r="C1179" s="168" t="s">
        <v>407</v>
      </c>
      <c r="D1179" s="169" t="s">
        <v>345</v>
      </c>
    </row>
    <row r="1180">
      <c r="A1180" s="170">
        <v>42697.0</v>
      </c>
      <c r="B1180" s="168" t="s">
        <v>365</v>
      </c>
      <c r="C1180" s="168" t="s">
        <v>407</v>
      </c>
      <c r="D1180" s="169" t="s">
        <v>345</v>
      </c>
    </row>
    <row r="1181">
      <c r="A1181" s="170">
        <v>42698.0</v>
      </c>
      <c r="B1181" s="168" t="s">
        <v>365</v>
      </c>
      <c r="C1181" s="168" t="s">
        <v>407</v>
      </c>
      <c r="D1181" s="169" t="s">
        <v>345</v>
      </c>
    </row>
    <row r="1182">
      <c r="A1182" s="170">
        <v>42699.0</v>
      </c>
      <c r="B1182" s="168" t="s">
        <v>365</v>
      </c>
      <c r="C1182" s="168" t="s">
        <v>407</v>
      </c>
      <c r="D1182" s="169" t="s">
        <v>345</v>
      </c>
    </row>
    <row r="1183">
      <c r="A1183" s="170">
        <v>42700.0</v>
      </c>
      <c r="B1183" s="168" t="s">
        <v>365</v>
      </c>
      <c r="C1183" s="168" t="s">
        <v>407</v>
      </c>
      <c r="D1183" s="169" t="s">
        <v>345</v>
      </c>
    </row>
    <row r="1184">
      <c r="A1184" s="170">
        <v>42701.0</v>
      </c>
      <c r="B1184" s="168" t="s">
        <v>365</v>
      </c>
      <c r="C1184" s="168" t="s">
        <v>407</v>
      </c>
      <c r="D1184" s="169" t="s">
        <v>345</v>
      </c>
    </row>
    <row r="1185">
      <c r="A1185" s="170">
        <v>42702.0</v>
      </c>
      <c r="B1185" s="168" t="s">
        <v>366</v>
      </c>
      <c r="C1185" s="168" t="s">
        <v>407</v>
      </c>
      <c r="D1185" s="169" t="s">
        <v>345</v>
      </c>
    </row>
    <row r="1186">
      <c r="A1186" s="170">
        <v>42703.0</v>
      </c>
      <c r="B1186" s="168" t="s">
        <v>366</v>
      </c>
      <c r="C1186" s="168" t="s">
        <v>407</v>
      </c>
      <c r="D1186" s="169" t="s">
        <v>345</v>
      </c>
    </row>
    <row r="1187">
      <c r="A1187" s="170">
        <v>42704.0</v>
      </c>
      <c r="B1187" s="168" t="s">
        <v>366</v>
      </c>
      <c r="C1187" s="168" t="s">
        <v>407</v>
      </c>
      <c r="D1187" s="169" t="s">
        <v>345</v>
      </c>
    </row>
    <row r="1188">
      <c r="A1188" s="170">
        <v>42705.0</v>
      </c>
      <c r="B1188" s="168" t="s">
        <v>366</v>
      </c>
      <c r="C1188" s="168" t="s">
        <v>407</v>
      </c>
      <c r="D1188" s="169" t="s">
        <v>345</v>
      </c>
    </row>
    <row r="1189">
      <c r="A1189" s="170">
        <v>42706.0</v>
      </c>
      <c r="B1189" s="168" t="s">
        <v>366</v>
      </c>
      <c r="C1189" s="168" t="s">
        <v>407</v>
      </c>
      <c r="D1189" s="169" t="s">
        <v>345</v>
      </c>
    </row>
    <row r="1190">
      <c r="A1190" s="170">
        <v>42707.0</v>
      </c>
      <c r="B1190" s="168" t="s">
        <v>366</v>
      </c>
      <c r="C1190" s="168" t="s">
        <v>407</v>
      </c>
      <c r="D1190" s="169" t="s">
        <v>345</v>
      </c>
    </row>
    <row r="1191">
      <c r="A1191" s="170">
        <v>42708.0</v>
      </c>
      <c r="B1191" s="168" t="s">
        <v>366</v>
      </c>
      <c r="C1191" s="168" t="s">
        <v>407</v>
      </c>
      <c r="D1191" s="169" t="s">
        <v>345</v>
      </c>
    </row>
    <row r="1192">
      <c r="A1192" s="170">
        <v>42709.0</v>
      </c>
      <c r="B1192" s="168" t="s">
        <v>367</v>
      </c>
      <c r="C1192" s="168" t="s">
        <v>407</v>
      </c>
      <c r="D1192" s="169" t="s">
        <v>345</v>
      </c>
    </row>
    <row r="1193">
      <c r="A1193" s="170">
        <v>42710.0</v>
      </c>
      <c r="B1193" s="168" t="s">
        <v>367</v>
      </c>
      <c r="C1193" s="168" t="s">
        <v>407</v>
      </c>
      <c r="D1193" s="169" t="s">
        <v>345</v>
      </c>
    </row>
    <row r="1194">
      <c r="A1194" s="170">
        <v>42711.0</v>
      </c>
      <c r="B1194" s="168" t="s">
        <v>367</v>
      </c>
      <c r="C1194" s="168" t="s">
        <v>407</v>
      </c>
      <c r="D1194" s="169" t="s">
        <v>345</v>
      </c>
    </row>
    <row r="1195">
      <c r="A1195" s="170">
        <v>42712.0</v>
      </c>
      <c r="B1195" s="168" t="s">
        <v>367</v>
      </c>
      <c r="C1195" s="168" t="s">
        <v>407</v>
      </c>
      <c r="D1195" s="169" t="s">
        <v>345</v>
      </c>
    </row>
    <row r="1196">
      <c r="A1196" s="170">
        <v>42713.0</v>
      </c>
      <c r="B1196" s="168" t="s">
        <v>367</v>
      </c>
      <c r="C1196" s="168" t="s">
        <v>407</v>
      </c>
      <c r="D1196" s="169" t="s">
        <v>345</v>
      </c>
    </row>
    <row r="1197">
      <c r="A1197" s="170">
        <v>42714.0</v>
      </c>
      <c r="B1197" s="168" t="s">
        <v>367</v>
      </c>
      <c r="C1197" s="168" t="s">
        <v>407</v>
      </c>
      <c r="D1197" s="169" t="s">
        <v>345</v>
      </c>
    </row>
    <row r="1198">
      <c r="A1198" s="170">
        <v>42715.0</v>
      </c>
      <c r="B1198" s="168" t="s">
        <v>367</v>
      </c>
      <c r="C1198" s="168" t="s">
        <v>407</v>
      </c>
      <c r="D1198" s="169" t="s">
        <v>345</v>
      </c>
    </row>
    <row r="1199">
      <c r="A1199" s="170">
        <v>42716.0</v>
      </c>
      <c r="B1199" s="168" t="s">
        <v>368</v>
      </c>
      <c r="C1199" s="168" t="s">
        <v>407</v>
      </c>
      <c r="D1199" s="169" t="s">
        <v>345</v>
      </c>
    </row>
    <row r="1200">
      <c r="A1200" s="170">
        <v>42717.0</v>
      </c>
      <c r="B1200" s="168" t="s">
        <v>368</v>
      </c>
      <c r="C1200" s="168" t="s">
        <v>407</v>
      </c>
      <c r="D1200" s="169" t="s">
        <v>345</v>
      </c>
    </row>
    <row r="1201">
      <c r="A1201" s="170">
        <v>42718.0</v>
      </c>
      <c r="B1201" s="168" t="s">
        <v>368</v>
      </c>
      <c r="C1201" s="168" t="s">
        <v>407</v>
      </c>
      <c r="D1201" s="169" t="s">
        <v>345</v>
      </c>
    </row>
    <row r="1202">
      <c r="A1202" s="170">
        <v>42719.0</v>
      </c>
      <c r="B1202" s="168" t="s">
        <v>368</v>
      </c>
      <c r="C1202" s="168" t="s">
        <v>407</v>
      </c>
      <c r="D1202" s="169" t="s">
        <v>345</v>
      </c>
    </row>
    <row r="1203">
      <c r="A1203" s="170">
        <v>42720.0</v>
      </c>
      <c r="B1203" s="168" t="s">
        <v>368</v>
      </c>
      <c r="C1203" s="168" t="s">
        <v>407</v>
      </c>
      <c r="D1203" s="169" t="s">
        <v>345</v>
      </c>
    </row>
    <row r="1204">
      <c r="A1204" s="170">
        <v>42721.0</v>
      </c>
      <c r="B1204" s="168" t="s">
        <v>368</v>
      </c>
      <c r="C1204" s="168" t="s">
        <v>407</v>
      </c>
      <c r="D1204" s="169" t="s">
        <v>345</v>
      </c>
    </row>
    <row r="1205">
      <c r="A1205" s="170">
        <v>42722.0</v>
      </c>
      <c r="B1205" s="168" t="s">
        <v>368</v>
      </c>
      <c r="C1205" s="168" t="s">
        <v>407</v>
      </c>
      <c r="D1205" s="169" t="s">
        <v>345</v>
      </c>
    </row>
    <row r="1206">
      <c r="A1206" s="170">
        <v>42723.0</v>
      </c>
      <c r="B1206" s="168" t="s">
        <v>369</v>
      </c>
      <c r="C1206" s="168" t="s">
        <v>407</v>
      </c>
      <c r="D1206" s="169" t="s">
        <v>346</v>
      </c>
    </row>
    <row r="1207">
      <c r="A1207" s="170">
        <v>42724.0</v>
      </c>
      <c r="B1207" s="168" t="s">
        <v>369</v>
      </c>
      <c r="C1207" s="168" t="s">
        <v>407</v>
      </c>
      <c r="D1207" s="169" t="s">
        <v>346</v>
      </c>
    </row>
    <row r="1208">
      <c r="A1208" s="170">
        <v>42725.0</v>
      </c>
      <c r="B1208" s="168" t="s">
        <v>369</v>
      </c>
      <c r="C1208" s="168" t="s">
        <v>407</v>
      </c>
      <c r="D1208" s="169" t="s">
        <v>346</v>
      </c>
    </row>
    <row r="1209">
      <c r="A1209" s="170">
        <v>42726.0</v>
      </c>
      <c r="B1209" s="168" t="s">
        <v>369</v>
      </c>
      <c r="C1209" s="168" t="s">
        <v>407</v>
      </c>
      <c r="D1209" s="169" t="s">
        <v>346</v>
      </c>
    </row>
    <row r="1210">
      <c r="A1210" s="170">
        <v>42727.0</v>
      </c>
      <c r="B1210" s="168" t="s">
        <v>369</v>
      </c>
      <c r="C1210" s="168" t="s">
        <v>407</v>
      </c>
      <c r="D1210" s="169" t="s">
        <v>346</v>
      </c>
    </row>
    <row r="1211">
      <c r="A1211" s="170">
        <v>42728.0</v>
      </c>
      <c r="B1211" s="168" t="s">
        <v>369</v>
      </c>
      <c r="C1211" s="168" t="s">
        <v>407</v>
      </c>
      <c r="D1211" s="169" t="s">
        <v>346</v>
      </c>
    </row>
    <row r="1212">
      <c r="A1212" s="170">
        <v>42729.0</v>
      </c>
      <c r="B1212" s="168" t="s">
        <v>369</v>
      </c>
      <c r="C1212" s="168" t="s">
        <v>407</v>
      </c>
      <c r="D1212" s="169" t="s">
        <v>346</v>
      </c>
    </row>
    <row r="1213">
      <c r="A1213" s="170">
        <v>42730.0</v>
      </c>
      <c r="B1213" s="168" t="s">
        <v>370</v>
      </c>
      <c r="C1213" s="168" t="s">
        <v>407</v>
      </c>
      <c r="D1213" s="169" t="s">
        <v>346</v>
      </c>
    </row>
    <row r="1214">
      <c r="A1214" s="170">
        <v>42731.0</v>
      </c>
      <c r="B1214" s="168" t="s">
        <v>370</v>
      </c>
      <c r="C1214" s="168" t="s">
        <v>407</v>
      </c>
      <c r="D1214" s="169" t="s">
        <v>346</v>
      </c>
    </row>
    <row r="1215">
      <c r="A1215" s="170">
        <v>42732.0</v>
      </c>
      <c r="B1215" s="168" t="s">
        <v>370</v>
      </c>
      <c r="C1215" s="168" t="s">
        <v>407</v>
      </c>
      <c r="D1215" s="169" t="s">
        <v>346</v>
      </c>
    </row>
    <row r="1216">
      <c r="A1216" s="170">
        <v>42733.0</v>
      </c>
      <c r="B1216" s="168" t="s">
        <v>370</v>
      </c>
      <c r="C1216" s="168" t="s">
        <v>407</v>
      </c>
      <c r="D1216" s="169" t="s">
        <v>346</v>
      </c>
    </row>
    <row r="1217">
      <c r="A1217" s="170">
        <v>42734.0</v>
      </c>
      <c r="B1217" s="168" t="s">
        <v>370</v>
      </c>
      <c r="C1217" s="168" t="s">
        <v>407</v>
      </c>
      <c r="D1217" s="169" t="s">
        <v>346</v>
      </c>
    </row>
    <row r="1218">
      <c r="A1218" s="170">
        <v>42735.0</v>
      </c>
      <c r="B1218" s="168" t="s">
        <v>370</v>
      </c>
      <c r="C1218" s="168" t="s">
        <v>407</v>
      </c>
      <c r="D1218" s="169" t="s">
        <v>346</v>
      </c>
    </row>
    <row r="1219">
      <c r="A1219" s="170">
        <v>42736.0</v>
      </c>
      <c r="B1219" s="168" t="s">
        <v>370</v>
      </c>
      <c r="C1219" s="168" t="s">
        <v>407</v>
      </c>
      <c r="D1219" s="169" t="s">
        <v>346</v>
      </c>
    </row>
    <row r="1220">
      <c r="A1220" s="170">
        <v>42737.0</v>
      </c>
      <c r="B1220" s="168" t="s">
        <v>371</v>
      </c>
      <c r="C1220" s="168" t="s">
        <v>407</v>
      </c>
      <c r="D1220" s="169" t="s">
        <v>346</v>
      </c>
    </row>
    <row r="1221">
      <c r="A1221" s="170">
        <v>42738.0</v>
      </c>
      <c r="B1221" s="168" t="s">
        <v>371</v>
      </c>
      <c r="C1221" s="168" t="s">
        <v>407</v>
      </c>
      <c r="D1221" s="169" t="s">
        <v>346</v>
      </c>
    </row>
    <row r="1222">
      <c r="A1222" s="170">
        <v>42739.0</v>
      </c>
      <c r="B1222" s="168" t="s">
        <v>371</v>
      </c>
      <c r="C1222" s="168" t="s">
        <v>407</v>
      </c>
      <c r="D1222" s="169" t="s">
        <v>346</v>
      </c>
    </row>
    <row r="1223">
      <c r="A1223" s="170">
        <v>42740.0</v>
      </c>
      <c r="B1223" s="168" t="s">
        <v>371</v>
      </c>
      <c r="C1223" s="168" t="s">
        <v>407</v>
      </c>
      <c r="D1223" s="169" t="s">
        <v>346</v>
      </c>
    </row>
    <row r="1224">
      <c r="A1224" s="170">
        <v>42741.0</v>
      </c>
      <c r="B1224" s="168" t="s">
        <v>371</v>
      </c>
      <c r="C1224" s="168" t="s">
        <v>407</v>
      </c>
      <c r="D1224" s="169" t="s">
        <v>346</v>
      </c>
    </row>
    <row r="1225">
      <c r="A1225" s="170">
        <v>42742.0</v>
      </c>
      <c r="B1225" s="168" t="s">
        <v>371</v>
      </c>
      <c r="C1225" s="168" t="s">
        <v>407</v>
      </c>
      <c r="D1225" s="169" t="s">
        <v>346</v>
      </c>
    </row>
    <row r="1226">
      <c r="A1226" s="170">
        <v>42743.0</v>
      </c>
      <c r="B1226" s="168" t="s">
        <v>371</v>
      </c>
      <c r="C1226" s="168" t="s">
        <v>407</v>
      </c>
      <c r="D1226" s="169" t="s">
        <v>346</v>
      </c>
    </row>
    <row r="1227">
      <c r="A1227" s="170">
        <v>42744.0</v>
      </c>
      <c r="B1227" s="168" t="s">
        <v>372</v>
      </c>
      <c r="C1227" s="168" t="s">
        <v>407</v>
      </c>
      <c r="D1227" s="169" t="s">
        <v>346</v>
      </c>
    </row>
    <row r="1228">
      <c r="A1228" s="170">
        <v>42745.0</v>
      </c>
      <c r="B1228" s="168" t="s">
        <v>372</v>
      </c>
      <c r="C1228" s="168" t="s">
        <v>407</v>
      </c>
      <c r="D1228" s="169" t="s">
        <v>346</v>
      </c>
    </row>
    <row r="1229">
      <c r="A1229" s="170">
        <v>42746.0</v>
      </c>
      <c r="B1229" s="168" t="s">
        <v>372</v>
      </c>
      <c r="C1229" s="168" t="s">
        <v>407</v>
      </c>
      <c r="D1229" s="169" t="s">
        <v>346</v>
      </c>
    </row>
    <row r="1230">
      <c r="A1230" s="170">
        <v>42747.0</v>
      </c>
      <c r="B1230" s="168" t="s">
        <v>372</v>
      </c>
      <c r="C1230" s="168" t="s">
        <v>407</v>
      </c>
      <c r="D1230" s="169" t="s">
        <v>346</v>
      </c>
    </row>
    <row r="1231">
      <c r="A1231" s="170">
        <v>42748.0</v>
      </c>
      <c r="B1231" s="168" t="s">
        <v>372</v>
      </c>
      <c r="C1231" s="168" t="s">
        <v>407</v>
      </c>
      <c r="D1231" s="169" t="s">
        <v>346</v>
      </c>
    </row>
    <row r="1232">
      <c r="A1232" s="170">
        <v>42749.0</v>
      </c>
      <c r="B1232" s="168" t="s">
        <v>372</v>
      </c>
      <c r="C1232" s="168" t="s">
        <v>407</v>
      </c>
      <c r="D1232" s="169" t="s">
        <v>346</v>
      </c>
    </row>
    <row r="1233">
      <c r="A1233" s="170">
        <v>42750.0</v>
      </c>
      <c r="B1233" s="168" t="s">
        <v>372</v>
      </c>
      <c r="C1233" s="168" t="s">
        <v>407</v>
      </c>
      <c r="D1233" s="169" t="s">
        <v>346</v>
      </c>
    </row>
    <row r="1234">
      <c r="A1234" s="170">
        <v>42751.0</v>
      </c>
      <c r="B1234" s="168" t="s">
        <v>373</v>
      </c>
      <c r="C1234" s="168" t="s">
        <v>407</v>
      </c>
      <c r="D1234" s="169" t="s">
        <v>347</v>
      </c>
    </row>
    <row r="1235">
      <c r="A1235" s="170">
        <v>42752.0</v>
      </c>
      <c r="B1235" s="168" t="s">
        <v>373</v>
      </c>
      <c r="C1235" s="168" t="s">
        <v>407</v>
      </c>
      <c r="D1235" s="169" t="s">
        <v>347</v>
      </c>
    </row>
    <row r="1236">
      <c r="A1236" s="170">
        <v>42753.0</v>
      </c>
      <c r="B1236" s="168" t="s">
        <v>373</v>
      </c>
      <c r="C1236" s="168" t="s">
        <v>407</v>
      </c>
      <c r="D1236" s="169" t="s">
        <v>347</v>
      </c>
    </row>
    <row r="1237">
      <c r="A1237" s="170">
        <v>42754.0</v>
      </c>
      <c r="B1237" s="168" t="s">
        <v>373</v>
      </c>
      <c r="C1237" s="168" t="s">
        <v>407</v>
      </c>
      <c r="D1237" s="169" t="s">
        <v>347</v>
      </c>
    </row>
    <row r="1238">
      <c r="A1238" s="170">
        <v>42755.0</v>
      </c>
      <c r="B1238" s="168" t="s">
        <v>373</v>
      </c>
      <c r="C1238" s="168" t="s">
        <v>407</v>
      </c>
      <c r="D1238" s="169" t="s">
        <v>347</v>
      </c>
    </row>
    <row r="1239">
      <c r="A1239" s="170">
        <v>42756.0</v>
      </c>
      <c r="B1239" s="168" t="s">
        <v>373</v>
      </c>
      <c r="C1239" s="168" t="s">
        <v>407</v>
      </c>
      <c r="D1239" s="169" t="s">
        <v>347</v>
      </c>
    </row>
    <row r="1240">
      <c r="A1240" s="170">
        <v>42757.0</v>
      </c>
      <c r="B1240" s="168" t="s">
        <v>373</v>
      </c>
      <c r="C1240" s="168" t="s">
        <v>407</v>
      </c>
      <c r="D1240" s="169" t="s">
        <v>347</v>
      </c>
    </row>
    <row r="1241">
      <c r="A1241" s="170">
        <v>42758.0</v>
      </c>
      <c r="B1241" s="168" t="s">
        <v>374</v>
      </c>
      <c r="C1241" s="168" t="s">
        <v>407</v>
      </c>
      <c r="D1241" s="169" t="s">
        <v>347</v>
      </c>
    </row>
    <row r="1242">
      <c r="A1242" s="170">
        <v>42759.0</v>
      </c>
      <c r="B1242" s="168" t="s">
        <v>374</v>
      </c>
      <c r="C1242" s="168" t="s">
        <v>407</v>
      </c>
      <c r="D1242" s="169" t="s">
        <v>347</v>
      </c>
    </row>
    <row r="1243">
      <c r="A1243" s="170">
        <v>42760.0</v>
      </c>
      <c r="B1243" s="168" t="s">
        <v>374</v>
      </c>
      <c r="C1243" s="168" t="s">
        <v>407</v>
      </c>
      <c r="D1243" s="169" t="s">
        <v>347</v>
      </c>
    </row>
    <row r="1244">
      <c r="A1244" s="170">
        <v>42761.0</v>
      </c>
      <c r="B1244" s="168" t="s">
        <v>374</v>
      </c>
      <c r="C1244" s="168" t="s">
        <v>407</v>
      </c>
      <c r="D1244" s="169" t="s">
        <v>347</v>
      </c>
    </row>
    <row r="1245">
      <c r="A1245" s="170">
        <v>42762.0</v>
      </c>
      <c r="B1245" s="168" t="s">
        <v>374</v>
      </c>
      <c r="C1245" s="168" t="s">
        <v>407</v>
      </c>
      <c r="D1245" s="169" t="s">
        <v>347</v>
      </c>
    </row>
    <row r="1246">
      <c r="A1246" s="170">
        <v>42763.0</v>
      </c>
      <c r="B1246" s="168" t="s">
        <v>374</v>
      </c>
      <c r="C1246" s="168" t="s">
        <v>407</v>
      </c>
      <c r="D1246" s="169" t="s">
        <v>347</v>
      </c>
    </row>
    <row r="1247">
      <c r="A1247" s="170">
        <v>42764.0</v>
      </c>
      <c r="B1247" s="168" t="s">
        <v>374</v>
      </c>
      <c r="C1247" s="168" t="s">
        <v>407</v>
      </c>
      <c r="D1247" s="169" t="s">
        <v>347</v>
      </c>
    </row>
    <row r="1248">
      <c r="A1248" s="170">
        <v>42765.0</v>
      </c>
      <c r="B1248" s="168" t="s">
        <v>375</v>
      </c>
      <c r="C1248" s="168" t="s">
        <v>407</v>
      </c>
      <c r="D1248" s="169" t="s">
        <v>347</v>
      </c>
    </row>
    <row r="1249">
      <c r="A1249" s="170">
        <v>42766.0</v>
      </c>
      <c r="B1249" s="168" t="s">
        <v>375</v>
      </c>
      <c r="C1249" s="168" t="s">
        <v>407</v>
      </c>
      <c r="D1249" s="169" t="s">
        <v>347</v>
      </c>
    </row>
    <row r="1250">
      <c r="A1250" s="170">
        <v>42767.0</v>
      </c>
      <c r="B1250" s="168" t="s">
        <v>375</v>
      </c>
      <c r="C1250" s="168" t="s">
        <v>407</v>
      </c>
      <c r="D1250" s="169" t="s">
        <v>347</v>
      </c>
    </row>
    <row r="1251">
      <c r="A1251" s="170">
        <v>42768.0</v>
      </c>
      <c r="B1251" s="168" t="s">
        <v>375</v>
      </c>
      <c r="C1251" s="168" t="s">
        <v>407</v>
      </c>
      <c r="D1251" s="169" t="s">
        <v>347</v>
      </c>
    </row>
    <row r="1252">
      <c r="A1252" s="170">
        <v>42769.0</v>
      </c>
      <c r="B1252" s="168" t="s">
        <v>375</v>
      </c>
      <c r="C1252" s="168" t="s">
        <v>407</v>
      </c>
      <c r="D1252" s="169" t="s">
        <v>347</v>
      </c>
    </row>
    <row r="1253">
      <c r="A1253" s="170">
        <v>42770.0</v>
      </c>
      <c r="B1253" s="168" t="s">
        <v>375</v>
      </c>
      <c r="C1253" s="168" t="s">
        <v>407</v>
      </c>
      <c r="D1253" s="169" t="s">
        <v>347</v>
      </c>
    </row>
    <row r="1254">
      <c r="A1254" s="170">
        <v>42771.0</v>
      </c>
      <c r="B1254" s="168" t="s">
        <v>375</v>
      </c>
      <c r="C1254" s="168" t="s">
        <v>407</v>
      </c>
      <c r="D1254" s="169" t="s">
        <v>347</v>
      </c>
    </row>
    <row r="1255">
      <c r="A1255" s="170">
        <v>42772.0</v>
      </c>
      <c r="B1255" s="168" t="s">
        <v>376</v>
      </c>
      <c r="C1255" s="168" t="s">
        <v>407</v>
      </c>
      <c r="D1255" s="169" t="s">
        <v>347</v>
      </c>
    </row>
    <row r="1256">
      <c r="A1256" s="170">
        <v>42773.0</v>
      </c>
      <c r="B1256" s="168" t="s">
        <v>376</v>
      </c>
      <c r="C1256" s="168" t="s">
        <v>407</v>
      </c>
      <c r="D1256" s="169" t="s">
        <v>347</v>
      </c>
    </row>
    <row r="1257">
      <c r="A1257" s="170">
        <v>42774.0</v>
      </c>
      <c r="B1257" s="168" t="s">
        <v>376</v>
      </c>
      <c r="C1257" s="168" t="s">
        <v>407</v>
      </c>
      <c r="D1257" s="169" t="s">
        <v>347</v>
      </c>
    </row>
    <row r="1258">
      <c r="A1258" s="170">
        <v>42775.0</v>
      </c>
      <c r="B1258" s="168" t="s">
        <v>376</v>
      </c>
      <c r="C1258" s="168" t="s">
        <v>407</v>
      </c>
      <c r="D1258" s="169" t="s">
        <v>347</v>
      </c>
    </row>
    <row r="1259">
      <c r="A1259" s="170">
        <v>42776.0</v>
      </c>
      <c r="B1259" s="168" t="s">
        <v>376</v>
      </c>
      <c r="C1259" s="168" t="s">
        <v>407</v>
      </c>
      <c r="D1259" s="169" t="s">
        <v>347</v>
      </c>
    </row>
    <row r="1260">
      <c r="A1260" s="170">
        <v>42777.0</v>
      </c>
      <c r="B1260" s="168" t="s">
        <v>376</v>
      </c>
      <c r="C1260" s="168" t="s">
        <v>407</v>
      </c>
      <c r="D1260" s="169" t="s">
        <v>347</v>
      </c>
    </row>
    <row r="1261">
      <c r="A1261" s="170">
        <v>42778.0</v>
      </c>
      <c r="B1261" s="168" t="s">
        <v>376</v>
      </c>
      <c r="C1261" s="168" t="s">
        <v>407</v>
      </c>
      <c r="D1261" s="169" t="s">
        <v>347</v>
      </c>
    </row>
    <row r="1262">
      <c r="A1262" s="170">
        <v>42779.0</v>
      </c>
      <c r="B1262" s="168" t="s">
        <v>377</v>
      </c>
      <c r="C1262" s="168" t="s">
        <v>407</v>
      </c>
      <c r="D1262" s="169" t="s">
        <v>348</v>
      </c>
    </row>
    <row r="1263">
      <c r="A1263" s="170">
        <v>42780.0</v>
      </c>
      <c r="B1263" s="168" t="s">
        <v>377</v>
      </c>
      <c r="C1263" s="168" t="s">
        <v>407</v>
      </c>
      <c r="D1263" s="169" t="s">
        <v>348</v>
      </c>
    </row>
    <row r="1264">
      <c r="A1264" s="170">
        <v>42781.0</v>
      </c>
      <c r="B1264" s="168" t="s">
        <v>377</v>
      </c>
      <c r="C1264" s="168" t="s">
        <v>407</v>
      </c>
      <c r="D1264" s="169" t="s">
        <v>348</v>
      </c>
    </row>
    <row r="1265">
      <c r="A1265" s="170">
        <v>42782.0</v>
      </c>
      <c r="B1265" s="168" t="s">
        <v>377</v>
      </c>
      <c r="C1265" s="168" t="s">
        <v>407</v>
      </c>
      <c r="D1265" s="169" t="s">
        <v>348</v>
      </c>
    </row>
    <row r="1266">
      <c r="A1266" s="170">
        <v>42783.0</v>
      </c>
      <c r="B1266" s="168" t="s">
        <v>377</v>
      </c>
      <c r="C1266" s="168" t="s">
        <v>407</v>
      </c>
      <c r="D1266" s="169" t="s">
        <v>348</v>
      </c>
    </row>
    <row r="1267">
      <c r="A1267" s="170">
        <v>42784.0</v>
      </c>
      <c r="B1267" s="168" t="s">
        <v>377</v>
      </c>
      <c r="C1267" s="168" t="s">
        <v>407</v>
      </c>
      <c r="D1267" s="169" t="s">
        <v>348</v>
      </c>
    </row>
    <row r="1268">
      <c r="A1268" s="170">
        <v>42785.0</v>
      </c>
      <c r="B1268" s="168" t="s">
        <v>377</v>
      </c>
      <c r="C1268" s="168" t="s">
        <v>407</v>
      </c>
      <c r="D1268" s="169" t="s">
        <v>348</v>
      </c>
    </row>
    <row r="1269">
      <c r="A1269" s="170">
        <v>42786.0</v>
      </c>
      <c r="B1269" s="168" t="s">
        <v>378</v>
      </c>
      <c r="C1269" s="168" t="s">
        <v>407</v>
      </c>
      <c r="D1269" s="169" t="s">
        <v>348</v>
      </c>
    </row>
    <row r="1270">
      <c r="A1270" s="170">
        <v>42787.0</v>
      </c>
      <c r="B1270" s="168" t="s">
        <v>378</v>
      </c>
      <c r="C1270" s="168" t="s">
        <v>407</v>
      </c>
      <c r="D1270" s="169" t="s">
        <v>348</v>
      </c>
    </row>
    <row r="1271">
      <c r="A1271" s="170">
        <v>42788.0</v>
      </c>
      <c r="B1271" s="168" t="s">
        <v>378</v>
      </c>
      <c r="C1271" s="168" t="s">
        <v>407</v>
      </c>
      <c r="D1271" s="169" t="s">
        <v>348</v>
      </c>
    </row>
    <row r="1272">
      <c r="A1272" s="170">
        <v>42789.0</v>
      </c>
      <c r="B1272" s="168" t="s">
        <v>378</v>
      </c>
      <c r="C1272" s="168" t="s">
        <v>407</v>
      </c>
      <c r="D1272" s="169" t="s">
        <v>348</v>
      </c>
    </row>
    <row r="1273">
      <c r="A1273" s="170">
        <v>42790.0</v>
      </c>
      <c r="B1273" s="168" t="s">
        <v>378</v>
      </c>
      <c r="C1273" s="168" t="s">
        <v>407</v>
      </c>
      <c r="D1273" s="169" t="s">
        <v>348</v>
      </c>
    </row>
    <row r="1274">
      <c r="A1274" s="170">
        <v>42791.0</v>
      </c>
      <c r="B1274" s="168" t="s">
        <v>378</v>
      </c>
      <c r="C1274" s="168" t="s">
        <v>407</v>
      </c>
      <c r="D1274" s="169" t="s">
        <v>348</v>
      </c>
    </row>
    <row r="1275">
      <c r="A1275" s="170">
        <v>42792.0</v>
      </c>
      <c r="B1275" s="168" t="s">
        <v>378</v>
      </c>
      <c r="C1275" s="168" t="s">
        <v>407</v>
      </c>
      <c r="D1275" s="169" t="s">
        <v>348</v>
      </c>
    </row>
    <row r="1276">
      <c r="A1276" s="170">
        <v>42793.0</v>
      </c>
      <c r="B1276" s="168" t="s">
        <v>379</v>
      </c>
      <c r="C1276" s="168" t="s">
        <v>407</v>
      </c>
      <c r="D1276" s="169" t="s">
        <v>348</v>
      </c>
    </row>
    <row r="1277">
      <c r="A1277" s="170">
        <v>42794.0</v>
      </c>
      <c r="B1277" s="168" t="s">
        <v>379</v>
      </c>
      <c r="C1277" s="168" t="s">
        <v>407</v>
      </c>
      <c r="D1277" s="169" t="s">
        <v>348</v>
      </c>
    </row>
    <row r="1278">
      <c r="A1278" s="170">
        <v>42795.0</v>
      </c>
      <c r="B1278" s="168" t="s">
        <v>379</v>
      </c>
      <c r="C1278" s="168" t="s">
        <v>407</v>
      </c>
      <c r="D1278" s="169" t="s">
        <v>348</v>
      </c>
    </row>
    <row r="1279">
      <c r="A1279" s="170">
        <v>42796.0</v>
      </c>
      <c r="B1279" s="168" t="s">
        <v>379</v>
      </c>
      <c r="C1279" s="168" t="s">
        <v>407</v>
      </c>
      <c r="D1279" s="169" t="s">
        <v>348</v>
      </c>
    </row>
    <row r="1280">
      <c r="A1280" s="170">
        <v>42797.0</v>
      </c>
      <c r="B1280" s="168" t="s">
        <v>379</v>
      </c>
      <c r="C1280" s="168" t="s">
        <v>407</v>
      </c>
      <c r="D1280" s="169" t="s">
        <v>348</v>
      </c>
    </row>
    <row r="1281">
      <c r="A1281" s="170">
        <v>42798.0</v>
      </c>
      <c r="B1281" s="168" t="s">
        <v>379</v>
      </c>
      <c r="C1281" s="168" t="s">
        <v>407</v>
      </c>
      <c r="D1281" s="169" t="s">
        <v>348</v>
      </c>
    </row>
    <row r="1282">
      <c r="A1282" s="170">
        <v>42799.0</v>
      </c>
      <c r="B1282" s="168" t="s">
        <v>379</v>
      </c>
      <c r="C1282" s="168" t="s">
        <v>407</v>
      </c>
      <c r="D1282" s="169" t="s">
        <v>348</v>
      </c>
    </row>
    <row r="1283">
      <c r="A1283" s="170">
        <v>42800.0</v>
      </c>
      <c r="B1283" s="168" t="s">
        <v>380</v>
      </c>
      <c r="C1283" s="168" t="s">
        <v>407</v>
      </c>
      <c r="D1283" s="169" t="s">
        <v>348</v>
      </c>
    </row>
    <row r="1284">
      <c r="A1284" s="170">
        <v>42801.0</v>
      </c>
      <c r="B1284" s="168" t="s">
        <v>380</v>
      </c>
      <c r="C1284" s="168" t="s">
        <v>407</v>
      </c>
      <c r="D1284" s="169" t="s">
        <v>348</v>
      </c>
    </row>
    <row r="1285">
      <c r="A1285" s="170">
        <v>42802.0</v>
      </c>
      <c r="B1285" s="168" t="s">
        <v>380</v>
      </c>
      <c r="C1285" s="168" t="s">
        <v>407</v>
      </c>
      <c r="D1285" s="169" t="s">
        <v>348</v>
      </c>
    </row>
    <row r="1286">
      <c r="A1286" s="170">
        <v>42803.0</v>
      </c>
      <c r="B1286" s="168" t="s">
        <v>380</v>
      </c>
      <c r="C1286" s="168" t="s">
        <v>407</v>
      </c>
      <c r="D1286" s="169" t="s">
        <v>348</v>
      </c>
    </row>
    <row r="1287">
      <c r="A1287" s="170">
        <v>42804.0</v>
      </c>
      <c r="B1287" s="168" t="s">
        <v>380</v>
      </c>
      <c r="C1287" s="168" t="s">
        <v>407</v>
      </c>
      <c r="D1287" s="169" t="s">
        <v>348</v>
      </c>
    </row>
    <row r="1288">
      <c r="A1288" s="170">
        <v>42805.0</v>
      </c>
      <c r="B1288" s="168" t="s">
        <v>380</v>
      </c>
      <c r="C1288" s="168" t="s">
        <v>407</v>
      </c>
      <c r="D1288" s="169" t="s">
        <v>348</v>
      </c>
    </row>
    <row r="1289">
      <c r="A1289" s="170">
        <v>42806.0</v>
      </c>
      <c r="B1289" s="168" t="s">
        <v>380</v>
      </c>
      <c r="C1289" s="168" t="s">
        <v>407</v>
      </c>
      <c r="D1289" s="169" t="s">
        <v>348</v>
      </c>
    </row>
    <row r="1290">
      <c r="A1290" s="170">
        <v>42807.0</v>
      </c>
      <c r="B1290" s="168" t="s">
        <v>381</v>
      </c>
      <c r="C1290" s="168" t="s">
        <v>407</v>
      </c>
      <c r="D1290" s="169" t="s">
        <v>349</v>
      </c>
    </row>
    <row r="1291">
      <c r="A1291" s="170">
        <v>42808.0</v>
      </c>
      <c r="B1291" s="168" t="s">
        <v>381</v>
      </c>
      <c r="C1291" s="168" t="s">
        <v>407</v>
      </c>
      <c r="D1291" s="169" t="s">
        <v>349</v>
      </c>
    </row>
    <row r="1292">
      <c r="A1292" s="170">
        <v>42809.0</v>
      </c>
      <c r="B1292" s="168" t="s">
        <v>381</v>
      </c>
      <c r="C1292" s="168" t="s">
        <v>407</v>
      </c>
      <c r="D1292" s="169" t="s">
        <v>349</v>
      </c>
    </row>
    <row r="1293">
      <c r="A1293" s="170">
        <v>42810.0</v>
      </c>
      <c r="B1293" s="168" t="s">
        <v>381</v>
      </c>
      <c r="C1293" s="168" t="s">
        <v>407</v>
      </c>
      <c r="D1293" s="169" t="s">
        <v>349</v>
      </c>
    </row>
    <row r="1294">
      <c r="A1294" s="170">
        <v>42811.0</v>
      </c>
      <c r="B1294" s="168" t="s">
        <v>381</v>
      </c>
      <c r="C1294" s="168" t="s">
        <v>407</v>
      </c>
      <c r="D1294" s="169" t="s">
        <v>349</v>
      </c>
    </row>
    <row r="1295">
      <c r="A1295" s="170">
        <v>42812.0</v>
      </c>
      <c r="B1295" s="168" t="s">
        <v>381</v>
      </c>
      <c r="C1295" s="168" t="s">
        <v>407</v>
      </c>
      <c r="D1295" s="169" t="s">
        <v>349</v>
      </c>
    </row>
    <row r="1296">
      <c r="A1296" s="170">
        <v>42813.0</v>
      </c>
      <c r="B1296" s="168" t="s">
        <v>381</v>
      </c>
      <c r="C1296" s="168" t="s">
        <v>407</v>
      </c>
      <c r="D1296" s="169" t="s">
        <v>349</v>
      </c>
    </row>
    <row r="1297">
      <c r="A1297" s="170">
        <v>42814.0</v>
      </c>
      <c r="B1297" s="168" t="s">
        <v>382</v>
      </c>
      <c r="C1297" s="168" t="s">
        <v>407</v>
      </c>
      <c r="D1297" s="169" t="s">
        <v>349</v>
      </c>
    </row>
    <row r="1298">
      <c r="A1298" s="170">
        <v>42815.0</v>
      </c>
      <c r="B1298" s="168" t="s">
        <v>382</v>
      </c>
      <c r="C1298" s="168" t="s">
        <v>407</v>
      </c>
      <c r="D1298" s="169" t="s">
        <v>349</v>
      </c>
    </row>
    <row r="1299">
      <c r="A1299" s="170">
        <v>42816.0</v>
      </c>
      <c r="B1299" s="168" t="s">
        <v>382</v>
      </c>
      <c r="C1299" s="168" t="s">
        <v>407</v>
      </c>
      <c r="D1299" s="169" t="s">
        <v>349</v>
      </c>
    </row>
    <row r="1300">
      <c r="A1300" s="170">
        <v>42817.0</v>
      </c>
      <c r="B1300" s="168" t="s">
        <v>382</v>
      </c>
      <c r="C1300" s="168" t="s">
        <v>407</v>
      </c>
      <c r="D1300" s="169" t="s">
        <v>349</v>
      </c>
    </row>
    <row r="1301">
      <c r="A1301" s="170">
        <v>42818.0</v>
      </c>
      <c r="B1301" s="168" t="s">
        <v>382</v>
      </c>
      <c r="C1301" s="168" t="s">
        <v>407</v>
      </c>
      <c r="D1301" s="169" t="s">
        <v>349</v>
      </c>
    </row>
    <row r="1302">
      <c r="A1302" s="170">
        <v>42819.0</v>
      </c>
      <c r="B1302" s="168" t="s">
        <v>382</v>
      </c>
      <c r="C1302" s="168" t="s">
        <v>407</v>
      </c>
      <c r="D1302" s="169" t="s">
        <v>349</v>
      </c>
    </row>
    <row r="1303">
      <c r="A1303" s="170">
        <v>42820.0</v>
      </c>
      <c r="B1303" s="168" t="s">
        <v>382</v>
      </c>
      <c r="C1303" s="168" t="s">
        <v>407</v>
      </c>
      <c r="D1303" s="169" t="s">
        <v>349</v>
      </c>
    </row>
    <row r="1304">
      <c r="A1304" s="170">
        <v>42821.0</v>
      </c>
      <c r="B1304" s="168" t="s">
        <v>383</v>
      </c>
      <c r="C1304" s="168" t="s">
        <v>407</v>
      </c>
      <c r="D1304" s="169" t="s">
        <v>349</v>
      </c>
    </row>
    <row r="1305">
      <c r="A1305" s="170">
        <v>42822.0</v>
      </c>
      <c r="B1305" s="168" t="s">
        <v>383</v>
      </c>
      <c r="C1305" s="168" t="s">
        <v>407</v>
      </c>
      <c r="D1305" s="169" t="s">
        <v>349</v>
      </c>
    </row>
    <row r="1306">
      <c r="A1306" s="170">
        <v>42823.0</v>
      </c>
      <c r="B1306" s="168" t="s">
        <v>383</v>
      </c>
      <c r="C1306" s="168" t="s">
        <v>407</v>
      </c>
      <c r="D1306" s="169" t="s">
        <v>349</v>
      </c>
    </row>
    <row r="1307">
      <c r="A1307" s="170">
        <v>42824.0</v>
      </c>
      <c r="B1307" s="168" t="s">
        <v>383</v>
      </c>
      <c r="C1307" s="168" t="s">
        <v>407</v>
      </c>
      <c r="D1307" s="169" t="s">
        <v>349</v>
      </c>
    </row>
    <row r="1308">
      <c r="A1308" s="170">
        <v>42825.0</v>
      </c>
      <c r="B1308" s="168" t="s">
        <v>383</v>
      </c>
      <c r="C1308" s="168" t="s">
        <v>407</v>
      </c>
      <c r="D1308" s="169" t="s">
        <v>349</v>
      </c>
    </row>
    <row r="1309">
      <c r="A1309" s="170">
        <v>42826.0</v>
      </c>
      <c r="B1309" s="168" t="s">
        <v>383</v>
      </c>
      <c r="C1309" s="168" t="s">
        <v>407</v>
      </c>
      <c r="D1309" s="169" t="s">
        <v>349</v>
      </c>
    </row>
    <row r="1310">
      <c r="A1310" s="170">
        <v>42827.0</v>
      </c>
      <c r="B1310" s="168" t="s">
        <v>383</v>
      </c>
      <c r="C1310" s="168" t="s">
        <v>407</v>
      </c>
      <c r="D1310" s="169" t="s">
        <v>349</v>
      </c>
    </row>
    <row r="1311">
      <c r="A1311" s="170">
        <v>42828.0</v>
      </c>
      <c r="B1311" s="168" t="s">
        <v>384</v>
      </c>
      <c r="C1311" s="168" t="s">
        <v>407</v>
      </c>
      <c r="D1311" s="169" t="s">
        <v>349</v>
      </c>
    </row>
    <row r="1312">
      <c r="A1312" s="170">
        <v>42829.0</v>
      </c>
      <c r="B1312" s="168" t="s">
        <v>384</v>
      </c>
      <c r="C1312" s="168" t="s">
        <v>407</v>
      </c>
      <c r="D1312" s="169" t="s">
        <v>349</v>
      </c>
    </row>
    <row r="1313">
      <c r="A1313" s="170">
        <v>42830.0</v>
      </c>
      <c r="B1313" s="168" t="s">
        <v>384</v>
      </c>
      <c r="C1313" s="168" t="s">
        <v>407</v>
      </c>
      <c r="D1313" s="169" t="s">
        <v>349</v>
      </c>
    </row>
    <row r="1314">
      <c r="A1314" s="170">
        <v>42831.0</v>
      </c>
      <c r="B1314" s="168" t="s">
        <v>384</v>
      </c>
      <c r="C1314" s="168" t="s">
        <v>407</v>
      </c>
      <c r="D1314" s="169" t="s">
        <v>349</v>
      </c>
    </row>
    <row r="1315">
      <c r="A1315" s="170">
        <v>42832.0</v>
      </c>
      <c r="B1315" s="168" t="s">
        <v>384</v>
      </c>
      <c r="C1315" s="168" t="s">
        <v>407</v>
      </c>
      <c r="D1315" s="169" t="s">
        <v>349</v>
      </c>
    </row>
    <row r="1316">
      <c r="A1316" s="170">
        <v>42833.0</v>
      </c>
      <c r="B1316" s="168" t="s">
        <v>384</v>
      </c>
      <c r="C1316" s="168" t="s">
        <v>407</v>
      </c>
      <c r="D1316" s="169" t="s">
        <v>349</v>
      </c>
    </row>
    <row r="1317">
      <c r="A1317" s="170">
        <v>42834.0</v>
      </c>
      <c r="B1317" s="168" t="s">
        <v>384</v>
      </c>
      <c r="C1317" s="168" t="s">
        <v>407</v>
      </c>
      <c r="D1317" s="169" t="s">
        <v>349</v>
      </c>
    </row>
    <row r="1318">
      <c r="A1318" s="170">
        <v>42835.0</v>
      </c>
      <c r="B1318" s="168" t="s">
        <v>385</v>
      </c>
      <c r="C1318" s="168" t="s">
        <v>407</v>
      </c>
      <c r="D1318" s="169" t="s">
        <v>351</v>
      </c>
    </row>
    <row r="1319">
      <c r="A1319" s="170">
        <v>42836.0</v>
      </c>
      <c r="B1319" s="168" t="s">
        <v>385</v>
      </c>
      <c r="C1319" s="168" t="s">
        <v>407</v>
      </c>
      <c r="D1319" s="169" t="s">
        <v>351</v>
      </c>
    </row>
    <row r="1320">
      <c r="A1320" s="170">
        <v>42837.0</v>
      </c>
      <c r="B1320" s="168" t="s">
        <v>385</v>
      </c>
      <c r="C1320" s="168" t="s">
        <v>407</v>
      </c>
      <c r="D1320" s="169" t="s">
        <v>351</v>
      </c>
    </row>
    <row r="1321">
      <c r="A1321" s="170">
        <v>42838.0</v>
      </c>
      <c r="B1321" s="168" t="s">
        <v>385</v>
      </c>
      <c r="C1321" s="168" t="s">
        <v>407</v>
      </c>
      <c r="D1321" s="169" t="s">
        <v>351</v>
      </c>
    </row>
    <row r="1322">
      <c r="A1322" s="170">
        <v>42839.0</v>
      </c>
      <c r="B1322" s="168" t="s">
        <v>385</v>
      </c>
      <c r="C1322" s="168" t="s">
        <v>407</v>
      </c>
      <c r="D1322" s="169" t="s">
        <v>351</v>
      </c>
    </row>
    <row r="1323">
      <c r="A1323" s="170">
        <v>42840.0</v>
      </c>
      <c r="B1323" s="168" t="s">
        <v>385</v>
      </c>
      <c r="C1323" s="168" t="s">
        <v>407</v>
      </c>
      <c r="D1323" s="169" t="s">
        <v>351</v>
      </c>
    </row>
    <row r="1324">
      <c r="A1324" s="170">
        <v>42841.0</v>
      </c>
      <c r="B1324" s="168" t="s">
        <v>385</v>
      </c>
      <c r="C1324" s="168" t="s">
        <v>407</v>
      </c>
      <c r="D1324" s="169" t="s">
        <v>351</v>
      </c>
    </row>
    <row r="1325">
      <c r="A1325" s="170">
        <v>42842.0</v>
      </c>
      <c r="B1325" s="168" t="s">
        <v>386</v>
      </c>
      <c r="C1325" s="168" t="s">
        <v>407</v>
      </c>
      <c r="D1325" s="169" t="s">
        <v>351</v>
      </c>
    </row>
    <row r="1326">
      <c r="A1326" s="170">
        <v>42843.0</v>
      </c>
      <c r="B1326" s="168" t="s">
        <v>386</v>
      </c>
      <c r="C1326" s="168" t="s">
        <v>407</v>
      </c>
      <c r="D1326" s="169" t="s">
        <v>351</v>
      </c>
    </row>
    <row r="1327">
      <c r="A1327" s="170">
        <v>42844.0</v>
      </c>
      <c r="B1327" s="168" t="s">
        <v>386</v>
      </c>
      <c r="C1327" s="168" t="s">
        <v>407</v>
      </c>
      <c r="D1327" s="169" t="s">
        <v>351</v>
      </c>
    </row>
    <row r="1328">
      <c r="A1328" s="170">
        <v>42845.0</v>
      </c>
      <c r="B1328" s="168" t="s">
        <v>386</v>
      </c>
      <c r="C1328" s="168" t="s">
        <v>407</v>
      </c>
      <c r="D1328" s="169" t="s">
        <v>351</v>
      </c>
    </row>
    <row r="1329">
      <c r="A1329" s="170">
        <v>42846.0</v>
      </c>
      <c r="B1329" s="168" t="s">
        <v>386</v>
      </c>
      <c r="C1329" s="168" t="s">
        <v>407</v>
      </c>
      <c r="D1329" s="169" t="s">
        <v>351</v>
      </c>
    </row>
    <row r="1330">
      <c r="A1330" s="170">
        <v>42847.0</v>
      </c>
      <c r="B1330" s="168" t="s">
        <v>386</v>
      </c>
      <c r="C1330" s="168" t="s">
        <v>407</v>
      </c>
      <c r="D1330" s="169" t="s">
        <v>351</v>
      </c>
    </row>
    <row r="1331">
      <c r="A1331" s="170">
        <v>42848.0</v>
      </c>
      <c r="B1331" s="168" t="s">
        <v>386</v>
      </c>
      <c r="C1331" s="168" t="s">
        <v>407</v>
      </c>
      <c r="D1331" s="169" t="s">
        <v>351</v>
      </c>
    </row>
    <row r="1332">
      <c r="A1332" s="170">
        <v>42849.0</v>
      </c>
      <c r="B1332" s="168" t="s">
        <v>387</v>
      </c>
      <c r="C1332" s="168" t="s">
        <v>407</v>
      </c>
      <c r="D1332" s="169" t="s">
        <v>351</v>
      </c>
    </row>
    <row r="1333">
      <c r="A1333" s="170">
        <v>42850.0</v>
      </c>
      <c r="B1333" s="168" t="s">
        <v>387</v>
      </c>
      <c r="C1333" s="168" t="s">
        <v>407</v>
      </c>
      <c r="D1333" s="169" t="s">
        <v>351</v>
      </c>
    </row>
    <row r="1334">
      <c r="A1334" s="170">
        <v>42851.0</v>
      </c>
      <c r="B1334" s="168" t="s">
        <v>387</v>
      </c>
      <c r="C1334" s="168" t="s">
        <v>407</v>
      </c>
      <c r="D1334" s="169" t="s">
        <v>351</v>
      </c>
    </row>
    <row r="1335">
      <c r="A1335" s="170">
        <v>42852.0</v>
      </c>
      <c r="B1335" s="168" t="s">
        <v>387</v>
      </c>
      <c r="C1335" s="168" t="s">
        <v>407</v>
      </c>
      <c r="D1335" s="169" t="s">
        <v>351</v>
      </c>
    </row>
    <row r="1336">
      <c r="A1336" s="170">
        <v>42853.0</v>
      </c>
      <c r="B1336" s="168" t="s">
        <v>387</v>
      </c>
      <c r="C1336" s="168" t="s">
        <v>407</v>
      </c>
      <c r="D1336" s="169" t="s">
        <v>351</v>
      </c>
    </row>
    <row r="1337">
      <c r="A1337" s="170">
        <v>42854.0</v>
      </c>
      <c r="B1337" s="168" t="s">
        <v>387</v>
      </c>
      <c r="C1337" s="168" t="s">
        <v>407</v>
      </c>
      <c r="D1337" s="169" t="s">
        <v>351</v>
      </c>
    </row>
    <row r="1338">
      <c r="A1338" s="170">
        <v>42855.0</v>
      </c>
      <c r="B1338" s="168" t="s">
        <v>387</v>
      </c>
      <c r="C1338" s="168" t="s">
        <v>407</v>
      </c>
      <c r="D1338" s="169" t="s">
        <v>351</v>
      </c>
    </row>
    <row r="1339">
      <c r="A1339" s="170">
        <v>42856.0</v>
      </c>
      <c r="B1339" s="168" t="s">
        <v>388</v>
      </c>
      <c r="C1339" s="168" t="s">
        <v>407</v>
      </c>
      <c r="D1339" s="169" t="s">
        <v>351</v>
      </c>
    </row>
    <row r="1340">
      <c r="A1340" s="170">
        <v>42857.0</v>
      </c>
      <c r="B1340" s="168" t="s">
        <v>388</v>
      </c>
      <c r="C1340" s="168" t="s">
        <v>407</v>
      </c>
      <c r="D1340" s="169" t="s">
        <v>351</v>
      </c>
    </row>
    <row r="1341">
      <c r="A1341" s="170">
        <v>42858.0</v>
      </c>
      <c r="B1341" s="168" t="s">
        <v>388</v>
      </c>
      <c r="C1341" s="168" t="s">
        <v>407</v>
      </c>
      <c r="D1341" s="169" t="s">
        <v>351</v>
      </c>
    </row>
    <row r="1342">
      <c r="A1342" s="170">
        <v>42859.0</v>
      </c>
      <c r="B1342" s="168" t="s">
        <v>388</v>
      </c>
      <c r="C1342" s="168" t="s">
        <v>407</v>
      </c>
      <c r="D1342" s="169" t="s">
        <v>351</v>
      </c>
    </row>
    <row r="1343">
      <c r="A1343" s="170">
        <v>42860.0</v>
      </c>
      <c r="B1343" s="168" t="s">
        <v>388</v>
      </c>
      <c r="C1343" s="168" t="s">
        <v>407</v>
      </c>
      <c r="D1343" s="169" t="s">
        <v>351</v>
      </c>
    </row>
    <row r="1344">
      <c r="A1344" s="170">
        <v>42861.0</v>
      </c>
      <c r="B1344" s="168" t="s">
        <v>388</v>
      </c>
      <c r="C1344" s="168" t="s">
        <v>407</v>
      </c>
      <c r="D1344" s="169" t="s">
        <v>351</v>
      </c>
    </row>
    <row r="1345">
      <c r="A1345" s="170">
        <v>42862.0</v>
      </c>
      <c r="B1345" s="168" t="s">
        <v>388</v>
      </c>
      <c r="C1345" s="168" t="s">
        <v>407</v>
      </c>
      <c r="D1345" s="169" t="s">
        <v>351</v>
      </c>
    </row>
    <row r="1346">
      <c r="A1346" s="170">
        <v>42863.0</v>
      </c>
      <c r="B1346" s="168" t="s">
        <v>389</v>
      </c>
      <c r="C1346" s="168" t="s">
        <v>407</v>
      </c>
      <c r="D1346" s="169" t="s">
        <v>352</v>
      </c>
    </row>
    <row r="1347">
      <c r="A1347" s="170">
        <v>42864.0</v>
      </c>
      <c r="B1347" s="168" t="s">
        <v>389</v>
      </c>
      <c r="C1347" s="168" t="s">
        <v>407</v>
      </c>
      <c r="D1347" s="169" t="s">
        <v>352</v>
      </c>
    </row>
    <row r="1348">
      <c r="A1348" s="170">
        <v>42865.0</v>
      </c>
      <c r="B1348" s="168" t="s">
        <v>389</v>
      </c>
      <c r="C1348" s="168" t="s">
        <v>407</v>
      </c>
      <c r="D1348" s="169" t="s">
        <v>352</v>
      </c>
    </row>
    <row r="1349">
      <c r="A1349" s="170">
        <v>42866.0</v>
      </c>
      <c r="B1349" s="168" t="s">
        <v>389</v>
      </c>
      <c r="C1349" s="168" t="s">
        <v>407</v>
      </c>
      <c r="D1349" s="169" t="s">
        <v>352</v>
      </c>
    </row>
    <row r="1350">
      <c r="A1350" s="170">
        <v>42867.0</v>
      </c>
      <c r="B1350" s="168" t="s">
        <v>389</v>
      </c>
      <c r="C1350" s="168" t="s">
        <v>407</v>
      </c>
      <c r="D1350" s="169" t="s">
        <v>352</v>
      </c>
    </row>
    <row r="1351">
      <c r="A1351" s="170">
        <v>42868.0</v>
      </c>
      <c r="B1351" s="168" t="s">
        <v>389</v>
      </c>
      <c r="C1351" s="168" t="s">
        <v>407</v>
      </c>
      <c r="D1351" s="169" t="s">
        <v>352</v>
      </c>
    </row>
    <row r="1352">
      <c r="A1352" s="170">
        <v>42869.0</v>
      </c>
      <c r="B1352" s="168" t="s">
        <v>389</v>
      </c>
      <c r="C1352" s="168" t="s">
        <v>407</v>
      </c>
      <c r="D1352" s="169" t="s">
        <v>352</v>
      </c>
    </row>
    <row r="1353">
      <c r="A1353" s="170">
        <v>42870.0</v>
      </c>
      <c r="B1353" s="168" t="s">
        <v>390</v>
      </c>
      <c r="C1353" s="168" t="s">
        <v>407</v>
      </c>
      <c r="D1353" s="169" t="s">
        <v>352</v>
      </c>
    </row>
    <row r="1354">
      <c r="A1354" s="170">
        <v>42871.0</v>
      </c>
      <c r="B1354" s="168" t="s">
        <v>390</v>
      </c>
      <c r="C1354" s="168" t="s">
        <v>407</v>
      </c>
      <c r="D1354" s="169" t="s">
        <v>352</v>
      </c>
    </row>
    <row r="1355">
      <c r="A1355" s="170">
        <v>42872.0</v>
      </c>
      <c r="B1355" s="168" t="s">
        <v>390</v>
      </c>
      <c r="C1355" s="168" t="s">
        <v>407</v>
      </c>
      <c r="D1355" s="169" t="s">
        <v>352</v>
      </c>
    </row>
    <row r="1356">
      <c r="A1356" s="170">
        <v>42873.0</v>
      </c>
      <c r="B1356" s="168" t="s">
        <v>390</v>
      </c>
      <c r="C1356" s="168" t="s">
        <v>407</v>
      </c>
      <c r="D1356" s="169" t="s">
        <v>352</v>
      </c>
    </row>
    <row r="1357">
      <c r="A1357" s="170">
        <v>42874.0</v>
      </c>
      <c r="B1357" s="168" t="s">
        <v>390</v>
      </c>
      <c r="C1357" s="168" t="s">
        <v>407</v>
      </c>
      <c r="D1357" s="169" t="s">
        <v>352</v>
      </c>
    </row>
    <row r="1358">
      <c r="A1358" s="170">
        <v>42875.0</v>
      </c>
      <c r="B1358" s="168" t="s">
        <v>390</v>
      </c>
      <c r="C1358" s="168" t="s">
        <v>407</v>
      </c>
      <c r="D1358" s="169" t="s">
        <v>352</v>
      </c>
    </row>
    <row r="1359">
      <c r="A1359" s="170">
        <v>42876.0</v>
      </c>
      <c r="B1359" s="168" t="s">
        <v>390</v>
      </c>
      <c r="C1359" s="168" t="s">
        <v>407</v>
      </c>
      <c r="D1359" s="169" t="s">
        <v>352</v>
      </c>
    </row>
    <row r="1360">
      <c r="A1360" s="170">
        <v>42877.0</v>
      </c>
      <c r="B1360" s="168" t="s">
        <v>391</v>
      </c>
      <c r="C1360" s="168" t="s">
        <v>407</v>
      </c>
      <c r="D1360" s="169" t="s">
        <v>352</v>
      </c>
    </row>
    <row r="1361">
      <c r="A1361" s="170">
        <v>42878.0</v>
      </c>
      <c r="B1361" s="168" t="s">
        <v>391</v>
      </c>
      <c r="C1361" s="168" t="s">
        <v>407</v>
      </c>
      <c r="D1361" s="169" t="s">
        <v>352</v>
      </c>
    </row>
    <row r="1362">
      <c r="A1362" s="170">
        <v>42879.0</v>
      </c>
      <c r="B1362" s="168" t="s">
        <v>391</v>
      </c>
      <c r="C1362" s="168" t="s">
        <v>407</v>
      </c>
      <c r="D1362" s="169" t="s">
        <v>352</v>
      </c>
    </row>
    <row r="1363">
      <c r="A1363" s="170">
        <v>42880.0</v>
      </c>
      <c r="B1363" s="168" t="s">
        <v>391</v>
      </c>
      <c r="C1363" s="168" t="s">
        <v>407</v>
      </c>
      <c r="D1363" s="169" t="s">
        <v>352</v>
      </c>
    </row>
    <row r="1364">
      <c r="A1364" s="170">
        <v>42881.0</v>
      </c>
      <c r="B1364" s="168" t="s">
        <v>391</v>
      </c>
      <c r="C1364" s="168" t="s">
        <v>407</v>
      </c>
      <c r="D1364" s="169" t="s">
        <v>352</v>
      </c>
    </row>
    <row r="1365">
      <c r="A1365" s="170">
        <v>42882.0</v>
      </c>
      <c r="B1365" s="168" t="s">
        <v>391</v>
      </c>
      <c r="C1365" s="168" t="s">
        <v>407</v>
      </c>
      <c r="D1365" s="169" t="s">
        <v>352</v>
      </c>
    </row>
    <row r="1366">
      <c r="A1366" s="170">
        <v>42883.0</v>
      </c>
      <c r="B1366" s="168" t="s">
        <v>391</v>
      </c>
      <c r="C1366" s="168" t="s">
        <v>407</v>
      </c>
      <c r="D1366" s="169" t="s">
        <v>352</v>
      </c>
    </row>
    <row r="1367">
      <c r="A1367" s="170">
        <v>42884.0</v>
      </c>
      <c r="B1367" s="168" t="s">
        <v>392</v>
      </c>
      <c r="C1367" s="168" t="s">
        <v>407</v>
      </c>
      <c r="D1367" s="169" t="s">
        <v>352</v>
      </c>
    </row>
    <row r="1368">
      <c r="A1368" s="170">
        <v>42885.0</v>
      </c>
      <c r="B1368" s="168" t="s">
        <v>392</v>
      </c>
      <c r="C1368" s="168" t="s">
        <v>407</v>
      </c>
      <c r="D1368" s="169" t="s">
        <v>352</v>
      </c>
    </row>
    <row r="1369">
      <c r="A1369" s="170">
        <v>42886.0</v>
      </c>
      <c r="B1369" s="168" t="s">
        <v>392</v>
      </c>
      <c r="C1369" s="168" t="s">
        <v>407</v>
      </c>
      <c r="D1369" s="169" t="s">
        <v>352</v>
      </c>
    </row>
    <row r="1370">
      <c r="A1370" s="170">
        <v>42887.0</v>
      </c>
      <c r="B1370" s="168" t="s">
        <v>392</v>
      </c>
      <c r="C1370" s="168" t="s">
        <v>407</v>
      </c>
      <c r="D1370" s="169" t="s">
        <v>352</v>
      </c>
    </row>
    <row r="1371">
      <c r="A1371" s="170">
        <v>42888.0</v>
      </c>
      <c r="B1371" s="168" t="s">
        <v>392</v>
      </c>
      <c r="C1371" s="168" t="s">
        <v>407</v>
      </c>
      <c r="D1371" s="169" t="s">
        <v>352</v>
      </c>
    </row>
    <row r="1372">
      <c r="A1372" s="170">
        <v>42889.0</v>
      </c>
      <c r="B1372" s="168" t="s">
        <v>392</v>
      </c>
      <c r="C1372" s="168" t="s">
        <v>407</v>
      </c>
      <c r="D1372" s="169" t="s">
        <v>352</v>
      </c>
    </row>
    <row r="1373">
      <c r="A1373" s="170">
        <v>42890.0</v>
      </c>
      <c r="B1373" s="168" t="s">
        <v>392</v>
      </c>
      <c r="C1373" s="168" t="s">
        <v>407</v>
      </c>
      <c r="D1373" s="169" t="s">
        <v>352</v>
      </c>
    </row>
    <row r="1374">
      <c r="A1374" s="170">
        <v>42891.0</v>
      </c>
      <c r="B1374" s="168" t="s">
        <v>393</v>
      </c>
      <c r="C1374" s="168" t="s">
        <v>407</v>
      </c>
      <c r="D1374" s="169" t="s">
        <v>353</v>
      </c>
    </row>
    <row r="1375">
      <c r="A1375" s="170">
        <v>42892.0</v>
      </c>
      <c r="B1375" s="168" t="s">
        <v>393</v>
      </c>
      <c r="C1375" s="168" t="s">
        <v>407</v>
      </c>
      <c r="D1375" s="169" t="s">
        <v>353</v>
      </c>
    </row>
    <row r="1376">
      <c r="A1376" s="170">
        <v>42893.0</v>
      </c>
      <c r="B1376" s="168" t="s">
        <v>393</v>
      </c>
      <c r="C1376" s="168" t="s">
        <v>407</v>
      </c>
      <c r="D1376" s="169" t="s">
        <v>353</v>
      </c>
    </row>
    <row r="1377">
      <c r="A1377" s="170">
        <v>42894.0</v>
      </c>
      <c r="B1377" s="168" t="s">
        <v>393</v>
      </c>
      <c r="C1377" s="168" t="s">
        <v>407</v>
      </c>
      <c r="D1377" s="169" t="s">
        <v>353</v>
      </c>
    </row>
    <row r="1378">
      <c r="A1378" s="170">
        <v>42895.0</v>
      </c>
      <c r="B1378" s="168" t="s">
        <v>393</v>
      </c>
      <c r="C1378" s="168" t="s">
        <v>407</v>
      </c>
      <c r="D1378" s="169" t="s">
        <v>353</v>
      </c>
    </row>
    <row r="1379">
      <c r="A1379" s="170">
        <v>42896.0</v>
      </c>
      <c r="B1379" s="168" t="s">
        <v>393</v>
      </c>
      <c r="C1379" s="168" t="s">
        <v>407</v>
      </c>
      <c r="D1379" s="169" t="s">
        <v>353</v>
      </c>
    </row>
    <row r="1380">
      <c r="A1380" s="170">
        <v>42897.0</v>
      </c>
      <c r="B1380" s="168" t="s">
        <v>393</v>
      </c>
      <c r="C1380" s="168" t="s">
        <v>407</v>
      </c>
      <c r="D1380" s="169" t="s">
        <v>353</v>
      </c>
    </row>
    <row r="1381">
      <c r="A1381" s="170">
        <v>42898.0</v>
      </c>
      <c r="B1381" s="168" t="s">
        <v>394</v>
      </c>
      <c r="C1381" s="168" t="s">
        <v>407</v>
      </c>
      <c r="D1381" s="169" t="s">
        <v>353</v>
      </c>
    </row>
    <row r="1382">
      <c r="A1382" s="170">
        <v>42899.0</v>
      </c>
      <c r="B1382" s="168" t="s">
        <v>394</v>
      </c>
      <c r="C1382" s="168" t="s">
        <v>407</v>
      </c>
      <c r="D1382" s="169" t="s">
        <v>353</v>
      </c>
    </row>
    <row r="1383">
      <c r="A1383" s="170">
        <v>42900.0</v>
      </c>
      <c r="B1383" s="168" t="s">
        <v>394</v>
      </c>
      <c r="C1383" s="168" t="s">
        <v>407</v>
      </c>
      <c r="D1383" s="169" t="s">
        <v>353</v>
      </c>
    </row>
    <row r="1384">
      <c r="A1384" s="170">
        <v>42901.0</v>
      </c>
      <c r="B1384" s="168" t="s">
        <v>394</v>
      </c>
      <c r="C1384" s="168" t="s">
        <v>407</v>
      </c>
      <c r="D1384" s="169" t="s">
        <v>353</v>
      </c>
    </row>
    <row r="1385">
      <c r="A1385" s="170">
        <v>42902.0</v>
      </c>
      <c r="B1385" s="168" t="s">
        <v>394</v>
      </c>
      <c r="C1385" s="168" t="s">
        <v>407</v>
      </c>
      <c r="D1385" s="169" t="s">
        <v>353</v>
      </c>
    </row>
    <row r="1386">
      <c r="A1386" s="170">
        <v>42903.0</v>
      </c>
      <c r="B1386" s="168" t="s">
        <v>394</v>
      </c>
      <c r="C1386" s="168" t="s">
        <v>407</v>
      </c>
      <c r="D1386" s="169" t="s">
        <v>353</v>
      </c>
    </row>
    <row r="1387">
      <c r="A1387" s="170">
        <v>42904.0</v>
      </c>
      <c r="B1387" s="168" t="s">
        <v>394</v>
      </c>
      <c r="C1387" s="168" t="s">
        <v>407</v>
      </c>
      <c r="D1387" s="169" t="s">
        <v>353</v>
      </c>
    </row>
    <row r="1388">
      <c r="A1388" s="170">
        <v>42905.0</v>
      </c>
      <c r="B1388" s="168" t="s">
        <v>395</v>
      </c>
      <c r="C1388" s="168" t="s">
        <v>407</v>
      </c>
      <c r="D1388" s="169" t="s">
        <v>353</v>
      </c>
    </row>
    <row r="1389">
      <c r="A1389" s="170">
        <v>42906.0</v>
      </c>
      <c r="B1389" s="168" t="s">
        <v>395</v>
      </c>
      <c r="C1389" s="168" t="s">
        <v>407</v>
      </c>
      <c r="D1389" s="169" t="s">
        <v>353</v>
      </c>
    </row>
    <row r="1390">
      <c r="A1390" s="170">
        <v>42907.0</v>
      </c>
      <c r="B1390" s="168" t="s">
        <v>395</v>
      </c>
      <c r="C1390" s="168" t="s">
        <v>407</v>
      </c>
      <c r="D1390" s="169" t="s">
        <v>353</v>
      </c>
    </row>
    <row r="1391">
      <c r="A1391" s="170">
        <v>42908.0</v>
      </c>
      <c r="B1391" s="168" t="s">
        <v>395</v>
      </c>
      <c r="C1391" s="168" t="s">
        <v>407</v>
      </c>
      <c r="D1391" s="169" t="s">
        <v>353</v>
      </c>
    </row>
    <row r="1392">
      <c r="A1392" s="170">
        <v>42909.0</v>
      </c>
      <c r="B1392" s="168" t="s">
        <v>395</v>
      </c>
      <c r="C1392" s="168" t="s">
        <v>407</v>
      </c>
      <c r="D1392" s="169" t="s">
        <v>353</v>
      </c>
    </row>
    <row r="1393">
      <c r="A1393" s="170">
        <v>42910.0</v>
      </c>
      <c r="B1393" s="168" t="s">
        <v>395</v>
      </c>
      <c r="C1393" s="168" t="s">
        <v>407</v>
      </c>
      <c r="D1393" s="169" t="s">
        <v>353</v>
      </c>
    </row>
    <row r="1394">
      <c r="A1394" s="170">
        <v>42911.0</v>
      </c>
      <c r="B1394" s="168" t="s">
        <v>395</v>
      </c>
      <c r="C1394" s="168" t="s">
        <v>407</v>
      </c>
      <c r="D1394" s="169" t="s">
        <v>353</v>
      </c>
    </row>
    <row r="1395">
      <c r="A1395" s="170">
        <v>42912.0</v>
      </c>
      <c r="B1395" s="168" t="s">
        <v>396</v>
      </c>
      <c r="C1395" s="168" t="s">
        <v>407</v>
      </c>
      <c r="D1395" s="169" t="s">
        <v>353</v>
      </c>
    </row>
    <row r="1396">
      <c r="A1396" s="170">
        <v>42913.0</v>
      </c>
      <c r="B1396" s="168" t="s">
        <v>396</v>
      </c>
      <c r="C1396" s="168" t="s">
        <v>407</v>
      </c>
      <c r="D1396" s="169" t="s">
        <v>353</v>
      </c>
    </row>
    <row r="1397">
      <c r="A1397" s="170">
        <v>42914.0</v>
      </c>
      <c r="B1397" s="168" t="s">
        <v>396</v>
      </c>
      <c r="C1397" s="168" t="s">
        <v>407</v>
      </c>
      <c r="D1397" s="169" t="s">
        <v>353</v>
      </c>
    </row>
    <row r="1398">
      <c r="A1398" s="170">
        <v>42915.0</v>
      </c>
      <c r="B1398" s="168" t="s">
        <v>396</v>
      </c>
      <c r="C1398" s="168" t="s">
        <v>407</v>
      </c>
      <c r="D1398" s="169" t="s">
        <v>353</v>
      </c>
    </row>
    <row r="1399">
      <c r="A1399" s="170">
        <v>42916.0</v>
      </c>
      <c r="B1399" s="168" t="s">
        <v>396</v>
      </c>
      <c r="C1399" s="168" t="s">
        <v>407</v>
      </c>
      <c r="D1399" s="169" t="s">
        <v>353</v>
      </c>
    </row>
    <row r="1400">
      <c r="A1400" s="170">
        <v>42917.0</v>
      </c>
      <c r="B1400" s="168" t="s">
        <v>396</v>
      </c>
      <c r="C1400" s="168" t="s">
        <v>407</v>
      </c>
      <c r="D1400" s="169" t="s">
        <v>353</v>
      </c>
    </row>
    <row r="1401">
      <c r="A1401" s="170">
        <v>42918.0</v>
      </c>
      <c r="B1401" s="168" t="s">
        <v>396</v>
      </c>
      <c r="C1401" s="168" t="s">
        <v>407</v>
      </c>
      <c r="D1401" s="169" t="s">
        <v>353</v>
      </c>
    </row>
    <row r="1402">
      <c r="A1402" s="170">
        <v>42919.0</v>
      </c>
      <c r="B1402" s="168" t="s">
        <v>397</v>
      </c>
      <c r="C1402" s="168" t="s">
        <v>407</v>
      </c>
      <c r="D1402" s="169" t="s">
        <v>354</v>
      </c>
    </row>
    <row r="1403">
      <c r="A1403" s="170">
        <v>42920.0</v>
      </c>
      <c r="B1403" s="168" t="s">
        <v>397</v>
      </c>
      <c r="C1403" s="168" t="s">
        <v>407</v>
      </c>
      <c r="D1403" s="169" t="s">
        <v>354</v>
      </c>
    </row>
    <row r="1404">
      <c r="A1404" s="170">
        <v>42921.0</v>
      </c>
      <c r="B1404" s="168" t="s">
        <v>397</v>
      </c>
      <c r="C1404" s="168" t="s">
        <v>407</v>
      </c>
      <c r="D1404" s="169" t="s">
        <v>354</v>
      </c>
    </row>
    <row r="1405">
      <c r="A1405" s="170">
        <v>42922.0</v>
      </c>
      <c r="B1405" s="168" t="s">
        <v>397</v>
      </c>
      <c r="C1405" s="168" t="s">
        <v>407</v>
      </c>
      <c r="D1405" s="169" t="s">
        <v>354</v>
      </c>
    </row>
    <row r="1406">
      <c r="A1406" s="170">
        <v>42923.0</v>
      </c>
      <c r="B1406" s="168" t="s">
        <v>397</v>
      </c>
      <c r="C1406" s="168" t="s">
        <v>407</v>
      </c>
      <c r="D1406" s="169" t="s">
        <v>354</v>
      </c>
    </row>
    <row r="1407">
      <c r="A1407" s="170">
        <v>42924.0</v>
      </c>
      <c r="B1407" s="168" t="s">
        <v>397</v>
      </c>
      <c r="C1407" s="168" t="s">
        <v>407</v>
      </c>
      <c r="D1407" s="169" t="s">
        <v>354</v>
      </c>
    </row>
    <row r="1408">
      <c r="A1408" s="170">
        <v>42925.0</v>
      </c>
      <c r="B1408" s="168" t="s">
        <v>397</v>
      </c>
      <c r="C1408" s="168" t="s">
        <v>407</v>
      </c>
      <c r="D1408" s="169" t="s">
        <v>354</v>
      </c>
    </row>
    <row r="1409">
      <c r="A1409" s="170">
        <v>42926.0</v>
      </c>
      <c r="B1409" s="168" t="s">
        <v>398</v>
      </c>
      <c r="C1409" s="168" t="s">
        <v>407</v>
      </c>
      <c r="D1409" s="169" t="s">
        <v>354</v>
      </c>
    </row>
    <row r="1410">
      <c r="A1410" s="170">
        <v>42927.0</v>
      </c>
      <c r="B1410" s="168" t="s">
        <v>398</v>
      </c>
      <c r="C1410" s="168" t="s">
        <v>407</v>
      </c>
      <c r="D1410" s="169" t="s">
        <v>354</v>
      </c>
    </row>
    <row r="1411">
      <c r="A1411" s="170">
        <v>42928.0</v>
      </c>
      <c r="B1411" s="168" t="s">
        <v>398</v>
      </c>
      <c r="C1411" s="168" t="s">
        <v>407</v>
      </c>
      <c r="D1411" s="169" t="s">
        <v>354</v>
      </c>
    </row>
    <row r="1412">
      <c r="A1412" s="170">
        <v>42929.0</v>
      </c>
      <c r="B1412" s="168" t="s">
        <v>398</v>
      </c>
      <c r="C1412" s="168" t="s">
        <v>407</v>
      </c>
      <c r="D1412" s="169" t="s">
        <v>354</v>
      </c>
    </row>
    <row r="1413">
      <c r="A1413" s="170">
        <v>42930.0</v>
      </c>
      <c r="B1413" s="168" t="s">
        <v>398</v>
      </c>
      <c r="C1413" s="168" t="s">
        <v>407</v>
      </c>
      <c r="D1413" s="169" t="s">
        <v>354</v>
      </c>
    </row>
    <row r="1414">
      <c r="A1414" s="170">
        <v>42931.0</v>
      </c>
      <c r="B1414" s="168" t="s">
        <v>398</v>
      </c>
      <c r="C1414" s="168" t="s">
        <v>407</v>
      </c>
      <c r="D1414" s="169" t="s">
        <v>354</v>
      </c>
    </row>
    <row r="1415">
      <c r="A1415" s="170">
        <v>42932.0</v>
      </c>
      <c r="B1415" s="168" t="s">
        <v>398</v>
      </c>
      <c r="C1415" s="168" t="s">
        <v>407</v>
      </c>
      <c r="D1415" s="169" t="s">
        <v>354</v>
      </c>
    </row>
    <row r="1416">
      <c r="A1416" s="170">
        <v>42933.0</v>
      </c>
      <c r="B1416" s="168" t="s">
        <v>399</v>
      </c>
      <c r="C1416" s="168" t="s">
        <v>407</v>
      </c>
      <c r="D1416" s="169" t="s">
        <v>354</v>
      </c>
    </row>
    <row r="1417">
      <c r="A1417" s="170">
        <v>42934.0</v>
      </c>
      <c r="B1417" s="168" t="s">
        <v>399</v>
      </c>
      <c r="C1417" s="168" t="s">
        <v>407</v>
      </c>
      <c r="D1417" s="169" t="s">
        <v>354</v>
      </c>
    </row>
    <row r="1418">
      <c r="A1418" s="170">
        <v>42935.0</v>
      </c>
      <c r="B1418" s="168" t="s">
        <v>399</v>
      </c>
      <c r="C1418" s="168" t="s">
        <v>407</v>
      </c>
      <c r="D1418" s="169" t="s">
        <v>354</v>
      </c>
    </row>
    <row r="1419">
      <c r="A1419" s="170">
        <v>42936.0</v>
      </c>
      <c r="B1419" s="168" t="s">
        <v>399</v>
      </c>
      <c r="C1419" s="168" t="s">
        <v>407</v>
      </c>
      <c r="D1419" s="169" t="s">
        <v>354</v>
      </c>
    </row>
    <row r="1420">
      <c r="A1420" s="170">
        <v>42937.0</v>
      </c>
      <c r="B1420" s="168" t="s">
        <v>399</v>
      </c>
      <c r="C1420" s="168" t="s">
        <v>407</v>
      </c>
      <c r="D1420" s="169" t="s">
        <v>354</v>
      </c>
    </row>
    <row r="1421">
      <c r="A1421" s="170">
        <v>42938.0</v>
      </c>
      <c r="B1421" s="168" t="s">
        <v>399</v>
      </c>
      <c r="C1421" s="168" t="s">
        <v>407</v>
      </c>
      <c r="D1421" s="169" t="s">
        <v>354</v>
      </c>
    </row>
    <row r="1422">
      <c r="A1422" s="170">
        <v>42939.0</v>
      </c>
      <c r="B1422" s="168" t="s">
        <v>399</v>
      </c>
      <c r="C1422" s="168" t="s">
        <v>407</v>
      </c>
      <c r="D1422" s="169" t="s">
        <v>354</v>
      </c>
    </row>
    <row r="1423">
      <c r="A1423" s="170">
        <v>42940.0</v>
      </c>
      <c r="B1423" s="168" t="s">
        <v>400</v>
      </c>
      <c r="C1423" s="168" t="s">
        <v>407</v>
      </c>
      <c r="D1423" s="169" t="s">
        <v>354</v>
      </c>
    </row>
    <row r="1424">
      <c r="A1424" s="170">
        <v>42941.0</v>
      </c>
      <c r="B1424" s="168" t="s">
        <v>400</v>
      </c>
      <c r="C1424" s="168" t="s">
        <v>407</v>
      </c>
      <c r="D1424" s="169" t="s">
        <v>354</v>
      </c>
    </row>
    <row r="1425">
      <c r="A1425" s="170">
        <v>42942.0</v>
      </c>
      <c r="B1425" s="168" t="s">
        <v>400</v>
      </c>
      <c r="C1425" s="168" t="s">
        <v>407</v>
      </c>
      <c r="D1425" s="169" t="s">
        <v>354</v>
      </c>
    </row>
    <row r="1426">
      <c r="A1426" s="170">
        <v>42943.0</v>
      </c>
      <c r="B1426" s="168" t="s">
        <v>400</v>
      </c>
      <c r="C1426" s="168" t="s">
        <v>407</v>
      </c>
      <c r="D1426" s="169" t="s">
        <v>354</v>
      </c>
    </row>
    <row r="1427">
      <c r="A1427" s="170">
        <v>42944.0</v>
      </c>
      <c r="B1427" s="168" t="s">
        <v>400</v>
      </c>
      <c r="C1427" s="168" t="s">
        <v>407</v>
      </c>
      <c r="D1427" s="169" t="s">
        <v>354</v>
      </c>
    </row>
    <row r="1428">
      <c r="A1428" s="170">
        <v>42945.0</v>
      </c>
      <c r="B1428" s="168" t="s">
        <v>400</v>
      </c>
      <c r="C1428" s="168" t="s">
        <v>407</v>
      </c>
      <c r="D1428" s="169" t="s">
        <v>354</v>
      </c>
    </row>
    <row r="1429">
      <c r="A1429" s="170">
        <v>42946.0</v>
      </c>
      <c r="B1429" s="168" t="s">
        <v>400</v>
      </c>
      <c r="C1429" s="168" t="s">
        <v>407</v>
      </c>
      <c r="D1429" s="169" t="s">
        <v>354</v>
      </c>
    </row>
    <row r="1430">
      <c r="A1430" s="170">
        <v>42947.0</v>
      </c>
      <c r="B1430" s="168" t="s">
        <v>401</v>
      </c>
      <c r="C1430" s="168" t="s">
        <v>407</v>
      </c>
      <c r="D1430" s="169" t="s">
        <v>134</v>
      </c>
    </row>
    <row r="1431">
      <c r="A1431" s="170">
        <v>42948.0</v>
      </c>
      <c r="B1431" s="168" t="s">
        <v>401</v>
      </c>
      <c r="C1431" s="168" t="s">
        <v>407</v>
      </c>
      <c r="D1431" s="169" t="s">
        <v>134</v>
      </c>
    </row>
    <row r="1432">
      <c r="A1432" s="170">
        <v>42949.0</v>
      </c>
      <c r="B1432" s="168" t="s">
        <v>401</v>
      </c>
      <c r="C1432" s="168" t="s">
        <v>407</v>
      </c>
      <c r="D1432" s="169" t="s">
        <v>134</v>
      </c>
    </row>
    <row r="1433">
      <c r="A1433" s="170">
        <v>42950.0</v>
      </c>
      <c r="B1433" s="168" t="s">
        <v>401</v>
      </c>
      <c r="C1433" s="168" t="s">
        <v>407</v>
      </c>
      <c r="D1433" s="169" t="s">
        <v>134</v>
      </c>
    </row>
    <row r="1434">
      <c r="A1434" s="170">
        <v>42951.0</v>
      </c>
      <c r="B1434" s="168" t="s">
        <v>401</v>
      </c>
      <c r="C1434" s="168" t="s">
        <v>407</v>
      </c>
      <c r="D1434" s="169" t="s">
        <v>134</v>
      </c>
    </row>
    <row r="1435">
      <c r="A1435" s="170">
        <v>42952.0</v>
      </c>
      <c r="B1435" s="168" t="s">
        <v>401</v>
      </c>
      <c r="C1435" s="168" t="s">
        <v>407</v>
      </c>
      <c r="D1435" s="169" t="s">
        <v>134</v>
      </c>
    </row>
    <row r="1436">
      <c r="A1436" s="170">
        <v>42953.0</v>
      </c>
      <c r="B1436" s="168" t="s">
        <v>401</v>
      </c>
      <c r="C1436" s="168" t="s">
        <v>407</v>
      </c>
      <c r="D1436" s="169" t="s">
        <v>134</v>
      </c>
    </row>
    <row r="1437">
      <c r="A1437" s="170">
        <v>42954.0</v>
      </c>
      <c r="B1437" s="168" t="s">
        <v>402</v>
      </c>
      <c r="C1437" s="168" t="s">
        <v>407</v>
      </c>
      <c r="D1437" s="169" t="s">
        <v>134</v>
      </c>
    </row>
    <row r="1438">
      <c r="A1438" s="170">
        <v>42955.0</v>
      </c>
      <c r="B1438" s="168" t="s">
        <v>402</v>
      </c>
      <c r="C1438" s="168" t="s">
        <v>407</v>
      </c>
      <c r="D1438" s="169" t="s">
        <v>134</v>
      </c>
    </row>
    <row r="1439">
      <c r="A1439" s="170">
        <v>42956.0</v>
      </c>
      <c r="B1439" s="168" t="s">
        <v>402</v>
      </c>
      <c r="C1439" s="168" t="s">
        <v>407</v>
      </c>
      <c r="D1439" s="169" t="s">
        <v>134</v>
      </c>
    </row>
    <row r="1440">
      <c r="A1440" s="170">
        <v>42957.0</v>
      </c>
      <c r="B1440" s="168" t="s">
        <v>402</v>
      </c>
      <c r="C1440" s="168" t="s">
        <v>407</v>
      </c>
      <c r="D1440" s="169" t="s">
        <v>134</v>
      </c>
    </row>
    <row r="1441">
      <c r="A1441" s="170">
        <v>42958.0</v>
      </c>
      <c r="B1441" s="168" t="s">
        <v>402</v>
      </c>
      <c r="C1441" s="168" t="s">
        <v>407</v>
      </c>
      <c r="D1441" s="169" t="s">
        <v>134</v>
      </c>
    </row>
    <row r="1442">
      <c r="A1442" s="170">
        <v>42959.0</v>
      </c>
      <c r="B1442" s="168" t="s">
        <v>402</v>
      </c>
      <c r="C1442" s="168" t="s">
        <v>407</v>
      </c>
      <c r="D1442" s="169" t="s">
        <v>134</v>
      </c>
    </row>
    <row r="1443">
      <c r="A1443" s="170">
        <v>42960.0</v>
      </c>
      <c r="B1443" s="168" t="s">
        <v>402</v>
      </c>
      <c r="C1443" s="168" t="s">
        <v>407</v>
      </c>
      <c r="D1443" s="169" t="s">
        <v>134</v>
      </c>
    </row>
    <row r="1444">
      <c r="A1444" s="170">
        <v>42961.0</v>
      </c>
      <c r="B1444" s="168" t="s">
        <v>403</v>
      </c>
      <c r="C1444" s="168" t="s">
        <v>407</v>
      </c>
      <c r="D1444" s="169" t="s">
        <v>134</v>
      </c>
    </row>
    <row r="1445">
      <c r="A1445" s="170">
        <v>42962.0</v>
      </c>
      <c r="B1445" s="168" t="s">
        <v>403</v>
      </c>
      <c r="C1445" s="168" t="s">
        <v>407</v>
      </c>
      <c r="D1445" s="169" t="s">
        <v>134</v>
      </c>
    </row>
    <row r="1446">
      <c r="A1446" s="170">
        <v>42963.0</v>
      </c>
      <c r="B1446" s="168" t="s">
        <v>403</v>
      </c>
      <c r="C1446" s="168" t="s">
        <v>407</v>
      </c>
      <c r="D1446" s="169" t="s">
        <v>134</v>
      </c>
    </row>
    <row r="1447">
      <c r="A1447" s="170">
        <v>42964.0</v>
      </c>
      <c r="B1447" s="168" t="s">
        <v>403</v>
      </c>
      <c r="C1447" s="168" t="s">
        <v>407</v>
      </c>
      <c r="D1447" s="169" t="s">
        <v>134</v>
      </c>
    </row>
    <row r="1448">
      <c r="A1448" s="170">
        <v>42965.0</v>
      </c>
      <c r="B1448" s="168" t="s">
        <v>403</v>
      </c>
      <c r="C1448" s="168" t="s">
        <v>407</v>
      </c>
      <c r="D1448" s="169" t="s">
        <v>134</v>
      </c>
    </row>
    <row r="1449">
      <c r="A1449" s="170">
        <v>42966.0</v>
      </c>
      <c r="B1449" s="168" t="s">
        <v>403</v>
      </c>
      <c r="C1449" s="168" t="s">
        <v>407</v>
      </c>
      <c r="D1449" s="169" t="s">
        <v>134</v>
      </c>
    </row>
    <row r="1450">
      <c r="A1450" s="170">
        <v>42967.0</v>
      </c>
      <c r="B1450" s="168" t="s">
        <v>403</v>
      </c>
      <c r="C1450" s="168" t="s">
        <v>407</v>
      </c>
      <c r="D1450" s="169" t="s">
        <v>134</v>
      </c>
    </row>
    <row r="1451">
      <c r="A1451" s="170">
        <v>42968.0</v>
      </c>
      <c r="B1451" s="168" t="s">
        <v>404</v>
      </c>
      <c r="C1451" s="168" t="s">
        <v>407</v>
      </c>
      <c r="D1451" s="169" t="s">
        <v>134</v>
      </c>
    </row>
    <row r="1452">
      <c r="A1452" s="170">
        <v>42969.0</v>
      </c>
      <c r="B1452" s="168" t="s">
        <v>404</v>
      </c>
      <c r="C1452" s="168" t="s">
        <v>407</v>
      </c>
      <c r="D1452" s="169" t="s">
        <v>134</v>
      </c>
    </row>
    <row r="1453">
      <c r="A1453" s="170">
        <v>42970.0</v>
      </c>
      <c r="B1453" s="168" t="s">
        <v>404</v>
      </c>
      <c r="C1453" s="168" t="s">
        <v>407</v>
      </c>
      <c r="D1453" s="169" t="s">
        <v>134</v>
      </c>
    </row>
    <row r="1454">
      <c r="A1454" s="170">
        <v>42971.0</v>
      </c>
      <c r="B1454" s="168" t="s">
        <v>404</v>
      </c>
      <c r="C1454" s="168" t="s">
        <v>407</v>
      </c>
      <c r="D1454" s="169" t="s">
        <v>134</v>
      </c>
    </row>
    <row r="1455">
      <c r="A1455" s="170">
        <v>42972.0</v>
      </c>
      <c r="B1455" s="168" t="s">
        <v>404</v>
      </c>
      <c r="C1455" s="168" t="s">
        <v>407</v>
      </c>
      <c r="D1455" s="169" t="s">
        <v>134</v>
      </c>
    </row>
    <row r="1456">
      <c r="A1456" s="170">
        <v>42973.0</v>
      </c>
      <c r="B1456" s="168" t="s">
        <v>404</v>
      </c>
      <c r="C1456" s="168" t="s">
        <v>407</v>
      </c>
      <c r="D1456" s="169" t="s">
        <v>134</v>
      </c>
    </row>
    <row r="1457">
      <c r="A1457" s="170">
        <v>42974.0</v>
      </c>
      <c r="B1457" s="168" t="s">
        <v>404</v>
      </c>
      <c r="C1457" s="168" t="s">
        <v>407</v>
      </c>
      <c r="D1457" s="169" t="s">
        <v>134</v>
      </c>
    </row>
    <row r="1458">
      <c r="A1458" s="170">
        <v>42975.0</v>
      </c>
      <c r="B1458" s="168" t="s">
        <v>408</v>
      </c>
      <c r="C1458" s="168" t="s">
        <v>407</v>
      </c>
      <c r="D1458" s="169" t="s">
        <v>134</v>
      </c>
    </row>
    <row r="1459">
      <c r="A1459" s="170">
        <v>42976.0</v>
      </c>
      <c r="B1459" s="168" t="s">
        <v>408</v>
      </c>
      <c r="C1459" s="168" t="s">
        <v>407</v>
      </c>
      <c r="D1459" s="169" t="s">
        <v>134</v>
      </c>
    </row>
    <row r="1460">
      <c r="A1460" s="170">
        <v>42977.0</v>
      </c>
      <c r="B1460" s="168" t="s">
        <v>408</v>
      </c>
      <c r="C1460" s="168" t="s">
        <v>407</v>
      </c>
      <c r="D1460" s="169" t="s">
        <v>134</v>
      </c>
    </row>
    <row r="1461">
      <c r="A1461" s="170">
        <v>42978.0</v>
      </c>
      <c r="B1461" s="168" t="s">
        <v>408</v>
      </c>
      <c r="C1461" s="168" t="s">
        <v>407</v>
      </c>
      <c r="D1461" s="169" t="s">
        <v>134</v>
      </c>
    </row>
    <row r="1462">
      <c r="A1462" s="170">
        <v>42979.0</v>
      </c>
      <c r="B1462" s="168" t="s">
        <v>408</v>
      </c>
      <c r="C1462" s="168" t="s">
        <v>407</v>
      </c>
      <c r="D1462" s="169" t="s">
        <v>134</v>
      </c>
    </row>
    <row r="1463">
      <c r="A1463" s="170">
        <v>42980.0</v>
      </c>
      <c r="B1463" s="168" t="s">
        <v>408</v>
      </c>
      <c r="C1463" s="168" t="s">
        <v>407</v>
      </c>
      <c r="D1463" s="169" t="s">
        <v>134</v>
      </c>
    </row>
    <row r="1464">
      <c r="A1464" s="170">
        <v>42981.0</v>
      </c>
      <c r="B1464" s="168" t="s">
        <v>408</v>
      </c>
      <c r="C1464" s="168" t="s">
        <v>407</v>
      </c>
      <c r="D1464" s="169" t="s">
        <v>134</v>
      </c>
    </row>
    <row r="1465">
      <c r="A1465" s="170">
        <v>42982.0</v>
      </c>
      <c r="B1465" s="168" t="s">
        <v>341</v>
      </c>
      <c r="C1465" s="168" t="s">
        <v>137</v>
      </c>
      <c r="D1465" s="169" t="s">
        <v>340</v>
      </c>
    </row>
    <row r="1466">
      <c r="A1466" s="170">
        <v>42983.0</v>
      </c>
      <c r="B1466" s="168" t="s">
        <v>341</v>
      </c>
      <c r="C1466" s="168" t="s">
        <v>137</v>
      </c>
      <c r="D1466" s="169" t="s">
        <v>340</v>
      </c>
    </row>
    <row r="1467">
      <c r="A1467" s="170">
        <v>42984.0</v>
      </c>
      <c r="B1467" s="168" t="s">
        <v>341</v>
      </c>
      <c r="C1467" s="168" t="s">
        <v>137</v>
      </c>
      <c r="D1467" s="169" t="s">
        <v>340</v>
      </c>
    </row>
    <row r="1468">
      <c r="A1468" s="170">
        <v>42985.0</v>
      </c>
      <c r="B1468" s="168" t="s">
        <v>341</v>
      </c>
      <c r="C1468" s="168" t="s">
        <v>137</v>
      </c>
      <c r="D1468" s="169" t="s">
        <v>340</v>
      </c>
    </row>
    <row r="1469">
      <c r="A1469" s="170">
        <v>42986.0</v>
      </c>
      <c r="B1469" s="168" t="s">
        <v>341</v>
      </c>
      <c r="C1469" s="168" t="s">
        <v>137</v>
      </c>
      <c r="D1469" s="169" t="s">
        <v>340</v>
      </c>
    </row>
    <row r="1470">
      <c r="A1470" s="170">
        <v>42987.0</v>
      </c>
      <c r="B1470" s="168" t="s">
        <v>341</v>
      </c>
      <c r="C1470" s="168" t="s">
        <v>137</v>
      </c>
      <c r="D1470" s="169" t="s">
        <v>340</v>
      </c>
    </row>
    <row r="1471">
      <c r="A1471" s="170">
        <v>42988.0</v>
      </c>
      <c r="B1471" s="168" t="s">
        <v>341</v>
      </c>
      <c r="C1471" s="168" t="s">
        <v>137</v>
      </c>
      <c r="D1471" s="169" t="s">
        <v>340</v>
      </c>
    </row>
    <row r="1472">
      <c r="A1472" s="170">
        <v>42989.0</v>
      </c>
      <c r="B1472" s="168" t="s">
        <v>350</v>
      </c>
      <c r="C1472" s="168" t="s">
        <v>137</v>
      </c>
      <c r="D1472" s="169" t="s">
        <v>340</v>
      </c>
    </row>
    <row r="1473">
      <c r="A1473" s="170">
        <v>42990.0</v>
      </c>
      <c r="B1473" s="168" t="s">
        <v>350</v>
      </c>
      <c r="C1473" s="168" t="s">
        <v>137</v>
      </c>
      <c r="D1473" s="169" t="s">
        <v>340</v>
      </c>
    </row>
    <row r="1474">
      <c r="A1474" s="170">
        <v>42991.0</v>
      </c>
      <c r="B1474" s="168" t="s">
        <v>350</v>
      </c>
      <c r="C1474" s="168" t="s">
        <v>137</v>
      </c>
      <c r="D1474" s="169" t="s">
        <v>340</v>
      </c>
    </row>
    <row r="1475">
      <c r="A1475" s="170">
        <v>42992.0</v>
      </c>
      <c r="B1475" s="168" t="s">
        <v>350</v>
      </c>
      <c r="C1475" s="168" t="s">
        <v>137</v>
      </c>
      <c r="D1475" s="169" t="s">
        <v>340</v>
      </c>
    </row>
    <row r="1476">
      <c r="A1476" s="170">
        <v>42993.0</v>
      </c>
      <c r="B1476" s="168" t="s">
        <v>350</v>
      </c>
      <c r="C1476" s="168" t="s">
        <v>137</v>
      </c>
      <c r="D1476" s="169" t="s">
        <v>340</v>
      </c>
    </row>
    <row r="1477">
      <c r="A1477" s="170">
        <v>42994.0</v>
      </c>
      <c r="B1477" s="168" t="s">
        <v>350</v>
      </c>
      <c r="C1477" s="168" t="s">
        <v>137</v>
      </c>
      <c r="D1477" s="169" t="s">
        <v>340</v>
      </c>
    </row>
    <row r="1478">
      <c r="A1478" s="170">
        <v>42995.0</v>
      </c>
      <c r="B1478" s="168" t="s">
        <v>350</v>
      </c>
      <c r="C1478" s="168" t="s">
        <v>137</v>
      </c>
      <c r="D1478" s="169" t="s">
        <v>340</v>
      </c>
    </row>
    <row r="1479">
      <c r="A1479" s="170">
        <v>42996.0</v>
      </c>
      <c r="B1479" s="168" t="s">
        <v>355</v>
      </c>
      <c r="C1479" s="168" t="s">
        <v>137</v>
      </c>
      <c r="D1479" s="169" t="s">
        <v>340</v>
      </c>
    </row>
    <row r="1480">
      <c r="A1480" s="170">
        <v>42997.0</v>
      </c>
      <c r="B1480" s="168" t="s">
        <v>355</v>
      </c>
      <c r="C1480" s="168" t="s">
        <v>137</v>
      </c>
      <c r="D1480" s="169" t="s">
        <v>340</v>
      </c>
    </row>
    <row r="1481">
      <c r="A1481" s="170">
        <v>42998.0</v>
      </c>
      <c r="B1481" s="168" t="s">
        <v>355</v>
      </c>
      <c r="C1481" s="168" t="s">
        <v>137</v>
      </c>
      <c r="D1481" s="169" t="s">
        <v>340</v>
      </c>
    </row>
    <row r="1482">
      <c r="A1482" s="170">
        <v>42999.0</v>
      </c>
      <c r="B1482" s="168" t="s">
        <v>355</v>
      </c>
      <c r="C1482" s="168" t="s">
        <v>137</v>
      </c>
      <c r="D1482" s="169" t="s">
        <v>340</v>
      </c>
    </row>
    <row r="1483">
      <c r="A1483" s="170">
        <v>43000.0</v>
      </c>
      <c r="B1483" s="168" t="s">
        <v>355</v>
      </c>
      <c r="C1483" s="168" t="s">
        <v>137</v>
      </c>
      <c r="D1483" s="169" t="s">
        <v>340</v>
      </c>
    </row>
    <row r="1484">
      <c r="A1484" s="170">
        <v>43001.0</v>
      </c>
      <c r="B1484" s="168" t="s">
        <v>355</v>
      </c>
      <c r="C1484" s="168" t="s">
        <v>137</v>
      </c>
      <c r="D1484" s="169" t="s">
        <v>340</v>
      </c>
    </row>
    <row r="1485">
      <c r="A1485" s="170">
        <v>43002.0</v>
      </c>
      <c r="B1485" s="168" t="s">
        <v>355</v>
      </c>
      <c r="C1485" s="168" t="s">
        <v>137</v>
      </c>
      <c r="D1485" s="169" t="s">
        <v>340</v>
      </c>
    </row>
    <row r="1486">
      <c r="A1486" s="170">
        <v>43003.0</v>
      </c>
      <c r="B1486" s="168" t="s">
        <v>356</v>
      </c>
      <c r="C1486" s="168" t="s">
        <v>137</v>
      </c>
      <c r="D1486" s="169" t="s">
        <v>340</v>
      </c>
    </row>
    <row r="1487">
      <c r="A1487" s="170">
        <v>43004.0</v>
      </c>
      <c r="B1487" s="168" t="s">
        <v>356</v>
      </c>
      <c r="C1487" s="168" t="s">
        <v>137</v>
      </c>
      <c r="D1487" s="169" t="s">
        <v>340</v>
      </c>
    </row>
    <row r="1488">
      <c r="A1488" s="170">
        <v>43005.0</v>
      </c>
      <c r="B1488" s="168" t="s">
        <v>356</v>
      </c>
      <c r="C1488" s="168" t="s">
        <v>137</v>
      </c>
      <c r="D1488" s="169" t="s">
        <v>340</v>
      </c>
    </row>
    <row r="1489">
      <c r="A1489" s="170">
        <v>43006.0</v>
      </c>
      <c r="B1489" s="168" t="s">
        <v>356</v>
      </c>
      <c r="C1489" s="168" t="s">
        <v>137</v>
      </c>
      <c r="D1489" s="169" t="s">
        <v>340</v>
      </c>
    </row>
    <row r="1490">
      <c r="A1490" s="170">
        <v>43007.0</v>
      </c>
      <c r="B1490" s="168" t="s">
        <v>356</v>
      </c>
      <c r="C1490" s="168" t="s">
        <v>137</v>
      </c>
      <c r="D1490" s="169" t="s">
        <v>340</v>
      </c>
    </row>
    <row r="1491">
      <c r="A1491" s="170">
        <v>43008.0</v>
      </c>
      <c r="B1491" s="168" t="s">
        <v>356</v>
      </c>
      <c r="C1491" s="168" t="s">
        <v>137</v>
      </c>
      <c r="D1491" s="169" t="s">
        <v>340</v>
      </c>
    </row>
    <row r="1492">
      <c r="A1492" s="170">
        <v>43009.0</v>
      </c>
      <c r="B1492" s="168" t="s">
        <v>356</v>
      </c>
      <c r="C1492" s="168" t="s">
        <v>137</v>
      </c>
      <c r="D1492" s="169" t="s">
        <v>340</v>
      </c>
    </row>
    <row r="1493">
      <c r="A1493" s="170">
        <v>43010.0</v>
      </c>
      <c r="B1493" s="168" t="s">
        <v>357</v>
      </c>
      <c r="C1493" s="168" t="s">
        <v>137</v>
      </c>
      <c r="D1493" s="169" t="s">
        <v>343</v>
      </c>
    </row>
    <row r="1494">
      <c r="A1494" s="170">
        <v>43011.0</v>
      </c>
      <c r="B1494" s="168" t="s">
        <v>357</v>
      </c>
      <c r="C1494" s="168" t="s">
        <v>137</v>
      </c>
      <c r="D1494" s="169" t="s">
        <v>343</v>
      </c>
    </row>
    <row r="1495">
      <c r="A1495" s="170">
        <v>43012.0</v>
      </c>
      <c r="B1495" s="168" t="s">
        <v>357</v>
      </c>
      <c r="C1495" s="168" t="s">
        <v>137</v>
      </c>
      <c r="D1495" s="169" t="s">
        <v>343</v>
      </c>
    </row>
    <row r="1496">
      <c r="A1496" s="170">
        <v>43013.0</v>
      </c>
      <c r="B1496" s="168" t="s">
        <v>357</v>
      </c>
      <c r="C1496" s="168" t="s">
        <v>137</v>
      </c>
      <c r="D1496" s="169" t="s">
        <v>343</v>
      </c>
    </row>
    <row r="1497">
      <c r="A1497" s="170">
        <v>43014.0</v>
      </c>
      <c r="B1497" s="168" t="s">
        <v>357</v>
      </c>
      <c r="C1497" s="168" t="s">
        <v>137</v>
      </c>
      <c r="D1497" s="169" t="s">
        <v>343</v>
      </c>
    </row>
    <row r="1498">
      <c r="A1498" s="170">
        <v>43015.0</v>
      </c>
      <c r="B1498" s="168" t="s">
        <v>357</v>
      </c>
      <c r="C1498" s="168" t="s">
        <v>137</v>
      </c>
      <c r="D1498" s="169" t="s">
        <v>343</v>
      </c>
    </row>
    <row r="1499">
      <c r="A1499" s="170">
        <v>43016.0</v>
      </c>
      <c r="B1499" s="168" t="s">
        <v>357</v>
      </c>
      <c r="C1499" s="168" t="s">
        <v>137</v>
      </c>
      <c r="D1499" s="169" t="s">
        <v>343</v>
      </c>
    </row>
    <row r="1500">
      <c r="A1500" s="170">
        <v>43017.0</v>
      </c>
      <c r="B1500" s="168" t="s">
        <v>358</v>
      </c>
      <c r="C1500" s="168" t="s">
        <v>137</v>
      </c>
      <c r="D1500" s="169" t="s">
        <v>343</v>
      </c>
    </row>
    <row r="1501">
      <c r="A1501" s="170">
        <v>43018.0</v>
      </c>
      <c r="B1501" s="168" t="s">
        <v>358</v>
      </c>
      <c r="C1501" s="168" t="s">
        <v>137</v>
      </c>
      <c r="D1501" s="169" t="s">
        <v>343</v>
      </c>
    </row>
    <row r="1502">
      <c r="A1502" s="170">
        <v>43019.0</v>
      </c>
      <c r="B1502" s="168" t="s">
        <v>358</v>
      </c>
      <c r="C1502" s="168" t="s">
        <v>137</v>
      </c>
      <c r="D1502" s="169" t="s">
        <v>343</v>
      </c>
    </row>
    <row r="1503">
      <c r="A1503" s="170">
        <v>43020.0</v>
      </c>
      <c r="B1503" s="168" t="s">
        <v>358</v>
      </c>
      <c r="C1503" s="168" t="s">
        <v>137</v>
      </c>
      <c r="D1503" s="169" t="s">
        <v>343</v>
      </c>
    </row>
    <row r="1504">
      <c r="A1504" s="170">
        <v>43021.0</v>
      </c>
      <c r="B1504" s="168" t="s">
        <v>358</v>
      </c>
      <c r="C1504" s="168" t="s">
        <v>137</v>
      </c>
      <c r="D1504" s="169" t="s">
        <v>343</v>
      </c>
    </row>
    <row r="1505">
      <c r="A1505" s="170">
        <v>43022.0</v>
      </c>
      <c r="B1505" s="168" t="s">
        <v>358</v>
      </c>
      <c r="C1505" s="168" t="s">
        <v>137</v>
      </c>
      <c r="D1505" s="169" t="s">
        <v>343</v>
      </c>
    </row>
    <row r="1506">
      <c r="A1506" s="170">
        <v>43023.0</v>
      </c>
      <c r="B1506" s="168" t="s">
        <v>358</v>
      </c>
      <c r="C1506" s="168" t="s">
        <v>137</v>
      </c>
      <c r="D1506" s="169" t="s">
        <v>343</v>
      </c>
    </row>
    <row r="1507">
      <c r="A1507" s="170">
        <v>43024.0</v>
      </c>
      <c r="B1507" s="168" t="s">
        <v>359</v>
      </c>
      <c r="C1507" s="168" t="s">
        <v>137</v>
      </c>
      <c r="D1507" s="169" t="s">
        <v>343</v>
      </c>
    </row>
    <row r="1508">
      <c r="A1508" s="170">
        <v>43025.0</v>
      </c>
      <c r="B1508" s="168" t="s">
        <v>359</v>
      </c>
      <c r="C1508" s="168" t="s">
        <v>137</v>
      </c>
      <c r="D1508" s="169" t="s">
        <v>343</v>
      </c>
    </row>
    <row r="1509">
      <c r="A1509" s="170">
        <v>43026.0</v>
      </c>
      <c r="B1509" s="168" t="s">
        <v>359</v>
      </c>
      <c r="C1509" s="168" t="s">
        <v>137</v>
      </c>
      <c r="D1509" s="169" t="s">
        <v>343</v>
      </c>
    </row>
    <row r="1510">
      <c r="A1510" s="170">
        <v>43027.0</v>
      </c>
      <c r="B1510" s="168" t="s">
        <v>359</v>
      </c>
      <c r="C1510" s="168" t="s">
        <v>137</v>
      </c>
      <c r="D1510" s="169" t="s">
        <v>343</v>
      </c>
    </row>
    <row r="1511">
      <c r="A1511" s="170">
        <v>43028.0</v>
      </c>
      <c r="B1511" s="168" t="s">
        <v>359</v>
      </c>
      <c r="C1511" s="168" t="s">
        <v>137</v>
      </c>
      <c r="D1511" s="169" t="s">
        <v>343</v>
      </c>
    </row>
    <row r="1512">
      <c r="A1512" s="170">
        <v>43029.0</v>
      </c>
      <c r="B1512" s="168" t="s">
        <v>359</v>
      </c>
      <c r="C1512" s="168" t="s">
        <v>137</v>
      </c>
      <c r="D1512" s="169" t="s">
        <v>343</v>
      </c>
    </row>
    <row r="1513">
      <c r="A1513" s="170">
        <v>43030.0</v>
      </c>
      <c r="B1513" s="168" t="s">
        <v>359</v>
      </c>
      <c r="C1513" s="168" t="s">
        <v>137</v>
      </c>
      <c r="D1513" s="169" t="s">
        <v>343</v>
      </c>
    </row>
    <row r="1514">
      <c r="A1514" s="170">
        <v>43031.0</v>
      </c>
      <c r="B1514" s="168" t="s">
        <v>360</v>
      </c>
      <c r="C1514" s="168" t="s">
        <v>137</v>
      </c>
      <c r="D1514" s="169" t="s">
        <v>343</v>
      </c>
    </row>
    <row r="1515">
      <c r="A1515" s="170">
        <v>43032.0</v>
      </c>
      <c r="B1515" s="168" t="s">
        <v>360</v>
      </c>
      <c r="C1515" s="168" t="s">
        <v>137</v>
      </c>
      <c r="D1515" s="169" t="s">
        <v>343</v>
      </c>
    </row>
    <row r="1516">
      <c r="A1516" s="170">
        <v>43033.0</v>
      </c>
      <c r="B1516" s="168" t="s">
        <v>360</v>
      </c>
      <c r="C1516" s="168" t="s">
        <v>137</v>
      </c>
      <c r="D1516" s="169" t="s">
        <v>343</v>
      </c>
    </row>
    <row r="1517">
      <c r="A1517" s="170">
        <v>43034.0</v>
      </c>
      <c r="B1517" s="168" t="s">
        <v>360</v>
      </c>
      <c r="C1517" s="168" t="s">
        <v>137</v>
      </c>
      <c r="D1517" s="169" t="s">
        <v>343</v>
      </c>
    </row>
    <row r="1518">
      <c r="A1518" s="170">
        <v>43035.0</v>
      </c>
      <c r="B1518" s="168" t="s">
        <v>360</v>
      </c>
      <c r="C1518" s="168" t="s">
        <v>137</v>
      </c>
      <c r="D1518" s="169" t="s">
        <v>343</v>
      </c>
    </row>
    <row r="1519">
      <c r="A1519" s="170">
        <v>43036.0</v>
      </c>
      <c r="B1519" s="168" t="s">
        <v>360</v>
      </c>
      <c r="C1519" s="168" t="s">
        <v>137</v>
      </c>
      <c r="D1519" s="169" t="s">
        <v>343</v>
      </c>
    </row>
    <row r="1520">
      <c r="A1520" s="170">
        <v>43037.0</v>
      </c>
      <c r="B1520" s="168" t="s">
        <v>360</v>
      </c>
      <c r="C1520" s="168" t="s">
        <v>137</v>
      </c>
      <c r="D1520" s="169" t="s">
        <v>343</v>
      </c>
    </row>
    <row r="1521">
      <c r="A1521" s="170">
        <v>43038.0</v>
      </c>
      <c r="B1521" s="168" t="s">
        <v>361</v>
      </c>
      <c r="C1521" s="168" t="s">
        <v>137</v>
      </c>
      <c r="D1521" s="169" t="s">
        <v>344</v>
      </c>
    </row>
    <row r="1522">
      <c r="A1522" s="170">
        <v>43039.0</v>
      </c>
      <c r="B1522" s="168" t="s">
        <v>361</v>
      </c>
      <c r="C1522" s="168" t="s">
        <v>137</v>
      </c>
      <c r="D1522" s="169" t="s">
        <v>344</v>
      </c>
    </row>
    <row r="1523">
      <c r="A1523" s="170">
        <v>43040.0</v>
      </c>
      <c r="B1523" s="168" t="s">
        <v>361</v>
      </c>
      <c r="C1523" s="168" t="s">
        <v>137</v>
      </c>
      <c r="D1523" s="169" t="s">
        <v>344</v>
      </c>
    </row>
    <row r="1524">
      <c r="A1524" s="170">
        <v>43041.0</v>
      </c>
      <c r="B1524" s="168" t="s">
        <v>361</v>
      </c>
      <c r="C1524" s="168" t="s">
        <v>137</v>
      </c>
      <c r="D1524" s="169" t="s">
        <v>344</v>
      </c>
    </row>
    <row r="1525">
      <c r="A1525" s="170">
        <v>43042.0</v>
      </c>
      <c r="B1525" s="168" t="s">
        <v>361</v>
      </c>
      <c r="C1525" s="168" t="s">
        <v>137</v>
      </c>
      <c r="D1525" s="169" t="s">
        <v>344</v>
      </c>
    </row>
    <row r="1526">
      <c r="A1526" s="170">
        <v>43043.0</v>
      </c>
      <c r="B1526" s="168" t="s">
        <v>361</v>
      </c>
      <c r="C1526" s="168" t="s">
        <v>137</v>
      </c>
      <c r="D1526" s="169" t="s">
        <v>344</v>
      </c>
    </row>
    <row r="1527">
      <c r="A1527" s="170">
        <v>43044.0</v>
      </c>
      <c r="B1527" s="168" t="s">
        <v>361</v>
      </c>
      <c r="C1527" s="168" t="s">
        <v>137</v>
      </c>
      <c r="D1527" s="169" t="s">
        <v>344</v>
      </c>
    </row>
    <row r="1528">
      <c r="A1528" s="170">
        <v>43045.0</v>
      </c>
      <c r="B1528" s="168" t="s">
        <v>362</v>
      </c>
      <c r="C1528" s="168" t="s">
        <v>137</v>
      </c>
      <c r="D1528" s="169" t="s">
        <v>344</v>
      </c>
    </row>
    <row r="1529">
      <c r="A1529" s="170">
        <v>43046.0</v>
      </c>
      <c r="B1529" s="168" t="s">
        <v>362</v>
      </c>
      <c r="C1529" s="168" t="s">
        <v>137</v>
      </c>
      <c r="D1529" s="169" t="s">
        <v>344</v>
      </c>
    </row>
    <row r="1530">
      <c r="A1530" s="170">
        <v>43047.0</v>
      </c>
      <c r="B1530" s="168" t="s">
        <v>362</v>
      </c>
      <c r="C1530" s="168" t="s">
        <v>137</v>
      </c>
      <c r="D1530" s="169" t="s">
        <v>344</v>
      </c>
    </row>
    <row r="1531">
      <c r="A1531" s="170">
        <v>43048.0</v>
      </c>
      <c r="B1531" s="168" t="s">
        <v>362</v>
      </c>
      <c r="C1531" s="168" t="s">
        <v>137</v>
      </c>
      <c r="D1531" s="169" t="s">
        <v>344</v>
      </c>
    </row>
    <row r="1532">
      <c r="A1532" s="170">
        <v>43049.0</v>
      </c>
      <c r="B1532" s="168" t="s">
        <v>362</v>
      </c>
      <c r="C1532" s="168" t="s">
        <v>137</v>
      </c>
      <c r="D1532" s="169" t="s">
        <v>344</v>
      </c>
    </row>
    <row r="1533">
      <c r="A1533" s="170">
        <v>43050.0</v>
      </c>
      <c r="B1533" s="168" t="s">
        <v>362</v>
      </c>
      <c r="C1533" s="168" t="s">
        <v>137</v>
      </c>
      <c r="D1533" s="169" t="s">
        <v>344</v>
      </c>
    </row>
    <row r="1534">
      <c r="A1534" s="170">
        <v>43051.0</v>
      </c>
      <c r="B1534" s="168" t="s">
        <v>362</v>
      </c>
      <c r="C1534" s="168" t="s">
        <v>137</v>
      </c>
      <c r="D1534" s="169" t="s">
        <v>344</v>
      </c>
    </row>
    <row r="1535">
      <c r="A1535" s="170">
        <v>43052.0</v>
      </c>
      <c r="B1535" s="168" t="s">
        <v>363</v>
      </c>
      <c r="C1535" s="168" t="s">
        <v>137</v>
      </c>
      <c r="D1535" s="169" t="s">
        <v>344</v>
      </c>
    </row>
    <row r="1536">
      <c r="A1536" s="170">
        <v>43053.0</v>
      </c>
      <c r="B1536" s="168" t="s">
        <v>363</v>
      </c>
      <c r="C1536" s="168" t="s">
        <v>137</v>
      </c>
      <c r="D1536" s="169" t="s">
        <v>344</v>
      </c>
    </row>
    <row r="1537">
      <c r="A1537" s="170">
        <v>43054.0</v>
      </c>
      <c r="B1537" s="168" t="s">
        <v>363</v>
      </c>
      <c r="C1537" s="168" t="s">
        <v>137</v>
      </c>
      <c r="D1537" s="169" t="s">
        <v>344</v>
      </c>
    </row>
    <row r="1538">
      <c r="A1538" s="170">
        <v>43055.0</v>
      </c>
      <c r="B1538" s="168" t="s">
        <v>363</v>
      </c>
      <c r="C1538" s="168" t="s">
        <v>137</v>
      </c>
      <c r="D1538" s="169" t="s">
        <v>344</v>
      </c>
    </row>
    <row r="1539">
      <c r="A1539" s="170">
        <v>43056.0</v>
      </c>
      <c r="B1539" s="168" t="s">
        <v>363</v>
      </c>
      <c r="C1539" s="168" t="s">
        <v>137</v>
      </c>
      <c r="D1539" s="169" t="s">
        <v>344</v>
      </c>
    </row>
    <row r="1540">
      <c r="A1540" s="170">
        <v>43057.0</v>
      </c>
      <c r="B1540" s="168" t="s">
        <v>363</v>
      </c>
      <c r="C1540" s="168" t="s">
        <v>137</v>
      </c>
      <c r="D1540" s="169" t="s">
        <v>344</v>
      </c>
    </row>
    <row r="1541">
      <c r="A1541" s="170">
        <v>43058.0</v>
      </c>
      <c r="B1541" s="168" t="s">
        <v>363</v>
      </c>
      <c r="C1541" s="168" t="s">
        <v>137</v>
      </c>
      <c r="D1541" s="169" t="s">
        <v>344</v>
      </c>
    </row>
    <row r="1542">
      <c r="A1542" s="170">
        <v>43059.0</v>
      </c>
      <c r="B1542" s="168" t="s">
        <v>364</v>
      </c>
      <c r="C1542" s="168" t="s">
        <v>137</v>
      </c>
      <c r="D1542" s="169" t="s">
        <v>344</v>
      </c>
    </row>
    <row r="1543">
      <c r="A1543" s="170">
        <v>43060.0</v>
      </c>
      <c r="B1543" s="168" t="s">
        <v>364</v>
      </c>
      <c r="C1543" s="168" t="s">
        <v>137</v>
      </c>
      <c r="D1543" s="169" t="s">
        <v>344</v>
      </c>
    </row>
    <row r="1544">
      <c r="A1544" s="170">
        <v>43061.0</v>
      </c>
      <c r="B1544" s="168" t="s">
        <v>364</v>
      </c>
      <c r="C1544" s="168" t="s">
        <v>137</v>
      </c>
      <c r="D1544" s="169" t="s">
        <v>344</v>
      </c>
    </row>
    <row r="1545">
      <c r="A1545" s="170">
        <v>43062.0</v>
      </c>
      <c r="B1545" s="168" t="s">
        <v>364</v>
      </c>
      <c r="C1545" s="168" t="s">
        <v>137</v>
      </c>
      <c r="D1545" s="169" t="s">
        <v>344</v>
      </c>
    </row>
    <row r="1546">
      <c r="A1546" s="170">
        <v>43063.0</v>
      </c>
      <c r="B1546" s="168" t="s">
        <v>364</v>
      </c>
      <c r="C1546" s="168" t="s">
        <v>137</v>
      </c>
      <c r="D1546" s="169" t="s">
        <v>344</v>
      </c>
    </row>
    <row r="1547">
      <c r="A1547" s="170">
        <v>43064.0</v>
      </c>
      <c r="B1547" s="168" t="s">
        <v>364</v>
      </c>
      <c r="C1547" s="168" t="s">
        <v>137</v>
      </c>
      <c r="D1547" s="169" t="s">
        <v>344</v>
      </c>
    </row>
    <row r="1548">
      <c r="A1548" s="170">
        <v>43065.0</v>
      </c>
      <c r="B1548" s="168" t="s">
        <v>364</v>
      </c>
      <c r="C1548" s="168" t="s">
        <v>137</v>
      </c>
      <c r="D1548" s="169" t="s">
        <v>344</v>
      </c>
    </row>
    <row r="1549">
      <c r="A1549" s="170">
        <v>43066.0</v>
      </c>
      <c r="B1549" s="168" t="s">
        <v>365</v>
      </c>
      <c r="C1549" s="168" t="s">
        <v>137</v>
      </c>
      <c r="D1549" s="169" t="s">
        <v>345</v>
      </c>
    </row>
    <row r="1550">
      <c r="A1550" s="170">
        <v>43067.0</v>
      </c>
      <c r="B1550" s="168" t="s">
        <v>365</v>
      </c>
      <c r="C1550" s="168" t="s">
        <v>137</v>
      </c>
      <c r="D1550" s="169" t="s">
        <v>345</v>
      </c>
    </row>
    <row r="1551">
      <c r="A1551" s="170">
        <v>43068.0</v>
      </c>
      <c r="B1551" s="168" t="s">
        <v>365</v>
      </c>
      <c r="C1551" s="168" t="s">
        <v>137</v>
      </c>
      <c r="D1551" s="169" t="s">
        <v>345</v>
      </c>
    </row>
    <row r="1552">
      <c r="A1552" s="170">
        <v>43069.0</v>
      </c>
      <c r="B1552" s="168" t="s">
        <v>365</v>
      </c>
      <c r="C1552" s="168" t="s">
        <v>137</v>
      </c>
      <c r="D1552" s="169" t="s">
        <v>345</v>
      </c>
    </row>
    <row r="1553">
      <c r="A1553" s="170">
        <v>43070.0</v>
      </c>
      <c r="B1553" s="168" t="s">
        <v>365</v>
      </c>
      <c r="C1553" s="168" t="s">
        <v>137</v>
      </c>
      <c r="D1553" s="169" t="s">
        <v>345</v>
      </c>
    </row>
    <row r="1554">
      <c r="A1554" s="170">
        <v>43071.0</v>
      </c>
      <c r="B1554" s="168" t="s">
        <v>365</v>
      </c>
      <c r="C1554" s="168" t="s">
        <v>137</v>
      </c>
      <c r="D1554" s="169" t="s">
        <v>345</v>
      </c>
    </row>
    <row r="1555">
      <c r="A1555" s="170">
        <v>43072.0</v>
      </c>
      <c r="B1555" s="168" t="s">
        <v>365</v>
      </c>
      <c r="C1555" s="168" t="s">
        <v>137</v>
      </c>
      <c r="D1555" s="169" t="s">
        <v>345</v>
      </c>
    </row>
    <row r="1556">
      <c r="A1556" s="170">
        <v>43073.0</v>
      </c>
      <c r="B1556" s="168" t="s">
        <v>366</v>
      </c>
      <c r="C1556" s="168" t="s">
        <v>137</v>
      </c>
      <c r="D1556" s="169" t="s">
        <v>345</v>
      </c>
    </row>
    <row r="1557">
      <c r="A1557" s="170">
        <v>43074.0</v>
      </c>
      <c r="B1557" s="168" t="s">
        <v>366</v>
      </c>
      <c r="C1557" s="168" t="s">
        <v>137</v>
      </c>
      <c r="D1557" s="169" t="s">
        <v>345</v>
      </c>
    </row>
    <row r="1558">
      <c r="A1558" s="170">
        <v>43075.0</v>
      </c>
      <c r="B1558" s="168" t="s">
        <v>366</v>
      </c>
      <c r="C1558" s="168" t="s">
        <v>137</v>
      </c>
      <c r="D1558" s="169" t="s">
        <v>345</v>
      </c>
    </row>
    <row r="1559">
      <c r="A1559" s="170">
        <v>43076.0</v>
      </c>
      <c r="B1559" s="168" t="s">
        <v>366</v>
      </c>
      <c r="C1559" s="168" t="s">
        <v>137</v>
      </c>
      <c r="D1559" s="169" t="s">
        <v>345</v>
      </c>
    </row>
    <row r="1560">
      <c r="A1560" s="170">
        <v>43077.0</v>
      </c>
      <c r="B1560" s="168" t="s">
        <v>366</v>
      </c>
      <c r="C1560" s="168" t="s">
        <v>137</v>
      </c>
      <c r="D1560" s="169" t="s">
        <v>345</v>
      </c>
    </row>
    <row r="1561">
      <c r="A1561" s="170">
        <v>43078.0</v>
      </c>
      <c r="B1561" s="168" t="s">
        <v>366</v>
      </c>
      <c r="C1561" s="168" t="s">
        <v>137</v>
      </c>
      <c r="D1561" s="169" t="s">
        <v>345</v>
      </c>
    </row>
    <row r="1562">
      <c r="A1562" s="170">
        <v>43079.0</v>
      </c>
      <c r="B1562" s="168" t="s">
        <v>366</v>
      </c>
      <c r="C1562" s="168" t="s">
        <v>137</v>
      </c>
      <c r="D1562" s="169" t="s">
        <v>345</v>
      </c>
    </row>
    <row r="1563">
      <c r="A1563" s="170">
        <v>43080.0</v>
      </c>
      <c r="B1563" s="168" t="s">
        <v>367</v>
      </c>
      <c r="C1563" s="168" t="s">
        <v>137</v>
      </c>
      <c r="D1563" s="169" t="s">
        <v>345</v>
      </c>
    </row>
    <row r="1564">
      <c r="A1564" s="170">
        <v>43081.0</v>
      </c>
      <c r="B1564" s="168" t="s">
        <v>367</v>
      </c>
      <c r="C1564" s="168" t="s">
        <v>137</v>
      </c>
      <c r="D1564" s="169" t="s">
        <v>345</v>
      </c>
    </row>
    <row r="1565">
      <c r="A1565" s="170">
        <v>43082.0</v>
      </c>
      <c r="B1565" s="168" t="s">
        <v>367</v>
      </c>
      <c r="C1565" s="168" t="s">
        <v>137</v>
      </c>
      <c r="D1565" s="169" t="s">
        <v>345</v>
      </c>
    </row>
    <row r="1566">
      <c r="A1566" s="170">
        <v>43083.0</v>
      </c>
      <c r="B1566" s="168" t="s">
        <v>367</v>
      </c>
      <c r="C1566" s="168" t="s">
        <v>137</v>
      </c>
      <c r="D1566" s="169" t="s">
        <v>345</v>
      </c>
    </row>
    <row r="1567">
      <c r="A1567" s="170">
        <v>43084.0</v>
      </c>
      <c r="B1567" s="168" t="s">
        <v>367</v>
      </c>
      <c r="C1567" s="168" t="s">
        <v>137</v>
      </c>
      <c r="D1567" s="169" t="s">
        <v>345</v>
      </c>
    </row>
    <row r="1568">
      <c r="A1568" s="170">
        <v>43085.0</v>
      </c>
      <c r="B1568" s="168" t="s">
        <v>367</v>
      </c>
      <c r="C1568" s="168" t="s">
        <v>137</v>
      </c>
      <c r="D1568" s="169" t="s">
        <v>345</v>
      </c>
    </row>
    <row r="1569">
      <c r="A1569" s="170">
        <v>43086.0</v>
      </c>
      <c r="B1569" s="168" t="s">
        <v>367</v>
      </c>
      <c r="C1569" s="168" t="s">
        <v>137</v>
      </c>
      <c r="D1569" s="169" t="s">
        <v>345</v>
      </c>
    </row>
    <row r="1570">
      <c r="A1570" s="170">
        <v>43087.0</v>
      </c>
      <c r="B1570" s="168" t="s">
        <v>368</v>
      </c>
      <c r="C1570" s="168" t="s">
        <v>137</v>
      </c>
      <c r="D1570" s="169" t="s">
        <v>345</v>
      </c>
    </row>
    <row r="1571">
      <c r="A1571" s="170">
        <v>43088.0</v>
      </c>
      <c r="B1571" s="168" t="s">
        <v>368</v>
      </c>
      <c r="C1571" s="168" t="s">
        <v>137</v>
      </c>
      <c r="D1571" s="169" t="s">
        <v>345</v>
      </c>
    </row>
    <row r="1572">
      <c r="A1572" s="170">
        <v>43089.0</v>
      </c>
      <c r="B1572" s="168" t="s">
        <v>368</v>
      </c>
      <c r="C1572" s="168" t="s">
        <v>137</v>
      </c>
      <c r="D1572" s="169" t="s">
        <v>345</v>
      </c>
    </row>
    <row r="1573">
      <c r="A1573" s="170">
        <v>43090.0</v>
      </c>
      <c r="B1573" s="168" t="s">
        <v>368</v>
      </c>
      <c r="C1573" s="168" t="s">
        <v>137</v>
      </c>
      <c r="D1573" s="169" t="s">
        <v>345</v>
      </c>
    </row>
    <row r="1574">
      <c r="A1574" s="170">
        <v>43091.0</v>
      </c>
      <c r="B1574" s="168" t="s">
        <v>368</v>
      </c>
      <c r="C1574" s="168" t="s">
        <v>137</v>
      </c>
      <c r="D1574" s="169" t="s">
        <v>345</v>
      </c>
    </row>
    <row r="1575">
      <c r="A1575" s="170">
        <v>43092.0</v>
      </c>
      <c r="B1575" s="168" t="s">
        <v>368</v>
      </c>
      <c r="C1575" s="168" t="s">
        <v>137</v>
      </c>
      <c r="D1575" s="169" t="s">
        <v>345</v>
      </c>
    </row>
    <row r="1576">
      <c r="A1576" s="170">
        <v>43093.0</v>
      </c>
      <c r="B1576" s="168" t="s">
        <v>368</v>
      </c>
      <c r="C1576" s="168" t="s">
        <v>137</v>
      </c>
      <c r="D1576" s="169" t="s">
        <v>345</v>
      </c>
    </row>
    <row r="1577">
      <c r="A1577" s="170">
        <v>43094.0</v>
      </c>
      <c r="B1577" s="168" t="s">
        <v>369</v>
      </c>
      <c r="C1577" s="168" t="s">
        <v>137</v>
      </c>
      <c r="D1577" s="169" t="s">
        <v>346</v>
      </c>
    </row>
    <row r="1578">
      <c r="A1578" s="170">
        <v>43095.0</v>
      </c>
      <c r="B1578" s="168" t="s">
        <v>369</v>
      </c>
      <c r="C1578" s="168" t="s">
        <v>137</v>
      </c>
      <c r="D1578" s="169" t="s">
        <v>346</v>
      </c>
    </row>
    <row r="1579">
      <c r="A1579" s="170">
        <v>43096.0</v>
      </c>
      <c r="B1579" s="168" t="s">
        <v>369</v>
      </c>
      <c r="C1579" s="168" t="s">
        <v>137</v>
      </c>
      <c r="D1579" s="169" t="s">
        <v>346</v>
      </c>
    </row>
    <row r="1580">
      <c r="A1580" s="170">
        <v>43097.0</v>
      </c>
      <c r="B1580" s="168" t="s">
        <v>369</v>
      </c>
      <c r="C1580" s="168" t="s">
        <v>137</v>
      </c>
      <c r="D1580" s="169" t="s">
        <v>346</v>
      </c>
    </row>
    <row r="1581">
      <c r="A1581" s="170">
        <v>43098.0</v>
      </c>
      <c r="B1581" s="168" t="s">
        <v>369</v>
      </c>
      <c r="C1581" s="168" t="s">
        <v>137</v>
      </c>
      <c r="D1581" s="169" t="s">
        <v>346</v>
      </c>
    </row>
    <row r="1582">
      <c r="A1582" s="170">
        <v>43099.0</v>
      </c>
      <c r="B1582" s="168" t="s">
        <v>369</v>
      </c>
      <c r="C1582" s="168" t="s">
        <v>137</v>
      </c>
      <c r="D1582" s="169" t="s">
        <v>346</v>
      </c>
    </row>
    <row r="1583">
      <c r="A1583" s="170">
        <v>43100.0</v>
      </c>
      <c r="B1583" s="168" t="s">
        <v>369</v>
      </c>
      <c r="C1583" s="168" t="s">
        <v>137</v>
      </c>
      <c r="D1583" s="169" t="s">
        <v>346</v>
      </c>
    </row>
    <row r="1584">
      <c r="A1584" s="170">
        <v>43101.0</v>
      </c>
      <c r="B1584" s="168" t="s">
        <v>370</v>
      </c>
      <c r="C1584" s="168" t="s">
        <v>137</v>
      </c>
      <c r="D1584" s="169" t="s">
        <v>346</v>
      </c>
    </row>
    <row r="1585">
      <c r="A1585" s="170">
        <v>43102.0</v>
      </c>
      <c r="B1585" s="168" t="s">
        <v>370</v>
      </c>
      <c r="C1585" s="168" t="s">
        <v>137</v>
      </c>
      <c r="D1585" s="169" t="s">
        <v>346</v>
      </c>
    </row>
    <row r="1586">
      <c r="A1586" s="170">
        <v>43103.0</v>
      </c>
      <c r="B1586" s="168" t="s">
        <v>370</v>
      </c>
      <c r="C1586" s="168" t="s">
        <v>137</v>
      </c>
      <c r="D1586" s="169" t="s">
        <v>346</v>
      </c>
    </row>
    <row r="1587">
      <c r="A1587" s="170">
        <v>43104.0</v>
      </c>
      <c r="B1587" s="168" t="s">
        <v>370</v>
      </c>
      <c r="C1587" s="168" t="s">
        <v>137</v>
      </c>
      <c r="D1587" s="169" t="s">
        <v>346</v>
      </c>
    </row>
    <row r="1588">
      <c r="A1588" s="170">
        <v>43105.0</v>
      </c>
      <c r="B1588" s="168" t="s">
        <v>370</v>
      </c>
      <c r="C1588" s="168" t="s">
        <v>137</v>
      </c>
      <c r="D1588" s="169" t="s">
        <v>346</v>
      </c>
    </row>
    <row r="1589">
      <c r="A1589" s="170">
        <v>43106.0</v>
      </c>
      <c r="B1589" s="168" t="s">
        <v>370</v>
      </c>
      <c r="C1589" s="168" t="s">
        <v>137</v>
      </c>
      <c r="D1589" s="169" t="s">
        <v>346</v>
      </c>
    </row>
    <row r="1590">
      <c r="A1590" s="170">
        <v>43107.0</v>
      </c>
      <c r="B1590" s="168" t="s">
        <v>370</v>
      </c>
      <c r="C1590" s="168" t="s">
        <v>137</v>
      </c>
      <c r="D1590" s="169" t="s">
        <v>346</v>
      </c>
    </row>
    <row r="1591">
      <c r="A1591" s="170">
        <v>43108.0</v>
      </c>
      <c r="B1591" s="168" t="s">
        <v>371</v>
      </c>
      <c r="C1591" s="168" t="s">
        <v>137</v>
      </c>
      <c r="D1591" s="169" t="s">
        <v>346</v>
      </c>
    </row>
    <row r="1592">
      <c r="A1592" s="170">
        <v>43109.0</v>
      </c>
      <c r="B1592" s="168" t="s">
        <v>371</v>
      </c>
      <c r="C1592" s="168" t="s">
        <v>137</v>
      </c>
      <c r="D1592" s="169" t="s">
        <v>346</v>
      </c>
    </row>
    <row r="1593">
      <c r="A1593" s="170">
        <v>43110.0</v>
      </c>
      <c r="B1593" s="168" t="s">
        <v>371</v>
      </c>
      <c r="C1593" s="168" t="s">
        <v>137</v>
      </c>
      <c r="D1593" s="169" t="s">
        <v>346</v>
      </c>
    </row>
    <row r="1594">
      <c r="A1594" s="170">
        <v>43111.0</v>
      </c>
      <c r="B1594" s="168" t="s">
        <v>371</v>
      </c>
      <c r="C1594" s="168" t="s">
        <v>137</v>
      </c>
      <c r="D1594" s="169" t="s">
        <v>346</v>
      </c>
    </row>
    <row r="1595">
      <c r="A1595" s="170">
        <v>43112.0</v>
      </c>
      <c r="B1595" s="168" t="s">
        <v>371</v>
      </c>
      <c r="C1595" s="168" t="s">
        <v>137</v>
      </c>
      <c r="D1595" s="169" t="s">
        <v>346</v>
      </c>
    </row>
    <row r="1596">
      <c r="A1596" s="170">
        <v>43113.0</v>
      </c>
      <c r="B1596" s="168" t="s">
        <v>371</v>
      </c>
      <c r="C1596" s="168" t="s">
        <v>137</v>
      </c>
      <c r="D1596" s="169" t="s">
        <v>346</v>
      </c>
    </row>
    <row r="1597">
      <c r="A1597" s="170">
        <v>43114.0</v>
      </c>
      <c r="B1597" s="168" t="s">
        <v>371</v>
      </c>
      <c r="C1597" s="168" t="s">
        <v>137</v>
      </c>
      <c r="D1597" s="169" t="s">
        <v>346</v>
      </c>
    </row>
    <row r="1598">
      <c r="A1598" s="170">
        <v>43115.0</v>
      </c>
      <c r="B1598" s="168" t="s">
        <v>372</v>
      </c>
      <c r="C1598" s="168" t="s">
        <v>137</v>
      </c>
      <c r="D1598" s="169" t="s">
        <v>346</v>
      </c>
    </row>
    <row r="1599">
      <c r="A1599" s="170">
        <v>43116.0</v>
      </c>
      <c r="B1599" s="168" t="s">
        <v>372</v>
      </c>
      <c r="C1599" s="168" t="s">
        <v>137</v>
      </c>
      <c r="D1599" s="169" t="s">
        <v>346</v>
      </c>
    </row>
    <row r="1600">
      <c r="A1600" s="170">
        <v>43117.0</v>
      </c>
      <c r="B1600" s="168" t="s">
        <v>372</v>
      </c>
      <c r="C1600" s="168" t="s">
        <v>137</v>
      </c>
      <c r="D1600" s="169" t="s">
        <v>346</v>
      </c>
    </row>
    <row r="1601">
      <c r="A1601" s="170">
        <v>43118.0</v>
      </c>
      <c r="B1601" s="168" t="s">
        <v>372</v>
      </c>
      <c r="C1601" s="168" t="s">
        <v>137</v>
      </c>
      <c r="D1601" s="169" t="s">
        <v>346</v>
      </c>
    </row>
    <row r="1602">
      <c r="A1602" s="170">
        <v>43119.0</v>
      </c>
      <c r="B1602" s="168" t="s">
        <v>372</v>
      </c>
      <c r="C1602" s="168" t="s">
        <v>137</v>
      </c>
      <c r="D1602" s="169" t="s">
        <v>346</v>
      </c>
    </row>
    <row r="1603">
      <c r="A1603" s="170">
        <v>43120.0</v>
      </c>
      <c r="B1603" s="168" t="s">
        <v>372</v>
      </c>
      <c r="C1603" s="168" t="s">
        <v>137</v>
      </c>
      <c r="D1603" s="169" t="s">
        <v>346</v>
      </c>
    </row>
    <row r="1604">
      <c r="A1604" s="170">
        <v>43121.0</v>
      </c>
      <c r="B1604" s="168" t="s">
        <v>372</v>
      </c>
      <c r="C1604" s="168" t="s">
        <v>137</v>
      </c>
      <c r="D1604" s="169" t="s">
        <v>346</v>
      </c>
    </row>
    <row r="1605">
      <c r="A1605" s="170">
        <v>43122.0</v>
      </c>
      <c r="B1605" s="168" t="s">
        <v>373</v>
      </c>
      <c r="C1605" s="168" t="s">
        <v>137</v>
      </c>
      <c r="D1605" s="169" t="s">
        <v>347</v>
      </c>
    </row>
    <row r="1606">
      <c r="A1606" s="170">
        <v>43123.0</v>
      </c>
      <c r="B1606" s="168" t="s">
        <v>373</v>
      </c>
      <c r="C1606" s="168" t="s">
        <v>137</v>
      </c>
      <c r="D1606" s="169" t="s">
        <v>347</v>
      </c>
    </row>
    <row r="1607">
      <c r="A1607" s="170">
        <v>43124.0</v>
      </c>
      <c r="B1607" s="168" t="s">
        <v>373</v>
      </c>
      <c r="C1607" s="168" t="s">
        <v>137</v>
      </c>
      <c r="D1607" s="169" t="s">
        <v>347</v>
      </c>
    </row>
    <row r="1608">
      <c r="A1608" s="170">
        <v>43125.0</v>
      </c>
      <c r="B1608" s="168" t="s">
        <v>373</v>
      </c>
      <c r="C1608" s="168" t="s">
        <v>137</v>
      </c>
      <c r="D1608" s="169" t="s">
        <v>347</v>
      </c>
    </row>
    <row r="1609">
      <c r="A1609" s="170">
        <v>43126.0</v>
      </c>
      <c r="B1609" s="168" t="s">
        <v>373</v>
      </c>
      <c r="C1609" s="168" t="s">
        <v>137</v>
      </c>
      <c r="D1609" s="169" t="s">
        <v>347</v>
      </c>
    </row>
    <row r="1610">
      <c r="A1610" s="170">
        <v>43127.0</v>
      </c>
      <c r="B1610" s="168" t="s">
        <v>373</v>
      </c>
      <c r="C1610" s="168" t="s">
        <v>137</v>
      </c>
      <c r="D1610" s="169" t="s">
        <v>347</v>
      </c>
    </row>
    <row r="1611">
      <c r="A1611" s="170">
        <v>43128.0</v>
      </c>
      <c r="B1611" s="168" t="s">
        <v>373</v>
      </c>
      <c r="C1611" s="168" t="s">
        <v>137</v>
      </c>
      <c r="D1611" s="169" t="s">
        <v>347</v>
      </c>
    </row>
    <row r="1612">
      <c r="A1612" s="170">
        <v>43129.0</v>
      </c>
      <c r="B1612" s="168" t="s">
        <v>374</v>
      </c>
      <c r="C1612" s="168" t="s">
        <v>137</v>
      </c>
      <c r="D1612" s="169" t="s">
        <v>347</v>
      </c>
    </row>
    <row r="1613">
      <c r="A1613" s="170">
        <v>43130.0</v>
      </c>
      <c r="B1613" s="168" t="s">
        <v>374</v>
      </c>
      <c r="C1613" s="168" t="s">
        <v>137</v>
      </c>
      <c r="D1613" s="169" t="s">
        <v>347</v>
      </c>
    </row>
    <row r="1614">
      <c r="A1614" s="170">
        <v>43131.0</v>
      </c>
      <c r="B1614" s="168" t="s">
        <v>374</v>
      </c>
      <c r="C1614" s="168" t="s">
        <v>137</v>
      </c>
      <c r="D1614" s="169" t="s">
        <v>347</v>
      </c>
    </row>
    <row r="1615">
      <c r="A1615" s="170">
        <v>43132.0</v>
      </c>
      <c r="B1615" s="168" t="s">
        <v>374</v>
      </c>
      <c r="C1615" s="168" t="s">
        <v>137</v>
      </c>
      <c r="D1615" s="169" t="s">
        <v>347</v>
      </c>
    </row>
    <row r="1616">
      <c r="A1616" s="170">
        <v>43133.0</v>
      </c>
      <c r="B1616" s="168" t="s">
        <v>374</v>
      </c>
      <c r="C1616" s="168" t="s">
        <v>137</v>
      </c>
      <c r="D1616" s="169" t="s">
        <v>347</v>
      </c>
    </row>
    <row r="1617">
      <c r="A1617" s="170">
        <v>43134.0</v>
      </c>
      <c r="B1617" s="168" t="s">
        <v>374</v>
      </c>
      <c r="C1617" s="168" t="s">
        <v>137</v>
      </c>
      <c r="D1617" s="169" t="s">
        <v>347</v>
      </c>
    </row>
    <row r="1618">
      <c r="A1618" s="170">
        <v>43135.0</v>
      </c>
      <c r="B1618" s="168" t="s">
        <v>374</v>
      </c>
      <c r="C1618" s="168" t="s">
        <v>137</v>
      </c>
      <c r="D1618" s="169" t="s">
        <v>347</v>
      </c>
    </row>
    <row r="1619">
      <c r="A1619" s="170">
        <v>43136.0</v>
      </c>
      <c r="B1619" s="168" t="s">
        <v>375</v>
      </c>
      <c r="C1619" s="168" t="s">
        <v>137</v>
      </c>
      <c r="D1619" s="169" t="s">
        <v>347</v>
      </c>
    </row>
    <row r="1620">
      <c r="A1620" s="170">
        <v>43137.0</v>
      </c>
      <c r="B1620" s="168" t="s">
        <v>375</v>
      </c>
      <c r="C1620" s="168" t="s">
        <v>137</v>
      </c>
      <c r="D1620" s="169" t="s">
        <v>347</v>
      </c>
    </row>
    <row r="1621">
      <c r="A1621" s="170">
        <v>43138.0</v>
      </c>
      <c r="B1621" s="168" t="s">
        <v>375</v>
      </c>
      <c r="C1621" s="168" t="s">
        <v>137</v>
      </c>
      <c r="D1621" s="169" t="s">
        <v>347</v>
      </c>
    </row>
    <row r="1622">
      <c r="A1622" s="170">
        <v>43139.0</v>
      </c>
      <c r="B1622" s="168" t="s">
        <v>375</v>
      </c>
      <c r="C1622" s="168" t="s">
        <v>137</v>
      </c>
      <c r="D1622" s="169" t="s">
        <v>347</v>
      </c>
    </row>
    <row r="1623">
      <c r="A1623" s="170">
        <v>43140.0</v>
      </c>
      <c r="B1623" s="168" t="s">
        <v>375</v>
      </c>
      <c r="C1623" s="168" t="s">
        <v>137</v>
      </c>
      <c r="D1623" s="169" t="s">
        <v>347</v>
      </c>
    </row>
    <row r="1624">
      <c r="A1624" s="170">
        <v>43141.0</v>
      </c>
      <c r="B1624" s="168" t="s">
        <v>375</v>
      </c>
      <c r="C1624" s="168" t="s">
        <v>137</v>
      </c>
      <c r="D1624" s="169" t="s">
        <v>347</v>
      </c>
    </row>
    <row r="1625">
      <c r="A1625" s="170">
        <v>43142.0</v>
      </c>
      <c r="B1625" s="168" t="s">
        <v>375</v>
      </c>
      <c r="C1625" s="168" t="s">
        <v>137</v>
      </c>
      <c r="D1625" s="169" t="s">
        <v>347</v>
      </c>
    </row>
    <row r="1626">
      <c r="A1626" s="170">
        <v>43143.0</v>
      </c>
      <c r="B1626" s="168" t="s">
        <v>376</v>
      </c>
      <c r="C1626" s="168" t="s">
        <v>137</v>
      </c>
      <c r="D1626" s="169" t="s">
        <v>347</v>
      </c>
    </row>
    <row r="1627">
      <c r="A1627" s="170">
        <v>43144.0</v>
      </c>
      <c r="B1627" s="168" t="s">
        <v>376</v>
      </c>
      <c r="C1627" s="168" t="s">
        <v>137</v>
      </c>
      <c r="D1627" s="169" t="s">
        <v>347</v>
      </c>
    </row>
    <row r="1628">
      <c r="A1628" s="170">
        <v>43145.0</v>
      </c>
      <c r="B1628" s="168" t="s">
        <v>376</v>
      </c>
      <c r="C1628" s="168" t="s">
        <v>137</v>
      </c>
      <c r="D1628" s="169" t="s">
        <v>347</v>
      </c>
    </row>
    <row r="1629">
      <c r="A1629" s="170">
        <v>43146.0</v>
      </c>
      <c r="B1629" s="168" t="s">
        <v>376</v>
      </c>
      <c r="C1629" s="168" t="s">
        <v>137</v>
      </c>
      <c r="D1629" s="169" t="s">
        <v>347</v>
      </c>
    </row>
    <row r="1630">
      <c r="A1630" s="170">
        <v>43147.0</v>
      </c>
      <c r="B1630" s="168" t="s">
        <v>376</v>
      </c>
      <c r="C1630" s="168" t="s">
        <v>137</v>
      </c>
      <c r="D1630" s="169" t="s">
        <v>347</v>
      </c>
    </row>
    <row r="1631">
      <c r="A1631" s="170">
        <v>43148.0</v>
      </c>
      <c r="B1631" s="168" t="s">
        <v>376</v>
      </c>
      <c r="C1631" s="168" t="s">
        <v>137</v>
      </c>
      <c r="D1631" s="169" t="s">
        <v>347</v>
      </c>
    </row>
    <row r="1632">
      <c r="A1632" s="170">
        <v>43149.0</v>
      </c>
      <c r="B1632" s="168" t="s">
        <v>376</v>
      </c>
      <c r="C1632" s="168" t="s">
        <v>137</v>
      </c>
      <c r="D1632" s="169" t="s">
        <v>347</v>
      </c>
    </row>
    <row r="1633">
      <c r="A1633" s="170">
        <v>43150.0</v>
      </c>
      <c r="B1633" s="168" t="s">
        <v>377</v>
      </c>
      <c r="C1633" s="168" t="s">
        <v>137</v>
      </c>
      <c r="D1633" s="169" t="s">
        <v>348</v>
      </c>
    </row>
    <row r="1634">
      <c r="A1634" s="170">
        <v>43151.0</v>
      </c>
      <c r="B1634" s="168" t="s">
        <v>377</v>
      </c>
      <c r="C1634" s="168" t="s">
        <v>137</v>
      </c>
      <c r="D1634" s="169" t="s">
        <v>348</v>
      </c>
    </row>
    <row r="1635">
      <c r="A1635" s="170">
        <v>43152.0</v>
      </c>
      <c r="B1635" s="168" t="s">
        <v>377</v>
      </c>
      <c r="C1635" s="168" t="s">
        <v>137</v>
      </c>
      <c r="D1635" s="169" t="s">
        <v>348</v>
      </c>
    </row>
    <row r="1636">
      <c r="A1636" s="170">
        <v>43153.0</v>
      </c>
      <c r="B1636" s="168" t="s">
        <v>377</v>
      </c>
      <c r="C1636" s="168" t="s">
        <v>137</v>
      </c>
      <c r="D1636" s="169" t="s">
        <v>348</v>
      </c>
    </row>
    <row r="1637">
      <c r="A1637" s="170">
        <v>43154.0</v>
      </c>
      <c r="B1637" s="168" t="s">
        <v>377</v>
      </c>
      <c r="C1637" s="168" t="s">
        <v>137</v>
      </c>
      <c r="D1637" s="169" t="s">
        <v>348</v>
      </c>
    </row>
    <row r="1638">
      <c r="A1638" s="170">
        <v>43155.0</v>
      </c>
      <c r="B1638" s="168" t="s">
        <v>377</v>
      </c>
      <c r="C1638" s="168" t="s">
        <v>137</v>
      </c>
      <c r="D1638" s="169" t="s">
        <v>348</v>
      </c>
    </row>
    <row r="1639">
      <c r="A1639" s="170">
        <v>43156.0</v>
      </c>
      <c r="B1639" s="168" t="s">
        <v>377</v>
      </c>
      <c r="C1639" s="168" t="s">
        <v>137</v>
      </c>
      <c r="D1639" s="169" t="s">
        <v>348</v>
      </c>
    </row>
    <row r="1640">
      <c r="A1640" s="170">
        <v>43157.0</v>
      </c>
      <c r="B1640" s="168" t="s">
        <v>378</v>
      </c>
      <c r="C1640" s="168" t="s">
        <v>137</v>
      </c>
      <c r="D1640" s="169" t="s">
        <v>348</v>
      </c>
    </row>
    <row r="1641">
      <c r="A1641" s="170">
        <v>43158.0</v>
      </c>
      <c r="B1641" s="168" t="s">
        <v>378</v>
      </c>
      <c r="C1641" s="168" t="s">
        <v>137</v>
      </c>
      <c r="D1641" s="169" t="s">
        <v>348</v>
      </c>
    </row>
    <row r="1642">
      <c r="A1642" s="170">
        <v>43159.0</v>
      </c>
      <c r="B1642" s="168" t="s">
        <v>378</v>
      </c>
      <c r="C1642" s="168" t="s">
        <v>137</v>
      </c>
      <c r="D1642" s="169" t="s">
        <v>348</v>
      </c>
    </row>
    <row r="1643">
      <c r="A1643" s="170">
        <v>43160.0</v>
      </c>
      <c r="B1643" s="168" t="s">
        <v>378</v>
      </c>
      <c r="C1643" s="168" t="s">
        <v>137</v>
      </c>
      <c r="D1643" s="169" t="s">
        <v>348</v>
      </c>
    </row>
    <row r="1644">
      <c r="A1644" s="170">
        <v>43161.0</v>
      </c>
      <c r="B1644" s="168" t="s">
        <v>378</v>
      </c>
      <c r="C1644" s="168" t="s">
        <v>137</v>
      </c>
      <c r="D1644" s="169" t="s">
        <v>348</v>
      </c>
    </row>
    <row r="1645">
      <c r="A1645" s="170">
        <v>43162.0</v>
      </c>
      <c r="B1645" s="168" t="s">
        <v>378</v>
      </c>
      <c r="C1645" s="168" t="s">
        <v>137</v>
      </c>
      <c r="D1645" s="169" t="s">
        <v>348</v>
      </c>
    </row>
    <row r="1646">
      <c r="A1646" s="170">
        <v>43163.0</v>
      </c>
      <c r="B1646" s="168" t="s">
        <v>378</v>
      </c>
      <c r="C1646" s="168" t="s">
        <v>137</v>
      </c>
      <c r="D1646" s="169" t="s">
        <v>348</v>
      </c>
    </row>
    <row r="1647">
      <c r="A1647" s="170">
        <v>43164.0</v>
      </c>
      <c r="B1647" s="168" t="s">
        <v>379</v>
      </c>
      <c r="C1647" s="168" t="s">
        <v>137</v>
      </c>
      <c r="D1647" s="169" t="s">
        <v>348</v>
      </c>
    </row>
    <row r="1648">
      <c r="A1648" s="170">
        <v>43165.0</v>
      </c>
      <c r="B1648" s="168" t="s">
        <v>379</v>
      </c>
      <c r="C1648" s="168" t="s">
        <v>137</v>
      </c>
      <c r="D1648" s="169" t="s">
        <v>348</v>
      </c>
    </row>
    <row r="1649">
      <c r="A1649" s="170">
        <v>43166.0</v>
      </c>
      <c r="B1649" s="168" t="s">
        <v>379</v>
      </c>
      <c r="C1649" s="168" t="s">
        <v>137</v>
      </c>
      <c r="D1649" s="169" t="s">
        <v>348</v>
      </c>
    </row>
    <row r="1650">
      <c r="A1650" s="170">
        <v>43167.0</v>
      </c>
      <c r="B1650" s="168" t="s">
        <v>379</v>
      </c>
      <c r="C1650" s="168" t="s">
        <v>137</v>
      </c>
      <c r="D1650" s="169" t="s">
        <v>348</v>
      </c>
    </row>
    <row r="1651">
      <c r="A1651" s="170">
        <v>43168.0</v>
      </c>
      <c r="B1651" s="168" t="s">
        <v>379</v>
      </c>
      <c r="C1651" s="168" t="s">
        <v>137</v>
      </c>
      <c r="D1651" s="169" t="s">
        <v>348</v>
      </c>
    </row>
    <row r="1652">
      <c r="A1652" s="170">
        <v>43169.0</v>
      </c>
      <c r="B1652" s="168" t="s">
        <v>379</v>
      </c>
      <c r="C1652" s="168" t="s">
        <v>137</v>
      </c>
      <c r="D1652" s="169" t="s">
        <v>348</v>
      </c>
    </row>
    <row r="1653">
      <c r="A1653" s="170">
        <v>43170.0</v>
      </c>
      <c r="B1653" s="168" t="s">
        <v>379</v>
      </c>
      <c r="C1653" s="168" t="s">
        <v>137</v>
      </c>
      <c r="D1653" s="169" t="s">
        <v>348</v>
      </c>
    </row>
    <row r="1654">
      <c r="A1654" s="170">
        <v>43171.0</v>
      </c>
      <c r="B1654" s="168" t="s">
        <v>380</v>
      </c>
      <c r="C1654" s="168" t="s">
        <v>137</v>
      </c>
      <c r="D1654" s="169" t="s">
        <v>348</v>
      </c>
    </row>
    <row r="1655">
      <c r="A1655" s="170">
        <v>43172.0</v>
      </c>
      <c r="B1655" s="168" t="s">
        <v>380</v>
      </c>
      <c r="C1655" s="168" t="s">
        <v>137</v>
      </c>
      <c r="D1655" s="169" t="s">
        <v>348</v>
      </c>
    </row>
    <row r="1656">
      <c r="A1656" s="170">
        <v>43173.0</v>
      </c>
      <c r="B1656" s="168" t="s">
        <v>380</v>
      </c>
      <c r="C1656" s="168" t="s">
        <v>137</v>
      </c>
      <c r="D1656" s="169" t="s">
        <v>348</v>
      </c>
    </row>
    <row r="1657">
      <c r="A1657" s="170">
        <v>43174.0</v>
      </c>
      <c r="B1657" s="168" t="s">
        <v>380</v>
      </c>
      <c r="C1657" s="168" t="s">
        <v>137</v>
      </c>
      <c r="D1657" s="169" t="s">
        <v>348</v>
      </c>
    </row>
    <row r="1658">
      <c r="A1658" s="170">
        <v>43175.0</v>
      </c>
      <c r="B1658" s="168" t="s">
        <v>380</v>
      </c>
      <c r="C1658" s="168" t="s">
        <v>137</v>
      </c>
      <c r="D1658" s="169" t="s">
        <v>348</v>
      </c>
    </row>
    <row r="1659">
      <c r="A1659" s="170">
        <v>43176.0</v>
      </c>
      <c r="B1659" s="168" t="s">
        <v>380</v>
      </c>
      <c r="C1659" s="168" t="s">
        <v>137</v>
      </c>
      <c r="D1659" s="169" t="s">
        <v>348</v>
      </c>
    </row>
    <row r="1660">
      <c r="A1660" s="170">
        <v>43177.0</v>
      </c>
      <c r="B1660" s="168" t="s">
        <v>380</v>
      </c>
      <c r="C1660" s="168" t="s">
        <v>137</v>
      </c>
      <c r="D1660" s="169" t="s">
        <v>348</v>
      </c>
    </row>
    <row r="1661">
      <c r="A1661" s="170">
        <v>43178.0</v>
      </c>
      <c r="B1661" s="168" t="s">
        <v>381</v>
      </c>
      <c r="C1661" s="168" t="s">
        <v>137</v>
      </c>
      <c r="D1661" s="169" t="s">
        <v>349</v>
      </c>
    </row>
    <row r="1662">
      <c r="A1662" s="170">
        <v>43179.0</v>
      </c>
      <c r="B1662" s="168" t="s">
        <v>381</v>
      </c>
      <c r="C1662" s="168" t="s">
        <v>137</v>
      </c>
      <c r="D1662" s="169" t="s">
        <v>349</v>
      </c>
    </row>
    <row r="1663">
      <c r="A1663" s="170">
        <v>43180.0</v>
      </c>
      <c r="B1663" s="168" t="s">
        <v>381</v>
      </c>
      <c r="C1663" s="168" t="s">
        <v>137</v>
      </c>
      <c r="D1663" s="169" t="s">
        <v>349</v>
      </c>
    </row>
    <row r="1664">
      <c r="A1664" s="170">
        <v>43181.0</v>
      </c>
      <c r="B1664" s="168" t="s">
        <v>381</v>
      </c>
      <c r="C1664" s="168" t="s">
        <v>137</v>
      </c>
      <c r="D1664" s="169" t="s">
        <v>349</v>
      </c>
    </row>
    <row r="1665">
      <c r="A1665" s="170">
        <v>43182.0</v>
      </c>
      <c r="B1665" s="168" t="s">
        <v>381</v>
      </c>
      <c r="C1665" s="168" t="s">
        <v>137</v>
      </c>
      <c r="D1665" s="169" t="s">
        <v>349</v>
      </c>
    </row>
    <row r="1666">
      <c r="A1666" s="170">
        <v>43183.0</v>
      </c>
      <c r="B1666" s="168" t="s">
        <v>381</v>
      </c>
      <c r="C1666" s="168" t="s">
        <v>137</v>
      </c>
      <c r="D1666" s="169" t="s">
        <v>349</v>
      </c>
    </row>
    <row r="1667">
      <c r="A1667" s="170">
        <v>43184.0</v>
      </c>
      <c r="B1667" s="168" t="s">
        <v>381</v>
      </c>
      <c r="C1667" s="168" t="s">
        <v>137</v>
      </c>
      <c r="D1667" s="169" t="s">
        <v>349</v>
      </c>
    </row>
    <row r="1668">
      <c r="A1668" s="170">
        <v>43185.0</v>
      </c>
      <c r="B1668" s="168" t="s">
        <v>382</v>
      </c>
      <c r="C1668" s="168" t="s">
        <v>137</v>
      </c>
      <c r="D1668" s="169" t="s">
        <v>349</v>
      </c>
    </row>
    <row r="1669">
      <c r="A1669" s="170">
        <v>43186.0</v>
      </c>
      <c r="B1669" s="168" t="s">
        <v>382</v>
      </c>
      <c r="C1669" s="168" t="s">
        <v>137</v>
      </c>
      <c r="D1669" s="169" t="s">
        <v>349</v>
      </c>
    </row>
    <row r="1670">
      <c r="A1670" s="170">
        <v>43187.0</v>
      </c>
      <c r="B1670" s="168" t="s">
        <v>382</v>
      </c>
      <c r="C1670" s="168" t="s">
        <v>137</v>
      </c>
      <c r="D1670" s="169" t="s">
        <v>349</v>
      </c>
    </row>
    <row r="1671">
      <c r="A1671" s="170">
        <v>43188.0</v>
      </c>
      <c r="B1671" s="168" t="s">
        <v>382</v>
      </c>
      <c r="C1671" s="168" t="s">
        <v>137</v>
      </c>
      <c r="D1671" s="169" t="s">
        <v>349</v>
      </c>
    </row>
    <row r="1672">
      <c r="A1672" s="170">
        <v>43189.0</v>
      </c>
      <c r="B1672" s="168" t="s">
        <v>382</v>
      </c>
      <c r="C1672" s="168" t="s">
        <v>137</v>
      </c>
      <c r="D1672" s="169" t="s">
        <v>349</v>
      </c>
    </row>
    <row r="1673">
      <c r="A1673" s="170">
        <v>43190.0</v>
      </c>
      <c r="B1673" s="168" t="s">
        <v>382</v>
      </c>
      <c r="C1673" s="168" t="s">
        <v>137</v>
      </c>
      <c r="D1673" s="169" t="s">
        <v>349</v>
      </c>
    </row>
    <row r="1674">
      <c r="A1674" s="170">
        <v>43191.0</v>
      </c>
      <c r="B1674" s="168" t="s">
        <v>382</v>
      </c>
      <c r="C1674" s="168" t="s">
        <v>137</v>
      </c>
      <c r="D1674" s="169" t="s">
        <v>349</v>
      </c>
    </row>
    <row r="1675">
      <c r="A1675" s="170">
        <v>43192.0</v>
      </c>
      <c r="B1675" s="168" t="s">
        <v>383</v>
      </c>
      <c r="C1675" s="168" t="s">
        <v>137</v>
      </c>
      <c r="D1675" s="169" t="s">
        <v>349</v>
      </c>
    </row>
    <row r="1676">
      <c r="A1676" s="170">
        <v>43193.0</v>
      </c>
      <c r="B1676" s="168" t="s">
        <v>383</v>
      </c>
      <c r="C1676" s="168" t="s">
        <v>137</v>
      </c>
      <c r="D1676" s="169" t="s">
        <v>349</v>
      </c>
    </row>
    <row r="1677">
      <c r="A1677" s="170">
        <v>43194.0</v>
      </c>
      <c r="B1677" s="168" t="s">
        <v>383</v>
      </c>
      <c r="C1677" s="168" t="s">
        <v>137</v>
      </c>
      <c r="D1677" s="169" t="s">
        <v>349</v>
      </c>
    </row>
    <row r="1678">
      <c r="A1678" s="170">
        <v>43195.0</v>
      </c>
      <c r="B1678" s="168" t="s">
        <v>383</v>
      </c>
      <c r="C1678" s="168" t="s">
        <v>137</v>
      </c>
      <c r="D1678" s="169" t="s">
        <v>349</v>
      </c>
    </row>
    <row r="1679">
      <c r="A1679" s="170">
        <v>43196.0</v>
      </c>
      <c r="B1679" s="168" t="s">
        <v>383</v>
      </c>
      <c r="C1679" s="168" t="s">
        <v>137</v>
      </c>
      <c r="D1679" s="169" t="s">
        <v>349</v>
      </c>
    </row>
    <row r="1680">
      <c r="A1680" s="170">
        <v>43197.0</v>
      </c>
      <c r="B1680" s="168" t="s">
        <v>383</v>
      </c>
      <c r="C1680" s="168" t="s">
        <v>137</v>
      </c>
      <c r="D1680" s="169" t="s">
        <v>349</v>
      </c>
    </row>
    <row r="1681">
      <c r="A1681" s="170">
        <v>43198.0</v>
      </c>
      <c r="B1681" s="168" t="s">
        <v>383</v>
      </c>
      <c r="C1681" s="168" t="s">
        <v>137</v>
      </c>
      <c r="D1681" s="169" t="s">
        <v>349</v>
      </c>
    </row>
    <row r="1682">
      <c r="A1682" s="170">
        <v>43199.0</v>
      </c>
      <c r="B1682" s="168" t="s">
        <v>384</v>
      </c>
      <c r="C1682" s="168" t="s">
        <v>137</v>
      </c>
      <c r="D1682" s="169" t="s">
        <v>349</v>
      </c>
    </row>
    <row r="1683">
      <c r="A1683" s="170">
        <v>43200.0</v>
      </c>
      <c r="B1683" s="168" t="s">
        <v>384</v>
      </c>
      <c r="C1683" s="168" t="s">
        <v>137</v>
      </c>
      <c r="D1683" s="169" t="s">
        <v>349</v>
      </c>
    </row>
    <row r="1684">
      <c r="A1684" s="170">
        <v>43201.0</v>
      </c>
      <c r="B1684" s="168" t="s">
        <v>384</v>
      </c>
      <c r="C1684" s="168" t="s">
        <v>137</v>
      </c>
      <c r="D1684" s="169" t="s">
        <v>349</v>
      </c>
    </row>
    <row r="1685">
      <c r="A1685" s="170">
        <v>43202.0</v>
      </c>
      <c r="B1685" s="168" t="s">
        <v>384</v>
      </c>
      <c r="C1685" s="168" t="s">
        <v>137</v>
      </c>
      <c r="D1685" s="169" t="s">
        <v>349</v>
      </c>
    </row>
    <row r="1686">
      <c r="A1686" s="170">
        <v>43203.0</v>
      </c>
      <c r="B1686" s="168" t="s">
        <v>384</v>
      </c>
      <c r="C1686" s="168" t="s">
        <v>137</v>
      </c>
      <c r="D1686" s="169" t="s">
        <v>349</v>
      </c>
    </row>
    <row r="1687">
      <c r="A1687" s="170">
        <v>43204.0</v>
      </c>
      <c r="B1687" s="168" t="s">
        <v>384</v>
      </c>
      <c r="C1687" s="168" t="s">
        <v>137</v>
      </c>
      <c r="D1687" s="169" t="s">
        <v>349</v>
      </c>
    </row>
    <row r="1688">
      <c r="A1688" s="170">
        <v>43205.0</v>
      </c>
      <c r="B1688" s="168" t="s">
        <v>384</v>
      </c>
      <c r="C1688" s="168" t="s">
        <v>137</v>
      </c>
      <c r="D1688" s="169" t="s">
        <v>349</v>
      </c>
    </row>
    <row r="1689">
      <c r="A1689" s="170">
        <v>43206.0</v>
      </c>
      <c r="B1689" s="168" t="s">
        <v>385</v>
      </c>
      <c r="C1689" s="168" t="s">
        <v>137</v>
      </c>
      <c r="D1689" s="169" t="s">
        <v>351</v>
      </c>
    </row>
    <row r="1690">
      <c r="A1690" s="170">
        <v>43207.0</v>
      </c>
      <c r="B1690" s="168" t="s">
        <v>385</v>
      </c>
      <c r="C1690" s="168" t="s">
        <v>137</v>
      </c>
      <c r="D1690" s="169" t="s">
        <v>351</v>
      </c>
    </row>
    <row r="1691">
      <c r="A1691" s="170">
        <v>43208.0</v>
      </c>
      <c r="B1691" s="168" t="s">
        <v>385</v>
      </c>
      <c r="C1691" s="168" t="s">
        <v>137</v>
      </c>
      <c r="D1691" s="169" t="s">
        <v>351</v>
      </c>
    </row>
    <row r="1692">
      <c r="A1692" s="170">
        <v>43209.0</v>
      </c>
      <c r="B1692" s="168" t="s">
        <v>385</v>
      </c>
      <c r="C1692" s="168" t="s">
        <v>137</v>
      </c>
      <c r="D1692" s="169" t="s">
        <v>351</v>
      </c>
    </row>
    <row r="1693">
      <c r="A1693" s="170">
        <v>43210.0</v>
      </c>
      <c r="B1693" s="168" t="s">
        <v>385</v>
      </c>
      <c r="C1693" s="168" t="s">
        <v>137</v>
      </c>
      <c r="D1693" s="169" t="s">
        <v>351</v>
      </c>
    </row>
    <row r="1694">
      <c r="A1694" s="170">
        <v>43211.0</v>
      </c>
      <c r="B1694" s="168" t="s">
        <v>385</v>
      </c>
      <c r="C1694" s="168" t="s">
        <v>137</v>
      </c>
      <c r="D1694" s="169" t="s">
        <v>351</v>
      </c>
    </row>
    <row r="1695">
      <c r="A1695" s="170">
        <v>43212.0</v>
      </c>
      <c r="B1695" s="168" t="s">
        <v>385</v>
      </c>
      <c r="C1695" s="168" t="s">
        <v>137</v>
      </c>
      <c r="D1695" s="169" t="s">
        <v>351</v>
      </c>
    </row>
    <row r="1696">
      <c r="A1696" s="170">
        <v>43213.0</v>
      </c>
      <c r="B1696" s="168" t="s">
        <v>386</v>
      </c>
      <c r="C1696" s="168" t="s">
        <v>137</v>
      </c>
      <c r="D1696" s="169" t="s">
        <v>351</v>
      </c>
    </row>
    <row r="1697">
      <c r="A1697" s="170">
        <v>43214.0</v>
      </c>
      <c r="B1697" s="168" t="s">
        <v>386</v>
      </c>
      <c r="C1697" s="168" t="s">
        <v>137</v>
      </c>
      <c r="D1697" s="169" t="s">
        <v>351</v>
      </c>
    </row>
    <row r="1698">
      <c r="A1698" s="170">
        <v>43215.0</v>
      </c>
      <c r="B1698" s="168" t="s">
        <v>386</v>
      </c>
      <c r="C1698" s="168" t="s">
        <v>137</v>
      </c>
      <c r="D1698" s="169" t="s">
        <v>351</v>
      </c>
    </row>
    <row r="1699">
      <c r="A1699" s="170">
        <v>43216.0</v>
      </c>
      <c r="B1699" s="168" t="s">
        <v>386</v>
      </c>
      <c r="C1699" s="168" t="s">
        <v>137</v>
      </c>
      <c r="D1699" s="169" t="s">
        <v>351</v>
      </c>
    </row>
    <row r="1700">
      <c r="A1700" s="170">
        <v>43217.0</v>
      </c>
      <c r="B1700" s="168" t="s">
        <v>386</v>
      </c>
      <c r="C1700" s="168" t="s">
        <v>137</v>
      </c>
      <c r="D1700" s="169" t="s">
        <v>351</v>
      </c>
    </row>
    <row r="1701">
      <c r="A1701" s="170">
        <v>43218.0</v>
      </c>
      <c r="B1701" s="168" t="s">
        <v>386</v>
      </c>
      <c r="C1701" s="168" t="s">
        <v>137</v>
      </c>
      <c r="D1701" s="169" t="s">
        <v>351</v>
      </c>
    </row>
    <row r="1702">
      <c r="A1702" s="170">
        <v>43219.0</v>
      </c>
      <c r="B1702" s="168" t="s">
        <v>386</v>
      </c>
      <c r="C1702" s="168" t="s">
        <v>137</v>
      </c>
      <c r="D1702" s="169" t="s">
        <v>351</v>
      </c>
    </row>
    <row r="1703">
      <c r="A1703" s="170">
        <v>43220.0</v>
      </c>
      <c r="B1703" s="168" t="s">
        <v>387</v>
      </c>
      <c r="C1703" s="168" t="s">
        <v>137</v>
      </c>
      <c r="D1703" s="169" t="s">
        <v>351</v>
      </c>
    </row>
    <row r="1704">
      <c r="A1704" s="170">
        <v>43221.0</v>
      </c>
      <c r="B1704" s="168" t="s">
        <v>387</v>
      </c>
      <c r="C1704" s="168" t="s">
        <v>137</v>
      </c>
      <c r="D1704" s="169" t="s">
        <v>351</v>
      </c>
    </row>
    <row r="1705">
      <c r="A1705" s="170">
        <v>43222.0</v>
      </c>
      <c r="B1705" s="168" t="s">
        <v>387</v>
      </c>
      <c r="C1705" s="168" t="s">
        <v>137</v>
      </c>
      <c r="D1705" s="169" t="s">
        <v>351</v>
      </c>
    </row>
    <row r="1706">
      <c r="A1706" s="170">
        <v>43223.0</v>
      </c>
      <c r="B1706" s="168" t="s">
        <v>387</v>
      </c>
      <c r="C1706" s="168" t="s">
        <v>137</v>
      </c>
      <c r="D1706" s="169" t="s">
        <v>351</v>
      </c>
    </row>
    <row r="1707">
      <c r="A1707" s="170">
        <v>43224.0</v>
      </c>
      <c r="B1707" s="168" t="s">
        <v>387</v>
      </c>
      <c r="C1707" s="168" t="s">
        <v>137</v>
      </c>
      <c r="D1707" s="169" t="s">
        <v>351</v>
      </c>
    </row>
    <row r="1708">
      <c r="A1708" s="170">
        <v>43225.0</v>
      </c>
      <c r="B1708" s="168" t="s">
        <v>387</v>
      </c>
      <c r="C1708" s="168" t="s">
        <v>137</v>
      </c>
      <c r="D1708" s="169" t="s">
        <v>351</v>
      </c>
    </row>
    <row r="1709">
      <c r="A1709" s="170">
        <v>43226.0</v>
      </c>
      <c r="B1709" s="168" t="s">
        <v>387</v>
      </c>
      <c r="C1709" s="168" t="s">
        <v>137</v>
      </c>
      <c r="D1709" s="169" t="s">
        <v>351</v>
      </c>
    </row>
    <row r="1710">
      <c r="A1710" s="170">
        <v>43227.0</v>
      </c>
      <c r="B1710" s="168" t="s">
        <v>388</v>
      </c>
      <c r="C1710" s="168" t="s">
        <v>137</v>
      </c>
      <c r="D1710" s="169" t="s">
        <v>351</v>
      </c>
    </row>
    <row r="1711">
      <c r="A1711" s="170">
        <v>43228.0</v>
      </c>
      <c r="B1711" s="168" t="s">
        <v>388</v>
      </c>
      <c r="C1711" s="168" t="s">
        <v>137</v>
      </c>
      <c r="D1711" s="169" t="s">
        <v>351</v>
      </c>
    </row>
    <row r="1712">
      <c r="A1712" s="170">
        <v>43229.0</v>
      </c>
      <c r="B1712" s="168" t="s">
        <v>388</v>
      </c>
      <c r="C1712" s="168" t="s">
        <v>137</v>
      </c>
      <c r="D1712" s="169" t="s">
        <v>351</v>
      </c>
    </row>
    <row r="1713">
      <c r="A1713" s="170">
        <v>43230.0</v>
      </c>
      <c r="B1713" s="168" t="s">
        <v>388</v>
      </c>
      <c r="C1713" s="168" t="s">
        <v>137</v>
      </c>
      <c r="D1713" s="169" t="s">
        <v>351</v>
      </c>
    </row>
    <row r="1714">
      <c r="A1714" s="170">
        <v>43231.0</v>
      </c>
      <c r="B1714" s="168" t="s">
        <v>388</v>
      </c>
      <c r="C1714" s="168" t="s">
        <v>137</v>
      </c>
      <c r="D1714" s="169" t="s">
        <v>351</v>
      </c>
    </row>
    <row r="1715">
      <c r="A1715" s="170">
        <v>43232.0</v>
      </c>
      <c r="B1715" s="168" t="s">
        <v>388</v>
      </c>
      <c r="C1715" s="168" t="s">
        <v>137</v>
      </c>
      <c r="D1715" s="169" t="s">
        <v>351</v>
      </c>
    </row>
    <row r="1716">
      <c r="A1716" s="170">
        <v>43233.0</v>
      </c>
      <c r="B1716" s="168" t="s">
        <v>388</v>
      </c>
      <c r="C1716" s="168" t="s">
        <v>137</v>
      </c>
      <c r="D1716" s="169" t="s">
        <v>351</v>
      </c>
    </row>
    <row r="1717">
      <c r="A1717" s="170">
        <v>43234.0</v>
      </c>
      <c r="B1717" s="168" t="s">
        <v>389</v>
      </c>
      <c r="C1717" s="168" t="s">
        <v>137</v>
      </c>
      <c r="D1717" s="169" t="s">
        <v>352</v>
      </c>
    </row>
    <row r="1718">
      <c r="A1718" s="170">
        <v>43235.0</v>
      </c>
      <c r="B1718" s="168" t="s">
        <v>389</v>
      </c>
      <c r="C1718" s="168" t="s">
        <v>137</v>
      </c>
      <c r="D1718" s="169" t="s">
        <v>352</v>
      </c>
    </row>
    <row r="1719">
      <c r="A1719" s="170">
        <v>43236.0</v>
      </c>
      <c r="B1719" s="168" t="s">
        <v>389</v>
      </c>
      <c r="C1719" s="168" t="s">
        <v>137</v>
      </c>
      <c r="D1719" s="169" t="s">
        <v>352</v>
      </c>
    </row>
    <row r="1720">
      <c r="A1720" s="170">
        <v>43237.0</v>
      </c>
      <c r="B1720" s="168" t="s">
        <v>389</v>
      </c>
      <c r="C1720" s="168" t="s">
        <v>137</v>
      </c>
      <c r="D1720" s="169" t="s">
        <v>352</v>
      </c>
    </row>
    <row r="1721">
      <c r="A1721" s="170">
        <v>43238.0</v>
      </c>
      <c r="B1721" s="168" t="s">
        <v>389</v>
      </c>
      <c r="C1721" s="168" t="s">
        <v>137</v>
      </c>
      <c r="D1721" s="169" t="s">
        <v>352</v>
      </c>
    </row>
    <row r="1722">
      <c r="A1722" s="170">
        <v>43239.0</v>
      </c>
      <c r="B1722" s="168" t="s">
        <v>389</v>
      </c>
      <c r="C1722" s="168" t="s">
        <v>137</v>
      </c>
      <c r="D1722" s="169" t="s">
        <v>352</v>
      </c>
    </row>
    <row r="1723">
      <c r="A1723" s="170">
        <v>43240.0</v>
      </c>
      <c r="B1723" s="168" t="s">
        <v>389</v>
      </c>
      <c r="C1723" s="168" t="s">
        <v>137</v>
      </c>
      <c r="D1723" s="169" t="s">
        <v>352</v>
      </c>
    </row>
    <row r="1724">
      <c r="A1724" s="170">
        <v>43241.0</v>
      </c>
      <c r="B1724" s="168" t="s">
        <v>390</v>
      </c>
      <c r="C1724" s="168" t="s">
        <v>137</v>
      </c>
      <c r="D1724" s="169" t="s">
        <v>352</v>
      </c>
    </row>
    <row r="1725">
      <c r="A1725" s="170">
        <v>43242.0</v>
      </c>
      <c r="B1725" s="168" t="s">
        <v>390</v>
      </c>
      <c r="C1725" s="168" t="s">
        <v>137</v>
      </c>
      <c r="D1725" s="169" t="s">
        <v>352</v>
      </c>
    </row>
    <row r="1726">
      <c r="A1726" s="170">
        <v>43243.0</v>
      </c>
      <c r="B1726" s="168" t="s">
        <v>390</v>
      </c>
      <c r="C1726" s="168" t="s">
        <v>137</v>
      </c>
      <c r="D1726" s="169" t="s">
        <v>352</v>
      </c>
    </row>
    <row r="1727">
      <c r="A1727" s="170">
        <v>43244.0</v>
      </c>
      <c r="B1727" s="168" t="s">
        <v>390</v>
      </c>
      <c r="C1727" s="168" t="s">
        <v>137</v>
      </c>
      <c r="D1727" s="169" t="s">
        <v>352</v>
      </c>
    </row>
    <row r="1728">
      <c r="A1728" s="170">
        <v>43245.0</v>
      </c>
      <c r="B1728" s="168" t="s">
        <v>390</v>
      </c>
      <c r="C1728" s="168" t="s">
        <v>137</v>
      </c>
      <c r="D1728" s="169" t="s">
        <v>352</v>
      </c>
    </row>
    <row r="1729">
      <c r="A1729" s="170">
        <v>43246.0</v>
      </c>
      <c r="B1729" s="168" t="s">
        <v>390</v>
      </c>
      <c r="C1729" s="168" t="s">
        <v>137</v>
      </c>
      <c r="D1729" s="169" t="s">
        <v>352</v>
      </c>
    </row>
    <row r="1730">
      <c r="A1730" s="170">
        <v>43247.0</v>
      </c>
      <c r="B1730" s="168" t="s">
        <v>390</v>
      </c>
      <c r="C1730" s="168" t="s">
        <v>137</v>
      </c>
      <c r="D1730" s="169" t="s">
        <v>352</v>
      </c>
    </row>
    <row r="1731">
      <c r="A1731" s="170">
        <v>43248.0</v>
      </c>
      <c r="B1731" s="168" t="s">
        <v>391</v>
      </c>
      <c r="C1731" s="168" t="s">
        <v>137</v>
      </c>
      <c r="D1731" s="169" t="s">
        <v>352</v>
      </c>
    </row>
    <row r="1732">
      <c r="A1732" s="170">
        <v>43249.0</v>
      </c>
      <c r="B1732" s="168" t="s">
        <v>391</v>
      </c>
      <c r="C1732" s="168" t="s">
        <v>137</v>
      </c>
      <c r="D1732" s="169" t="s">
        <v>352</v>
      </c>
    </row>
    <row r="1733">
      <c r="A1733" s="170">
        <v>43250.0</v>
      </c>
      <c r="B1733" s="168" t="s">
        <v>391</v>
      </c>
      <c r="C1733" s="168" t="s">
        <v>137</v>
      </c>
      <c r="D1733" s="169" t="s">
        <v>352</v>
      </c>
    </row>
    <row r="1734">
      <c r="A1734" s="170">
        <v>43251.0</v>
      </c>
      <c r="B1734" s="168" t="s">
        <v>391</v>
      </c>
      <c r="C1734" s="168" t="s">
        <v>137</v>
      </c>
      <c r="D1734" s="169" t="s">
        <v>352</v>
      </c>
    </row>
    <row r="1735">
      <c r="A1735" s="170">
        <v>43252.0</v>
      </c>
      <c r="B1735" s="168" t="s">
        <v>391</v>
      </c>
      <c r="C1735" s="168" t="s">
        <v>137</v>
      </c>
      <c r="D1735" s="169" t="s">
        <v>352</v>
      </c>
    </row>
    <row r="1736">
      <c r="A1736" s="170">
        <v>43253.0</v>
      </c>
      <c r="B1736" s="168" t="s">
        <v>391</v>
      </c>
      <c r="C1736" s="168" t="s">
        <v>137</v>
      </c>
      <c r="D1736" s="169" t="s">
        <v>352</v>
      </c>
    </row>
    <row r="1737">
      <c r="A1737" s="170">
        <v>43254.0</v>
      </c>
      <c r="B1737" s="168" t="s">
        <v>391</v>
      </c>
      <c r="C1737" s="168" t="s">
        <v>137</v>
      </c>
      <c r="D1737" s="169" t="s">
        <v>352</v>
      </c>
    </row>
    <row r="1738">
      <c r="A1738" s="170">
        <v>43255.0</v>
      </c>
      <c r="B1738" s="168" t="s">
        <v>392</v>
      </c>
      <c r="C1738" s="168" t="s">
        <v>137</v>
      </c>
      <c r="D1738" s="169" t="s">
        <v>352</v>
      </c>
    </row>
    <row r="1739">
      <c r="A1739" s="170">
        <v>43256.0</v>
      </c>
      <c r="B1739" s="168" t="s">
        <v>392</v>
      </c>
      <c r="C1739" s="168" t="s">
        <v>137</v>
      </c>
      <c r="D1739" s="169" t="s">
        <v>352</v>
      </c>
    </row>
    <row r="1740">
      <c r="A1740" s="170">
        <v>43257.0</v>
      </c>
      <c r="B1740" s="168" t="s">
        <v>392</v>
      </c>
      <c r="C1740" s="168" t="s">
        <v>137</v>
      </c>
      <c r="D1740" s="169" t="s">
        <v>352</v>
      </c>
    </row>
    <row r="1741">
      <c r="A1741" s="170">
        <v>43258.0</v>
      </c>
      <c r="B1741" s="168" t="s">
        <v>392</v>
      </c>
      <c r="C1741" s="168" t="s">
        <v>137</v>
      </c>
      <c r="D1741" s="169" t="s">
        <v>352</v>
      </c>
    </row>
    <row r="1742">
      <c r="A1742" s="170">
        <v>43259.0</v>
      </c>
      <c r="B1742" s="168" t="s">
        <v>392</v>
      </c>
      <c r="C1742" s="168" t="s">
        <v>137</v>
      </c>
      <c r="D1742" s="169" t="s">
        <v>352</v>
      </c>
    </row>
    <row r="1743">
      <c r="A1743" s="170">
        <v>43260.0</v>
      </c>
      <c r="B1743" s="168" t="s">
        <v>392</v>
      </c>
      <c r="C1743" s="168" t="s">
        <v>137</v>
      </c>
      <c r="D1743" s="169" t="s">
        <v>352</v>
      </c>
    </row>
    <row r="1744">
      <c r="A1744" s="170">
        <v>43261.0</v>
      </c>
      <c r="B1744" s="168" t="s">
        <v>392</v>
      </c>
      <c r="C1744" s="168" t="s">
        <v>137</v>
      </c>
      <c r="D1744" s="169" t="s">
        <v>352</v>
      </c>
    </row>
    <row r="1745">
      <c r="A1745" s="170">
        <v>43262.0</v>
      </c>
      <c r="B1745" s="168" t="s">
        <v>393</v>
      </c>
      <c r="C1745" s="168" t="s">
        <v>137</v>
      </c>
      <c r="D1745" s="169" t="s">
        <v>353</v>
      </c>
    </row>
    <row r="1746">
      <c r="A1746" s="170">
        <v>43263.0</v>
      </c>
      <c r="B1746" s="168" t="s">
        <v>393</v>
      </c>
      <c r="C1746" s="168" t="s">
        <v>137</v>
      </c>
      <c r="D1746" s="169" t="s">
        <v>353</v>
      </c>
    </row>
    <row r="1747">
      <c r="A1747" s="170">
        <v>43264.0</v>
      </c>
      <c r="B1747" s="168" t="s">
        <v>393</v>
      </c>
      <c r="C1747" s="168" t="s">
        <v>137</v>
      </c>
      <c r="D1747" s="169" t="s">
        <v>353</v>
      </c>
    </row>
    <row r="1748">
      <c r="A1748" s="170">
        <v>43265.0</v>
      </c>
      <c r="B1748" s="168" t="s">
        <v>393</v>
      </c>
      <c r="C1748" s="168" t="s">
        <v>137</v>
      </c>
      <c r="D1748" s="169" t="s">
        <v>353</v>
      </c>
    </row>
    <row r="1749">
      <c r="A1749" s="170">
        <v>43266.0</v>
      </c>
      <c r="B1749" s="168" t="s">
        <v>393</v>
      </c>
      <c r="C1749" s="168" t="s">
        <v>137</v>
      </c>
      <c r="D1749" s="169" t="s">
        <v>353</v>
      </c>
    </row>
    <row r="1750">
      <c r="A1750" s="170">
        <v>43267.0</v>
      </c>
      <c r="B1750" s="168" t="s">
        <v>393</v>
      </c>
      <c r="C1750" s="168" t="s">
        <v>137</v>
      </c>
      <c r="D1750" s="169" t="s">
        <v>353</v>
      </c>
    </row>
    <row r="1751">
      <c r="A1751" s="170">
        <v>43268.0</v>
      </c>
      <c r="B1751" s="168" t="s">
        <v>393</v>
      </c>
      <c r="C1751" s="168" t="s">
        <v>137</v>
      </c>
      <c r="D1751" s="169" t="s">
        <v>353</v>
      </c>
    </row>
    <row r="1752">
      <c r="A1752" s="170">
        <v>43269.0</v>
      </c>
      <c r="B1752" s="168" t="s">
        <v>394</v>
      </c>
      <c r="C1752" s="168" t="s">
        <v>137</v>
      </c>
      <c r="D1752" s="169" t="s">
        <v>353</v>
      </c>
    </row>
    <row r="1753">
      <c r="A1753" s="170">
        <v>43270.0</v>
      </c>
      <c r="B1753" s="168" t="s">
        <v>394</v>
      </c>
      <c r="C1753" s="168" t="s">
        <v>137</v>
      </c>
      <c r="D1753" s="169" t="s">
        <v>353</v>
      </c>
    </row>
    <row r="1754">
      <c r="A1754" s="170">
        <v>43271.0</v>
      </c>
      <c r="B1754" s="168" t="s">
        <v>394</v>
      </c>
      <c r="C1754" s="168" t="s">
        <v>137</v>
      </c>
      <c r="D1754" s="169" t="s">
        <v>353</v>
      </c>
    </row>
    <row r="1755">
      <c r="A1755" s="170">
        <v>43272.0</v>
      </c>
      <c r="B1755" s="168" t="s">
        <v>394</v>
      </c>
      <c r="C1755" s="168" t="s">
        <v>137</v>
      </c>
      <c r="D1755" s="169" t="s">
        <v>353</v>
      </c>
    </row>
    <row r="1756">
      <c r="A1756" s="170">
        <v>43273.0</v>
      </c>
      <c r="B1756" s="168" t="s">
        <v>394</v>
      </c>
      <c r="C1756" s="168" t="s">
        <v>137</v>
      </c>
      <c r="D1756" s="169" t="s">
        <v>353</v>
      </c>
    </row>
    <row r="1757">
      <c r="A1757" s="170">
        <v>43274.0</v>
      </c>
      <c r="B1757" s="168" t="s">
        <v>394</v>
      </c>
      <c r="C1757" s="168" t="s">
        <v>137</v>
      </c>
      <c r="D1757" s="169" t="s">
        <v>353</v>
      </c>
    </row>
    <row r="1758">
      <c r="A1758" s="170">
        <v>43275.0</v>
      </c>
      <c r="B1758" s="168" t="s">
        <v>394</v>
      </c>
      <c r="C1758" s="168" t="s">
        <v>137</v>
      </c>
      <c r="D1758" s="169" t="s">
        <v>353</v>
      </c>
    </row>
    <row r="1759">
      <c r="A1759" s="170">
        <v>43276.0</v>
      </c>
      <c r="B1759" s="168" t="s">
        <v>395</v>
      </c>
      <c r="C1759" s="168" t="s">
        <v>137</v>
      </c>
      <c r="D1759" s="169" t="s">
        <v>353</v>
      </c>
    </row>
    <row r="1760">
      <c r="A1760" s="170">
        <v>43277.0</v>
      </c>
      <c r="B1760" s="168" t="s">
        <v>395</v>
      </c>
      <c r="C1760" s="168" t="s">
        <v>137</v>
      </c>
      <c r="D1760" s="169" t="s">
        <v>353</v>
      </c>
    </row>
    <row r="1761">
      <c r="A1761" s="170">
        <v>43278.0</v>
      </c>
      <c r="B1761" s="168" t="s">
        <v>395</v>
      </c>
      <c r="C1761" s="168" t="s">
        <v>137</v>
      </c>
      <c r="D1761" s="169" t="s">
        <v>353</v>
      </c>
    </row>
    <row r="1762">
      <c r="A1762" s="170">
        <v>43279.0</v>
      </c>
      <c r="B1762" s="168" t="s">
        <v>395</v>
      </c>
      <c r="C1762" s="168" t="s">
        <v>137</v>
      </c>
      <c r="D1762" s="169" t="s">
        <v>353</v>
      </c>
    </row>
    <row r="1763">
      <c r="A1763" s="170">
        <v>43280.0</v>
      </c>
      <c r="B1763" s="168" t="s">
        <v>395</v>
      </c>
      <c r="C1763" s="168" t="s">
        <v>137</v>
      </c>
      <c r="D1763" s="169" t="s">
        <v>353</v>
      </c>
    </row>
    <row r="1764">
      <c r="A1764" s="170">
        <v>43281.0</v>
      </c>
      <c r="B1764" s="168" t="s">
        <v>395</v>
      </c>
      <c r="C1764" s="168" t="s">
        <v>137</v>
      </c>
      <c r="D1764" s="169" t="s">
        <v>353</v>
      </c>
    </row>
    <row r="1765">
      <c r="A1765" s="170">
        <v>43282.0</v>
      </c>
      <c r="B1765" s="168" t="s">
        <v>395</v>
      </c>
      <c r="C1765" s="168" t="s">
        <v>137</v>
      </c>
      <c r="D1765" s="169" t="s">
        <v>353</v>
      </c>
    </row>
    <row r="1766">
      <c r="A1766" s="170">
        <v>43283.0</v>
      </c>
      <c r="B1766" s="168" t="s">
        <v>396</v>
      </c>
      <c r="C1766" s="168" t="s">
        <v>137</v>
      </c>
      <c r="D1766" s="169" t="s">
        <v>353</v>
      </c>
    </row>
    <row r="1767">
      <c r="A1767" s="170">
        <v>43284.0</v>
      </c>
      <c r="B1767" s="168" t="s">
        <v>396</v>
      </c>
      <c r="C1767" s="168" t="s">
        <v>137</v>
      </c>
      <c r="D1767" s="169" t="s">
        <v>353</v>
      </c>
    </row>
    <row r="1768">
      <c r="A1768" s="170">
        <v>43285.0</v>
      </c>
      <c r="B1768" s="168" t="s">
        <v>396</v>
      </c>
      <c r="C1768" s="168" t="s">
        <v>137</v>
      </c>
      <c r="D1768" s="169" t="s">
        <v>353</v>
      </c>
    </row>
    <row r="1769">
      <c r="A1769" s="170">
        <v>43286.0</v>
      </c>
      <c r="B1769" s="168" t="s">
        <v>396</v>
      </c>
      <c r="C1769" s="168" t="s">
        <v>137</v>
      </c>
      <c r="D1769" s="169" t="s">
        <v>353</v>
      </c>
    </row>
    <row r="1770">
      <c r="A1770" s="170">
        <v>43287.0</v>
      </c>
      <c r="B1770" s="168" t="s">
        <v>396</v>
      </c>
      <c r="C1770" s="168" t="s">
        <v>137</v>
      </c>
      <c r="D1770" s="169" t="s">
        <v>353</v>
      </c>
    </row>
    <row r="1771">
      <c r="A1771" s="170">
        <v>43288.0</v>
      </c>
      <c r="B1771" s="168" t="s">
        <v>396</v>
      </c>
      <c r="C1771" s="168" t="s">
        <v>137</v>
      </c>
      <c r="D1771" s="169" t="s">
        <v>353</v>
      </c>
    </row>
    <row r="1772">
      <c r="A1772" s="170">
        <v>43289.0</v>
      </c>
      <c r="B1772" s="168" t="s">
        <v>396</v>
      </c>
      <c r="C1772" s="168" t="s">
        <v>137</v>
      </c>
      <c r="D1772" s="169" t="s">
        <v>353</v>
      </c>
    </row>
    <row r="1773">
      <c r="A1773" s="170">
        <v>43290.0</v>
      </c>
      <c r="B1773" s="168" t="s">
        <v>397</v>
      </c>
      <c r="C1773" s="168" t="s">
        <v>137</v>
      </c>
      <c r="D1773" s="169" t="s">
        <v>354</v>
      </c>
    </row>
    <row r="1774">
      <c r="A1774" s="170">
        <v>43291.0</v>
      </c>
      <c r="B1774" s="168" t="s">
        <v>397</v>
      </c>
      <c r="C1774" s="168" t="s">
        <v>137</v>
      </c>
      <c r="D1774" s="169" t="s">
        <v>354</v>
      </c>
    </row>
    <row r="1775">
      <c r="A1775" s="170">
        <v>43292.0</v>
      </c>
      <c r="B1775" s="168" t="s">
        <v>397</v>
      </c>
      <c r="C1775" s="168" t="s">
        <v>137</v>
      </c>
      <c r="D1775" s="169" t="s">
        <v>354</v>
      </c>
    </row>
    <row r="1776">
      <c r="A1776" s="170">
        <v>43293.0</v>
      </c>
      <c r="B1776" s="168" t="s">
        <v>397</v>
      </c>
      <c r="C1776" s="168" t="s">
        <v>137</v>
      </c>
      <c r="D1776" s="169" t="s">
        <v>354</v>
      </c>
    </row>
    <row r="1777">
      <c r="A1777" s="170">
        <v>43294.0</v>
      </c>
      <c r="B1777" s="168" t="s">
        <v>397</v>
      </c>
      <c r="C1777" s="168" t="s">
        <v>137</v>
      </c>
      <c r="D1777" s="169" t="s">
        <v>354</v>
      </c>
    </row>
    <row r="1778">
      <c r="A1778" s="170">
        <v>43295.0</v>
      </c>
      <c r="B1778" s="168" t="s">
        <v>397</v>
      </c>
      <c r="C1778" s="168" t="s">
        <v>137</v>
      </c>
      <c r="D1778" s="169" t="s">
        <v>354</v>
      </c>
    </row>
    <row r="1779">
      <c r="A1779" s="170">
        <v>43296.0</v>
      </c>
      <c r="B1779" s="168" t="s">
        <v>397</v>
      </c>
      <c r="C1779" s="168" t="s">
        <v>137</v>
      </c>
      <c r="D1779" s="169" t="s">
        <v>354</v>
      </c>
    </row>
    <row r="1780">
      <c r="A1780" s="170">
        <v>43297.0</v>
      </c>
      <c r="B1780" s="168" t="s">
        <v>398</v>
      </c>
      <c r="C1780" s="168" t="s">
        <v>137</v>
      </c>
      <c r="D1780" s="169" t="s">
        <v>354</v>
      </c>
    </row>
    <row r="1781">
      <c r="A1781" s="170">
        <v>43298.0</v>
      </c>
      <c r="B1781" s="168" t="s">
        <v>398</v>
      </c>
      <c r="C1781" s="168" t="s">
        <v>137</v>
      </c>
      <c r="D1781" s="169" t="s">
        <v>354</v>
      </c>
    </row>
    <row r="1782">
      <c r="A1782" s="170">
        <v>43299.0</v>
      </c>
      <c r="B1782" s="168" t="s">
        <v>398</v>
      </c>
      <c r="C1782" s="168" t="s">
        <v>137</v>
      </c>
      <c r="D1782" s="169" t="s">
        <v>354</v>
      </c>
    </row>
    <row r="1783">
      <c r="A1783" s="170">
        <v>43300.0</v>
      </c>
      <c r="B1783" s="168" t="s">
        <v>398</v>
      </c>
      <c r="C1783" s="168" t="s">
        <v>137</v>
      </c>
      <c r="D1783" s="169" t="s">
        <v>354</v>
      </c>
    </row>
    <row r="1784">
      <c r="A1784" s="170">
        <v>43301.0</v>
      </c>
      <c r="B1784" s="168" t="s">
        <v>398</v>
      </c>
      <c r="C1784" s="168" t="s">
        <v>137</v>
      </c>
      <c r="D1784" s="169" t="s">
        <v>354</v>
      </c>
    </row>
    <row r="1785">
      <c r="A1785" s="170">
        <v>43302.0</v>
      </c>
      <c r="B1785" s="168" t="s">
        <v>398</v>
      </c>
      <c r="C1785" s="168" t="s">
        <v>137</v>
      </c>
      <c r="D1785" s="169" t="s">
        <v>354</v>
      </c>
    </row>
    <row r="1786">
      <c r="A1786" s="170">
        <v>43303.0</v>
      </c>
      <c r="B1786" s="168" t="s">
        <v>398</v>
      </c>
      <c r="C1786" s="168" t="s">
        <v>137</v>
      </c>
      <c r="D1786" s="169" t="s">
        <v>354</v>
      </c>
    </row>
    <row r="1787">
      <c r="A1787" s="170">
        <v>43304.0</v>
      </c>
      <c r="B1787" s="168" t="s">
        <v>399</v>
      </c>
      <c r="C1787" s="168" t="s">
        <v>137</v>
      </c>
      <c r="D1787" s="169" t="s">
        <v>354</v>
      </c>
    </row>
    <row r="1788">
      <c r="A1788" s="170">
        <v>43305.0</v>
      </c>
      <c r="B1788" s="168" t="s">
        <v>399</v>
      </c>
      <c r="C1788" s="168" t="s">
        <v>137</v>
      </c>
      <c r="D1788" s="169" t="s">
        <v>354</v>
      </c>
    </row>
    <row r="1789">
      <c r="A1789" s="170">
        <v>43306.0</v>
      </c>
      <c r="B1789" s="168" t="s">
        <v>399</v>
      </c>
      <c r="C1789" s="168" t="s">
        <v>137</v>
      </c>
      <c r="D1789" s="169" t="s">
        <v>354</v>
      </c>
    </row>
    <row r="1790">
      <c r="A1790" s="170">
        <v>43307.0</v>
      </c>
      <c r="B1790" s="168" t="s">
        <v>399</v>
      </c>
      <c r="C1790" s="168" t="s">
        <v>137</v>
      </c>
      <c r="D1790" s="169" t="s">
        <v>354</v>
      </c>
    </row>
    <row r="1791">
      <c r="A1791" s="170">
        <v>43308.0</v>
      </c>
      <c r="B1791" s="168" t="s">
        <v>399</v>
      </c>
      <c r="C1791" s="168" t="s">
        <v>137</v>
      </c>
      <c r="D1791" s="169" t="s">
        <v>354</v>
      </c>
    </row>
    <row r="1792">
      <c r="A1792" s="170">
        <v>43309.0</v>
      </c>
      <c r="B1792" s="168" t="s">
        <v>399</v>
      </c>
      <c r="C1792" s="168" t="s">
        <v>137</v>
      </c>
      <c r="D1792" s="169" t="s">
        <v>354</v>
      </c>
    </row>
    <row r="1793">
      <c r="A1793" s="170">
        <v>43310.0</v>
      </c>
      <c r="B1793" s="168" t="s">
        <v>399</v>
      </c>
      <c r="C1793" s="168" t="s">
        <v>137</v>
      </c>
      <c r="D1793" s="169" t="s">
        <v>354</v>
      </c>
    </row>
    <row r="1794">
      <c r="A1794" s="170">
        <v>43311.0</v>
      </c>
      <c r="B1794" s="168" t="s">
        <v>400</v>
      </c>
      <c r="C1794" s="168" t="s">
        <v>137</v>
      </c>
      <c r="D1794" s="169" t="s">
        <v>354</v>
      </c>
    </row>
    <row r="1795">
      <c r="A1795" s="170">
        <v>43312.0</v>
      </c>
      <c r="B1795" s="168" t="s">
        <v>400</v>
      </c>
      <c r="C1795" s="168" t="s">
        <v>137</v>
      </c>
      <c r="D1795" s="169" t="s">
        <v>354</v>
      </c>
    </row>
    <row r="1796">
      <c r="A1796" s="170">
        <v>43313.0</v>
      </c>
      <c r="B1796" s="168" t="s">
        <v>400</v>
      </c>
      <c r="C1796" s="168" t="s">
        <v>137</v>
      </c>
      <c r="D1796" s="169" t="s">
        <v>354</v>
      </c>
    </row>
    <row r="1797">
      <c r="A1797" s="170">
        <v>43314.0</v>
      </c>
      <c r="B1797" s="168" t="s">
        <v>400</v>
      </c>
      <c r="C1797" s="168" t="s">
        <v>137</v>
      </c>
      <c r="D1797" s="169" t="s">
        <v>354</v>
      </c>
    </row>
    <row r="1798">
      <c r="A1798" s="170">
        <v>43315.0</v>
      </c>
      <c r="B1798" s="168" t="s">
        <v>400</v>
      </c>
      <c r="C1798" s="168" t="s">
        <v>137</v>
      </c>
      <c r="D1798" s="169" t="s">
        <v>354</v>
      </c>
    </row>
    <row r="1799">
      <c r="A1799" s="170">
        <v>43316.0</v>
      </c>
      <c r="B1799" s="168" t="s">
        <v>400</v>
      </c>
      <c r="C1799" s="168" t="s">
        <v>137</v>
      </c>
      <c r="D1799" s="169" t="s">
        <v>354</v>
      </c>
    </row>
    <row r="1800">
      <c r="A1800" s="170">
        <v>43317.0</v>
      </c>
      <c r="B1800" s="168" t="s">
        <v>400</v>
      </c>
      <c r="C1800" s="168" t="s">
        <v>137</v>
      </c>
      <c r="D1800" s="169" t="s">
        <v>354</v>
      </c>
    </row>
    <row r="1801">
      <c r="A1801" s="170">
        <v>43318.0</v>
      </c>
      <c r="B1801" s="168" t="s">
        <v>401</v>
      </c>
      <c r="C1801" s="168" t="s">
        <v>137</v>
      </c>
      <c r="D1801" s="169" t="s">
        <v>134</v>
      </c>
    </row>
    <row r="1802">
      <c r="A1802" s="170">
        <v>43319.0</v>
      </c>
      <c r="B1802" s="168" t="s">
        <v>401</v>
      </c>
      <c r="C1802" s="168" t="s">
        <v>137</v>
      </c>
      <c r="D1802" s="169" t="s">
        <v>134</v>
      </c>
    </row>
    <row r="1803">
      <c r="A1803" s="170">
        <v>43320.0</v>
      </c>
      <c r="B1803" s="168" t="s">
        <v>401</v>
      </c>
      <c r="C1803" s="168" t="s">
        <v>137</v>
      </c>
      <c r="D1803" s="169" t="s">
        <v>134</v>
      </c>
    </row>
    <row r="1804">
      <c r="A1804" s="170">
        <v>43321.0</v>
      </c>
      <c r="B1804" s="168" t="s">
        <v>401</v>
      </c>
      <c r="C1804" s="168" t="s">
        <v>137</v>
      </c>
      <c r="D1804" s="169" t="s">
        <v>134</v>
      </c>
    </row>
    <row r="1805">
      <c r="A1805" s="170">
        <v>43322.0</v>
      </c>
      <c r="B1805" s="168" t="s">
        <v>401</v>
      </c>
      <c r="C1805" s="168" t="s">
        <v>137</v>
      </c>
      <c r="D1805" s="169" t="s">
        <v>134</v>
      </c>
    </row>
    <row r="1806">
      <c r="A1806" s="170">
        <v>43323.0</v>
      </c>
      <c r="B1806" s="168" t="s">
        <v>401</v>
      </c>
      <c r="C1806" s="168" t="s">
        <v>137</v>
      </c>
      <c r="D1806" s="169" t="s">
        <v>134</v>
      </c>
    </row>
    <row r="1807">
      <c r="A1807" s="170">
        <v>43324.0</v>
      </c>
      <c r="B1807" s="168" t="s">
        <v>401</v>
      </c>
      <c r="C1807" s="168" t="s">
        <v>137</v>
      </c>
      <c r="D1807" s="169" t="s">
        <v>134</v>
      </c>
    </row>
    <row r="1808">
      <c r="A1808" s="170">
        <v>43325.0</v>
      </c>
      <c r="B1808" s="168" t="s">
        <v>402</v>
      </c>
      <c r="C1808" s="168" t="s">
        <v>137</v>
      </c>
      <c r="D1808" s="169" t="s">
        <v>134</v>
      </c>
    </row>
    <row r="1809">
      <c r="A1809" s="170">
        <v>43326.0</v>
      </c>
      <c r="B1809" s="168" t="s">
        <v>402</v>
      </c>
      <c r="C1809" s="168" t="s">
        <v>137</v>
      </c>
      <c r="D1809" s="169" t="s">
        <v>134</v>
      </c>
    </row>
    <row r="1810">
      <c r="A1810" s="170">
        <v>43327.0</v>
      </c>
      <c r="B1810" s="168" t="s">
        <v>402</v>
      </c>
      <c r="C1810" s="168" t="s">
        <v>137</v>
      </c>
      <c r="D1810" s="169" t="s">
        <v>134</v>
      </c>
    </row>
    <row r="1811">
      <c r="A1811" s="170">
        <v>43328.0</v>
      </c>
      <c r="B1811" s="168" t="s">
        <v>402</v>
      </c>
      <c r="C1811" s="168" t="s">
        <v>137</v>
      </c>
      <c r="D1811" s="169" t="s">
        <v>134</v>
      </c>
    </row>
    <row r="1812">
      <c r="A1812" s="170">
        <v>43329.0</v>
      </c>
      <c r="B1812" s="168" t="s">
        <v>402</v>
      </c>
      <c r="C1812" s="168" t="s">
        <v>137</v>
      </c>
      <c r="D1812" s="169" t="s">
        <v>134</v>
      </c>
    </row>
    <row r="1813">
      <c r="A1813" s="170">
        <v>43330.0</v>
      </c>
      <c r="B1813" s="168" t="s">
        <v>402</v>
      </c>
      <c r="C1813" s="168" t="s">
        <v>137</v>
      </c>
      <c r="D1813" s="169" t="s">
        <v>134</v>
      </c>
    </row>
    <row r="1814">
      <c r="A1814" s="170">
        <v>43331.0</v>
      </c>
      <c r="B1814" s="168" t="s">
        <v>402</v>
      </c>
      <c r="C1814" s="168" t="s">
        <v>137</v>
      </c>
      <c r="D1814" s="169" t="s">
        <v>134</v>
      </c>
    </row>
    <row r="1815">
      <c r="A1815" s="170">
        <v>43332.0</v>
      </c>
      <c r="B1815" s="168" t="s">
        <v>403</v>
      </c>
      <c r="C1815" s="168" t="s">
        <v>137</v>
      </c>
      <c r="D1815" s="169" t="s">
        <v>134</v>
      </c>
    </row>
    <row r="1816">
      <c r="A1816" s="170">
        <v>43333.0</v>
      </c>
      <c r="B1816" s="168" t="s">
        <v>403</v>
      </c>
      <c r="C1816" s="168" t="s">
        <v>137</v>
      </c>
      <c r="D1816" s="169" t="s">
        <v>134</v>
      </c>
    </row>
    <row r="1817">
      <c r="A1817" s="170">
        <v>43334.0</v>
      </c>
      <c r="B1817" s="168" t="s">
        <v>403</v>
      </c>
      <c r="C1817" s="168" t="s">
        <v>137</v>
      </c>
      <c r="D1817" s="169" t="s">
        <v>134</v>
      </c>
    </row>
    <row r="1818">
      <c r="A1818" s="170">
        <v>43335.0</v>
      </c>
      <c r="B1818" s="168" t="s">
        <v>403</v>
      </c>
      <c r="C1818" s="168" t="s">
        <v>137</v>
      </c>
      <c r="D1818" s="169" t="s">
        <v>134</v>
      </c>
    </row>
    <row r="1819">
      <c r="A1819" s="170">
        <v>43336.0</v>
      </c>
      <c r="B1819" s="168" t="s">
        <v>403</v>
      </c>
      <c r="C1819" s="168" t="s">
        <v>137</v>
      </c>
      <c r="D1819" s="169" t="s">
        <v>134</v>
      </c>
    </row>
    <row r="1820">
      <c r="A1820" s="170">
        <v>43337.0</v>
      </c>
      <c r="B1820" s="168" t="s">
        <v>403</v>
      </c>
      <c r="C1820" s="168" t="s">
        <v>137</v>
      </c>
      <c r="D1820" s="169" t="s">
        <v>134</v>
      </c>
    </row>
    <row r="1821">
      <c r="A1821" s="170">
        <v>43338.0</v>
      </c>
      <c r="B1821" s="168" t="s">
        <v>403</v>
      </c>
      <c r="C1821" s="168" t="s">
        <v>137</v>
      </c>
      <c r="D1821" s="169" t="s">
        <v>134</v>
      </c>
    </row>
    <row r="1822">
      <c r="A1822" s="170">
        <v>43339.0</v>
      </c>
      <c r="B1822" s="168" t="s">
        <v>404</v>
      </c>
      <c r="C1822" s="168" t="s">
        <v>137</v>
      </c>
      <c r="D1822" s="169" t="s">
        <v>134</v>
      </c>
    </row>
    <row r="1823">
      <c r="A1823" s="170">
        <v>43340.0</v>
      </c>
      <c r="B1823" s="168" t="s">
        <v>404</v>
      </c>
      <c r="C1823" s="168" t="s">
        <v>137</v>
      </c>
      <c r="D1823" s="169" t="s">
        <v>134</v>
      </c>
    </row>
    <row r="1824">
      <c r="A1824" s="170">
        <v>43341.0</v>
      </c>
      <c r="B1824" s="168" t="s">
        <v>404</v>
      </c>
      <c r="C1824" s="168" t="s">
        <v>137</v>
      </c>
      <c r="D1824" s="169" t="s">
        <v>134</v>
      </c>
    </row>
    <row r="1825">
      <c r="A1825" s="170">
        <v>43342.0</v>
      </c>
      <c r="B1825" s="168" t="s">
        <v>404</v>
      </c>
      <c r="C1825" s="168" t="s">
        <v>137</v>
      </c>
      <c r="D1825" s="169" t="s">
        <v>134</v>
      </c>
    </row>
    <row r="1826">
      <c r="A1826" s="170">
        <v>43343.0</v>
      </c>
      <c r="B1826" s="168" t="s">
        <v>404</v>
      </c>
      <c r="C1826" s="168" t="s">
        <v>137</v>
      </c>
      <c r="D1826" s="169" t="s">
        <v>134</v>
      </c>
    </row>
    <row r="1827">
      <c r="A1827" s="170">
        <v>43344.0</v>
      </c>
      <c r="B1827" s="168" t="s">
        <v>404</v>
      </c>
      <c r="C1827" s="168" t="s">
        <v>137</v>
      </c>
      <c r="D1827" s="169" t="s">
        <v>134</v>
      </c>
    </row>
    <row r="1828">
      <c r="A1828" s="170">
        <v>43345.0</v>
      </c>
      <c r="B1828" s="168" t="s">
        <v>404</v>
      </c>
      <c r="C1828" s="168" t="s">
        <v>137</v>
      </c>
      <c r="D1828" s="169" t="s">
        <v>134</v>
      </c>
    </row>
    <row r="1829">
      <c r="A1829" s="170">
        <v>43346.0</v>
      </c>
      <c r="B1829" s="168" t="s">
        <v>341</v>
      </c>
      <c r="C1829" s="168" t="s">
        <v>136</v>
      </c>
      <c r="D1829" s="169" t="s">
        <v>340</v>
      </c>
    </row>
    <row r="1830">
      <c r="A1830" s="170">
        <v>43347.0</v>
      </c>
      <c r="B1830" s="168" t="s">
        <v>341</v>
      </c>
      <c r="C1830" s="168" t="s">
        <v>136</v>
      </c>
      <c r="D1830" s="169" t="s">
        <v>340</v>
      </c>
    </row>
    <row r="1831">
      <c r="A1831" s="170">
        <v>43348.0</v>
      </c>
      <c r="B1831" s="168" t="s">
        <v>341</v>
      </c>
      <c r="C1831" s="168" t="s">
        <v>136</v>
      </c>
      <c r="D1831" s="169" t="s">
        <v>340</v>
      </c>
    </row>
    <row r="1832">
      <c r="A1832" s="170">
        <v>43349.0</v>
      </c>
      <c r="B1832" s="168" t="s">
        <v>341</v>
      </c>
      <c r="C1832" s="168" t="s">
        <v>136</v>
      </c>
      <c r="D1832" s="169" t="s">
        <v>340</v>
      </c>
    </row>
    <row r="1833">
      <c r="A1833" s="170">
        <v>43350.0</v>
      </c>
      <c r="B1833" s="168" t="s">
        <v>341</v>
      </c>
      <c r="C1833" s="168" t="s">
        <v>136</v>
      </c>
      <c r="D1833" s="169" t="s">
        <v>340</v>
      </c>
    </row>
    <row r="1834">
      <c r="A1834" s="170">
        <v>43351.0</v>
      </c>
      <c r="B1834" s="168" t="s">
        <v>341</v>
      </c>
      <c r="C1834" s="168" t="s">
        <v>136</v>
      </c>
      <c r="D1834" s="169" t="s">
        <v>340</v>
      </c>
    </row>
    <row r="1835">
      <c r="A1835" s="170">
        <v>43352.0</v>
      </c>
      <c r="B1835" s="168" t="s">
        <v>341</v>
      </c>
      <c r="C1835" s="168" t="s">
        <v>136</v>
      </c>
      <c r="D1835" s="169" t="s">
        <v>340</v>
      </c>
    </row>
    <row r="1836">
      <c r="A1836" s="170">
        <v>43353.0</v>
      </c>
      <c r="B1836" s="168" t="s">
        <v>350</v>
      </c>
      <c r="C1836" s="168" t="s">
        <v>136</v>
      </c>
      <c r="D1836" s="169" t="s">
        <v>340</v>
      </c>
    </row>
    <row r="1837">
      <c r="A1837" s="170">
        <v>43354.0</v>
      </c>
      <c r="B1837" s="168" t="s">
        <v>350</v>
      </c>
      <c r="C1837" s="168" t="s">
        <v>136</v>
      </c>
      <c r="D1837" s="169" t="s">
        <v>340</v>
      </c>
    </row>
    <row r="1838">
      <c r="A1838" s="170">
        <v>43355.0</v>
      </c>
      <c r="B1838" s="168" t="s">
        <v>350</v>
      </c>
      <c r="C1838" s="168" t="s">
        <v>136</v>
      </c>
      <c r="D1838" s="169" t="s">
        <v>340</v>
      </c>
    </row>
    <row r="1839">
      <c r="A1839" s="170">
        <v>43356.0</v>
      </c>
      <c r="B1839" s="168" t="s">
        <v>350</v>
      </c>
      <c r="C1839" s="168" t="s">
        <v>136</v>
      </c>
      <c r="D1839" s="169" t="s">
        <v>340</v>
      </c>
    </row>
    <row r="1840">
      <c r="A1840" s="170">
        <v>43357.0</v>
      </c>
      <c r="B1840" s="168" t="s">
        <v>350</v>
      </c>
      <c r="C1840" s="168" t="s">
        <v>136</v>
      </c>
      <c r="D1840" s="169" t="s">
        <v>340</v>
      </c>
    </row>
    <row r="1841">
      <c r="A1841" s="170">
        <v>43358.0</v>
      </c>
      <c r="B1841" s="168" t="s">
        <v>350</v>
      </c>
      <c r="C1841" s="168" t="s">
        <v>136</v>
      </c>
      <c r="D1841" s="169" t="s">
        <v>340</v>
      </c>
    </row>
    <row r="1842">
      <c r="A1842" s="170">
        <v>43359.0</v>
      </c>
      <c r="B1842" s="168" t="s">
        <v>350</v>
      </c>
      <c r="C1842" s="168" t="s">
        <v>136</v>
      </c>
      <c r="D1842" s="169" t="s">
        <v>340</v>
      </c>
    </row>
    <row r="1843">
      <c r="A1843" s="170">
        <v>43360.0</v>
      </c>
      <c r="B1843" s="168" t="s">
        <v>355</v>
      </c>
      <c r="C1843" s="168" t="s">
        <v>136</v>
      </c>
      <c r="D1843" s="169" t="s">
        <v>340</v>
      </c>
    </row>
    <row r="1844">
      <c r="A1844" s="170">
        <v>43361.0</v>
      </c>
      <c r="B1844" s="168" t="s">
        <v>355</v>
      </c>
      <c r="C1844" s="168" t="s">
        <v>136</v>
      </c>
      <c r="D1844" s="169" t="s">
        <v>340</v>
      </c>
    </row>
    <row r="1845">
      <c r="A1845" s="170">
        <v>43362.0</v>
      </c>
      <c r="B1845" s="168" t="s">
        <v>355</v>
      </c>
      <c r="C1845" s="168" t="s">
        <v>136</v>
      </c>
      <c r="D1845" s="169" t="s">
        <v>340</v>
      </c>
    </row>
    <row r="1846">
      <c r="A1846" s="170">
        <v>43363.0</v>
      </c>
      <c r="B1846" s="168" t="s">
        <v>355</v>
      </c>
      <c r="C1846" s="168" t="s">
        <v>136</v>
      </c>
      <c r="D1846" s="169" t="s">
        <v>340</v>
      </c>
    </row>
    <row r="1847">
      <c r="A1847" s="170">
        <v>43364.0</v>
      </c>
      <c r="B1847" s="168" t="s">
        <v>355</v>
      </c>
      <c r="C1847" s="168" t="s">
        <v>136</v>
      </c>
      <c r="D1847" s="169" t="s">
        <v>340</v>
      </c>
    </row>
    <row r="1848">
      <c r="A1848" s="170">
        <v>43365.0</v>
      </c>
      <c r="B1848" s="168" t="s">
        <v>355</v>
      </c>
      <c r="C1848" s="168" t="s">
        <v>136</v>
      </c>
      <c r="D1848" s="169" t="s">
        <v>340</v>
      </c>
    </row>
    <row r="1849">
      <c r="A1849" s="170">
        <v>43366.0</v>
      </c>
      <c r="B1849" s="168" t="s">
        <v>355</v>
      </c>
      <c r="C1849" s="168" t="s">
        <v>136</v>
      </c>
      <c r="D1849" s="169" t="s">
        <v>340</v>
      </c>
    </row>
    <row r="1850">
      <c r="A1850" s="170">
        <v>43367.0</v>
      </c>
      <c r="B1850" s="168" t="s">
        <v>356</v>
      </c>
      <c r="C1850" s="168" t="s">
        <v>136</v>
      </c>
      <c r="D1850" s="169" t="s">
        <v>340</v>
      </c>
    </row>
    <row r="1851">
      <c r="A1851" s="170">
        <v>43368.0</v>
      </c>
      <c r="B1851" s="168" t="s">
        <v>356</v>
      </c>
      <c r="C1851" s="168" t="s">
        <v>136</v>
      </c>
      <c r="D1851" s="169" t="s">
        <v>340</v>
      </c>
    </row>
    <row r="1852">
      <c r="A1852" s="170">
        <v>43369.0</v>
      </c>
      <c r="B1852" s="168" t="s">
        <v>356</v>
      </c>
      <c r="C1852" s="168" t="s">
        <v>136</v>
      </c>
      <c r="D1852" s="169" t="s">
        <v>340</v>
      </c>
    </row>
    <row r="1853">
      <c r="A1853" s="170">
        <v>43370.0</v>
      </c>
      <c r="B1853" s="168" t="s">
        <v>356</v>
      </c>
      <c r="C1853" s="168" t="s">
        <v>136</v>
      </c>
      <c r="D1853" s="169" t="s">
        <v>340</v>
      </c>
    </row>
    <row r="1854">
      <c r="A1854" s="170">
        <v>43371.0</v>
      </c>
      <c r="B1854" s="168" t="s">
        <v>356</v>
      </c>
      <c r="C1854" s="168" t="s">
        <v>136</v>
      </c>
      <c r="D1854" s="169" t="s">
        <v>340</v>
      </c>
    </row>
    <row r="1855">
      <c r="A1855" s="170">
        <v>43372.0</v>
      </c>
      <c r="B1855" s="168" t="s">
        <v>356</v>
      </c>
      <c r="C1855" s="168" t="s">
        <v>136</v>
      </c>
      <c r="D1855" s="169" t="s">
        <v>340</v>
      </c>
    </row>
    <row r="1856">
      <c r="A1856" s="170">
        <v>43373.0</v>
      </c>
      <c r="B1856" s="168" t="s">
        <v>356</v>
      </c>
      <c r="C1856" s="168" t="s">
        <v>136</v>
      </c>
      <c r="D1856" s="169" t="s">
        <v>340</v>
      </c>
    </row>
    <row r="1857">
      <c r="A1857" s="170">
        <v>43374.0</v>
      </c>
      <c r="B1857" s="168" t="s">
        <v>357</v>
      </c>
      <c r="C1857" s="168" t="s">
        <v>136</v>
      </c>
      <c r="D1857" s="169" t="s">
        <v>343</v>
      </c>
    </row>
    <row r="1858">
      <c r="A1858" s="170">
        <v>43375.0</v>
      </c>
      <c r="B1858" s="168" t="s">
        <v>357</v>
      </c>
      <c r="C1858" s="168" t="s">
        <v>136</v>
      </c>
      <c r="D1858" s="169" t="s">
        <v>343</v>
      </c>
    </row>
    <row r="1859">
      <c r="A1859" s="170">
        <v>43376.0</v>
      </c>
      <c r="B1859" s="168" t="s">
        <v>357</v>
      </c>
      <c r="C1859" s="168" t="s">
        <v>136</v>
      </c>
      <c r="D1859" s="169" t="s">
        <v>343</v>
      </c>
    </row>
    <row r="1860">
      <c r="A1860" s="170">
        <v>43377.0</v>
      </c>
      <c r="B1860" s="168" t="s">
        <v>357</v>
      </c>
      <c r="C1860" s="168" t="s">
        <v>136</v>
      </c>
      <c r="D1860" s="169" t="s">
        <v>343</v>
      </c>
    </row>
    <row r="1861">
      <c r="A1861" s="170">
        <v>43378.0</v>
      </c>
      <c r="B1861" s="168" t="s">
        <v>357</v>
      </c>
      <c r="C1861" s="168" t="s">
        <v>136</v>
      </c>
      <c r="D1861" s="169" t="s">
        <v>343</v>
      </c>
    </row>
    <row r="1862">
      <c r="A1862" s="170">
        <v>43379.0</v>
      </c>
      <c r="B1862" s="168" t="s">
        <v>357</v>
      </c>
      <c r="C1862" s="168" t="s">
        <v>136</v>
      </c>
      <c r="D1862" s="169" t="s">
        <v>343</v>
      </c>
    </row>
    <row r="1863">
      <c r="A1863" s="170">
        <v>43380.0</v>
      </c>
      <c r="B1863" s="168" t="s">
        <v>357</v>
      </c>
      <c r="C1863" s="168" t="s">
        <v>136</v>
      </c>
      <c r="D1863" s="169" t="s">
        <v>343</v>
      </c>
    </row>
    <row r="1864">
      <c r="A1864" s="170">
        <v>43381.0</v>
      </c>
      <c r="B1864" s="168" t="s">
        <v>358</v>
      </c>
      <c r="C1864" s="168" t="s">
        <v>136</v>
      </c>
      <c r="D1864" s="169" t="s">
        <v>343</v>
      </c>
    </row>
    <row r="1865">
      <c r="A1865" s="170">
        <v>43382.0</v>
      </c>
      <c r="B1865" s="168" t="s">
        <v>358</v>
      </c>
      <c r="C1865" s="168" t="s">
        <v>136</v>
      </c>
      <c r="D1865" s="169" t="s">
        <v>343</v>
      </c>
    </row>
    <row r="1866">
      <c r="A1866" s="170">
        <v>43383.0</v>
      </c>
      <c r="B1866" s="168" t="s">
        <v>358</v>
      </c>
      <c r="C1866" s="168" t="s">
        <v>136</v>
      </c>
      <c r="D1866" s="169" t="s">
        <v>343</v>
      </c>
    </row>
    <row r="1867">
      <c r="A1867" s="170">
        <v>43384.0</v>
      </c>
      <c r="B1867" s="168" t="s">
        <v>358</v>
      </c>
      <c r="C1867" s="168" t="s">
        <v>136</v>
      </c>
      <c r="D1867" s="169" t="s">
        <v>343</v>
      </c>
    </row>
    <row r="1868">
      <c r="A1868" s="170">
        <v>43385.0</v>
      </c>
      <c r="B1868" s="168" t="s">
        <v>358</v>
      </c>
      <c r="C1868" s="168" t="s">
        <v>136</v>
      </c>
      <c r="D1868" s="169" t="s">
        <v>343</v>
      </c>
    </row>
    <row r="1869">
      <c r="A1869" s="170">
        <v>43386.0</v>
      </c>
      <c r="B1869" s="168" t="s">
        <v>358</v>
      </c>
      <c r="C1869" s="168" t="s">
        <v>136</v>
      </c>
      <c r="D1869" s="169" t="s">
        <v>343</v>
      </c>
    </row>
    <row r="1870">
      <c r="A1870" s="170">
        <v>43387.0</v>
      </c>
      <c r="B1870" s="168" t="s">
        <v>358</v>
      </c>
      <c r="C1870" s="168" t="s">
        <v>136</v>
      </c>
      <c r="D1870" s="169" t="s">
        <v>343</v>
      </c>
    </row>
    <row r="1871">
      <c r="A1871" s="170">
        <v>43388.0</v>
      </c>
      <c r="B1871" s="168" t="s">
        <v>359</v>
      </c>
      <c r="C1871" s="168" t="s">
        <v>136</v>
      </c>
      <c r="D1871" s="169" t="s">
        <v>343</v>
      </c>
    </row>
    <row r="1872">
      <c r="A1872" s="170">
        <v>43389.0</v>
      </c>
      <c r="B1872" s="168" t="s">
        <v>359</v>
      </c>
      <c r="C1872" s="168" t="s">
        <v>136</v>
      </c>
      <c r="D1872" s="169" t="s">
        <v>343</v>
      </c>
    </row>
    <row r="1873">
      <c r="A1873" s="170">
        <v>43390.0</v>
      </c>
      <c r="B1873" s="168" t="s">
        <v>359</v>
      </c>
      <c r="C1873" s="168" t="s">
        <v>136</v>
      </c>
      <c r="D1873" s="169" t="s">
        <v>343</v>
      </c>
    </row>
    <row r="1874">
      <c r="A1874" s="170">
        <v>43391.0</v>
      </c>
      <c r="B1874" s="168" t="s">
        <v>359</v>
      </c>
      <c r="C1874" s="168" t="s">
        <v>136</v>
      </c>
      <c r="D1874" s="169" t="s">
        <v>343</v>
      </c>
    </row>
    <row r="1875">
      <c r="A1875" s="170">
        <v>43392.0</v>
      </c>
      <c r="B1875" s="168" t="s">
        <v>359</v>
      </c>
      <c r="C1875" s="168" t="s">
        <v>136</v>
      </c>
      <c r="D1875" s="169" t="s">
        <v>343</v>
      </c>
    </row>
    <row r="1876">
      <c r="A1876" s="170">
        <v>43393.0</v>
      </c>
      <c r="B1876" s="168" t="s">
        <v>359</v>
      </c>
      <c r="C1876" s="168" t="s">
        <v>136</v>
      </c>
      <c r="D1876" s="169" t="s">
        <v>343</v>
      </c>
    </row>
    <row r="1877">
      <c r="A1877" s="170">
        <v>43394.0</v>
      </c>
      <c r="B1877" s="168" t="s">
        <v>359</v>
      </c>
      <c r="C1877" s="168" t="s">
        <v>136</v>
      </c>
      <c r="D1877" s="169" t="s">
        <v>343</v>
      </c>
    </row>
    <row r="1878">
      <c r="A1878" s="170">
        <v>43395.0</v>
      </c>
      <c r="B1878" s="168" t="s">
        <v>360</v>
      </c>
      <c r="C1878" s="168" t="s">
        <v>136</v>
      </c>
      <c r="D1878" s="169" t="s">
        <v>343</v>
      </c>
    </row>
    <row r="1879">
      <c r="A1879" s="170">
        <v>43396.0</v>
      </c>
      <c r="B1879" s="168" t="s">
        <v>360</v>
      </c>
      <c r="C1879" s="168" t="s">
        <v>136</v>
      </c>
      <c r="D1879" s="169" t="s">
        <v>343</v>
      </c>
    </row>
    <row r="1880">
      <c r="A1880" s="170">
        <v>43397.0</v>
      </c>
      <c r="B1880" s="168" t="s">
        <v>360</v>
      </c>
      <c r="C1880" s="168" t="s">
        <v>136</v>
      </c>
      <c r="D1880" s="169" t="s">
        <v>343</v>
      </c>
    </row>
    <row r="1881">
      <c r="A1881" s="170">
        <v>43398.0</v>
      </c>
      <c r="B1881" s="168" t="s">
        <v>360</v>
      </c>
      <c r="C1881" s="168" t="s">
        <v>136</v>
      </c>
      <c r="D1881" s="169" t="s">
        <v>343</v>
      </c>
    </row>
    <row r="1882">
      <c r="A1882" s="170">
        <v>43399.0</v>
      </c>
      <c r="B1882" s="168" t="s">
        <v>360</v>
      </c>
      <c r="C1882" s="168" t="s">
        <v>136</v>
      </c>
      <c r="D1882" s="169" t="s">
        <v>343</v>
      </c>
    </row>
    <row r="1883">
      <c r="A1883" s="170">
        <v>43400.0</v>
      </c>
      <c r="B1883" s="168" t="s">
        <v>360</v>
      </c>
      <c r="C1883" s="168" t="s">
        <v>136</v>
      </c>
      <c r="D1883" s="169" t="s">
        <v>343</v>
      </c>
    </row>
    <row r="1884">
      <c r="A1884" s="170">
        <v>43401.0</v>
      </c>
      <c r="B1884" s="168" t="s">
        <v>360</v>
      </c>
      <c r="C1884" s="168" t="s">
        <v>136</v>
      </c>
      <c r="D1884" s="169" t="s">
        <v>343</v>
      </c>
    </row>
    <row r="1885">
      <c r="A1885" s="170">
        <v>43402.0</v>
      </c>
      <c r="B1885" s="168" t="s">
        <v>361</v>
      </c>
      <c r="C1885" s="168" t="s">
        <v>136</v>
      </c>
      <c r="D1885" s="169" t="s">
        <v>344</v>
      </c>
    </row>
    <row r="1886">
      <c r="A1886" s="170">
        <v>43403.0</v>
      </c>
      <c r="B1886" s="168" t="s">
        <v>361</v>
      </c>
      <c r="C1886" s="168" t="s">
        <v>136</v>
      </c>
      <c r="D1886" s="169" t="s">
        <v>344</v>
      </c>
    </row>
    <row r="1887">
      <c r="A1887" s="170">
        <v>43404.0</v>
      </c>
      <c r="B1887" s="168" t="s">
        <v>361</v>
      </c>
      <c r="C1887" s="168" t="s">
        <v>136</v>
      </c>
      <c r="D1887" s="169" t="s">
        <v>344</v>
      </c>
    </row>
    <row r="1888">
      <c r="A1888" s="170">
        <v>43405.0</v>
      </c>
      <c r="B1888" s="168" t="s">
        <v>361</v>
      </c>
      <c r="C1888" s="168" t="s">
        <v>136</v>
      </c>
      <c r="D1888" s="169" t="s">
        <v>344</v>
      </c>
    </row>
    <row r="1889">
      <c r="A1889" s="170">
        <v>43406.0</v>
      </c>
      <c r="B1889" s="168" t="s">
        <v>361</v>
      </c>
      <c r="C1889" s="168" t="s">
        <v>136</v>
      </c>
      <c r="D1889" s="169" t="s">
        <v>344</v>
      </c>
    </row>
    <row r="1890">
      <c r="A1890" s="170">
        <v>43407.0</v>
      </c>
      <c r="B1890" s="168" t="s">
        <v>361</v>
      </c>
      <c r="C1890" s="168" t="s">
        <v>136</v>
      </c>
      <c r="D1890" s="169" t="s">
        <v>344</v>
      </c>
    </row>
    <row r="1891">
      <c r="A1891" s="170">
        <v>43408.0</v>
      </c>
      <c r="B1891" s="168" t="s">
        <v>361</v>
      </c>
      <c r="C1891" s="168" t="s">
        <v>136</v>
      </c>
      <c r="D1891" s="169" t="s">
        <v>344</v>
      </c>
    </row>
    <row r="1892">
      <c r="A1892" s="170">
        <v>43409.0</v>
      </c>
      <c r="B1892" s="168" t="s">
        <v>362</v>
      </c>
      <c r="C1892" s="168" t="s">
        <v>136</v>
      </c>
      <c r="D1892" s="169" t="s">
        <v>344</v>
      </c>
    </row>
    <row r="1893">
      <c r="A1893" s="170">
        <v>43410.0</v>
      </c>
      <c r="B1893" s="168" t="s">
        <v>362</v>
      </c>
      <c r="C1893" s="168" t="s">
        <v>136</v>
      </c>
      <c r="D1893" s="169" t="s">
        <v>344</v>
      </c>
    </row>
    <row r="1894">
      <c r="A1894" s="170">
        <v>43411.0</v>
      </c>
      <c r="B1894" s="168" t="s">
        <v>362</v>
      </c>
      <c r="C1894" s="168" t="s">
        <v>136</v>
      </c>
      <c r="D1894" s="169" t="s">
        <v>344</v>
      </c>
    </row>
    <row r="1895">
      <c r="A1895" s="170">
        <v>43412.0</v>
      </c>
      <c r="B1895" s="168" t="s">
        <v>362</v>
      </c>
      <c r="C1895" s="168" t="s">
        <v>136</v>
      </c>
      <c r="D1895" s="169" t="s">
        <v>344</v>
      </c>
    </row>
    <row r="1896">
      <c r="A1896" s="170">
        <v>43413.0</v>
      </c>
      <c r="B1896" s="168" t="s">
        <v>362</v>
      </c>
      <c r="C1896" s="168" t="s">
        <v>136</v>
      </c>
      <c r="D1896" s="169" t="s">
        <v>344</v>
      </c>
    </row>
    <row r="1897">
      <c r="A1897" s="170">
        <v>43414.0</v>
      </c>
      <c r="B1897" s="168" t="s">
        <v>362</v>
      </c>
      <c r="C1897" s="168" t="s">
        <v>136</v>
      </c>
      <c r="D1897" s="169" t="s">
        <v>344</v>
      </c>
    </row>
    <row r="1898">
      <c r="A1898" s="170">
        <v>43415.0</v>
      </c>
      <c r="B1898" s="168" t="s">
        <v>362</v>
      </c>
      <c r="C1898" s="168" t="s">
        <v>136</v>
      </c>
      <c r="D1898" s="169" t="s">
        <v>344</v>
      </c>
    </row>
    <row r="1899">
      <c r="A1899" s="170">
        <v>43416.0</v>
      </c>
      <c r="B1899" s="168" t="s">
        <v>363</v>
      </c>
      <c r="C1899" s="168" t="s">
        <v>136</v>
      </c>
      <c r="D1899" s="169" t="s">
        <v>344</v>
      </c>
    </row>
    <row r="1900">
      <c r="A1900" s="170">
        <v>43417.0</v>
      </c>
      <c r="B1900" s="168" t="s">
        <v>363</v>
      </c>
      <c r="C1900" s="168" t="s">
        <v>136</v>
      </c>
      <c r="D1900" s="169" t="s">
        <v>344</v>
      </c>
    </row>
    <row r="1901">
      <c r="A1901" s="170">
        <v>43418.0</v>
      </c>
      <c r="B1901" s="168" t="s">
        <v>363</v>
      </c>
      <c r="C1901" s="168" t="s">
        <v>136</v>
      </c>
      <c r="D1901" s="169" t="s">
        <v>344</v>
      </c>
    </row>
    <row r="1902">
      <c r="A1902" s="170">
        <v>43419.0</v>
      </c>
      <c r="B1902" s="168" t="s">
        <v>363</v>
      </c>
      <c r="C1902" s="168" t="s">
        <v>136</v>
      </c>
      <c r="D1902" s="169" t="s">
        <v>344</v>
      </c>
    </row>
    <row r="1903">
      <c r="A1903" s="170">
        <v>43420.0</v>
      </c>
      <c r="B1903" s="168" t="s">
        <v>363</v>
      </c>
      <c r="C1903" s="168" t="s">
        <v>136</v>
      </c>
      <c r="D1903" s="169" t="s">
        <v>344</v>
      </c>
    </row>
    <row r="1904">
      <c r="A1904" s="170">
        <v>43421.0</v>
      </c>
      <c r="B1904" s="168" t="s">
        <v>363</v>
      </c>
      <c r="C1904" s="168" t="s">
        <v>136</v>
      </c>
      <c r="D1904" s="169" t="s">
        <v>344</v>
      </c>
    </row>
    <row r="1905">
      <c r="A1905" s="170">
        <v>43422.0</v>
      </c>
      <c r="B1905" s="168" t="s">
        <v>363</v>
      </c>
      <c r="C1905" s="168" t="s">
        <v>136</v>
      </c>
      <c r="D1905" s="169" t="s">
        <v>344</v>
      </c>
    </row>
    <row r="1906">
      <c r="A1906" s="170">
        <v>43423.0</v>
      </c>
      <c r="B1906" s="168" t="s">
        <v>364</v>
      </c>
      <c r="C1906" s="168" t="s">
        <v>136</v>
      </c>
      <c r="D1906" s="169" t="s">
        <v>344</v>
      </c>
    </row>
    <row r="1907">
      <c r="A1907" s="170">
        <v>43424.0</v>
      </c>
      <c r="B1907" s="168" t="s">
        <v>364</v>
      </c>
      <c r="C1907" s="168" t="s">
        <v>136</v>
      </c>
      <c r="D1907" s="169" t="s">
        <v>344</v>
      </c>
    </row>
    <row r="1908">
      <c r="A1908" s="170">
        <v>43425.0</v>
      </c>
      <c r="B1908" s="168" t="s">
        <v>364</v>
      </c>
      <c r="C1908" s="168" t="s">
        <v>136</v>
      </c>
      <c r="D1908" s="169" t="s">
        <v>344</v>
      </c>
    </row>
    <row r="1909">
      <c r="A1909" s="170">
        <v>43426.0</v>
      </c>
      <c r="B1909" s="168" t="s">
        <v>364</v>
      </c>
      <c r="C1909" s="168" t="s">
        <v>136</v>
      </c>
      <c r="D1909" s="169" t="s">
        <v>344</v>
      </c>
    </row>
    <row r="1910">
      <c r="A1910" s="170">
        <v>43427.0</v>
      </c>
      <c r="B1910" s="168" t="s">
        <v>364</v>
      </c>
      <c r="C1910" s="168" t="s">
        <v>136</v>
      </c>
      <c r="D1910" s="169" t="s">
        <v>344</v>
      </c>
    </row>
    <row r="1911">
      <c r="A1911" s="170">
        <v>43428.0</v>
      </c>
      <c r="B1911" s="168" t="s">
        <v>364</v>
      </c>
      <c r="C1911" s="168" t="s">
        <v>136</v>
      </c>
      <c r="D1911" s="169" t="s">
        <v>344</v>
      </c>
    </row>
    <row r="1912">
      <c r="A1912" s="170">
        <v>43429.0</v>
      </c>
      <c r="B1912" s="168" t="s">
        <v>364</v>
      </c>
      <c r="C1912" s="168" t="s">
        <v>136</v>
      </c>
      <c r="D1912" s="169" t="s">
        <v>344</v>
      </c>
    </row>
    <row r="1913">
      <c r="A1913" s="170">
        <v>43430.0</v>
      </c>
      <c r="B1913" s="168" t="s">
        <v>365</v>
      </c>
      <c r="C1913" s="168" t="s">
        <v>136</v>
      </c>
      <c r="D1913" s="169" t="s">
        <v>345</v>
      </c>
    </row>
    <row r="1914">
      <c r="A1914" s="170">
        <v>43431.0</v>
      </c>
      <c r="B1914" s="168" t="s">
        <v>365</v>
      </c>
      <c r="C1914" s="168" t="s">
        <v>136</v>
      </c>
      <c r="D1914" s="169" t="s">
        <v>345</v>
      </c>
    </row>
    <row r="1915">
      <c r="A1915" s="170">
        <v>43432.0</v>
      </c>
      <c r="B1915" s="168" t="s">
        <v>365</v>
      </c>
      <c r="C1915" s="168" t="s">
        <v>136</v>
      </c>
      <c r="D1915" s="169" t="s">
        <v>345</v>
      </c>
    </row>
    <row r="1916">
      <c r="A1916" s="170">
        <v>43433.0</v>
      </c>
      <c r="B1916" s="168" t="s">
        <v>365</v>
      </c>
      <c r="C1916" s="168" t="s">
        <v>136</v>
      </c>
      <c r="D1916" s="169" t="s">
        <v>345</v>
      </c>
    </row>
    <row r="1917">
      <c r="A1917" s="170">
        <v>43434.0</v>
      </c>
      <c r="B1917" s="168" t="s">
        <v>365</v>
      </c>
      <c r="C1917" s="168" t="s">
        <v>136</v>
      </c>
      <c r="D1917" s="169" t="s">
        <v>345</v>
      </c>
    </row>
    <row r="1918">
      <c r="A1918" s="170">
        <v>43435.0</v>
      </c>
      <c r="B1918" s="168" t="s">
        <v>365</v>
      </c>
      <c r="C1918" s="168" t="s">
        <v>136</v>
      </c>
      <c r="D1918" s="169" t="s">
        <v>345</v>
      </c>
    </row>
    <row r="1919">
      <c r="A1919" s="170">
        <v>43436.0</v>
      </c>
      <c r="B1919" s="168" t="s">
        <v>365</v>
      </c>
      <c r="C1919" s="168" t="s">
        <v>136</v>
      </c>
      <c r="D1919" s="169" t="s">
        <v>345</v>
      </c>
    </row>
    <row r="1920">
      <c r="A1920" s="170">
        <v>43437.0</v>
      </c>
      <c r="B1920" s="168" t="s">
        <v>366</v>
      </c>
      <c r="C1920" s="168" t="s">
        <v>136</v>
      </c>
      <c r="D1920" s="169" t="s">
        <v>345</v>
      </c>
    </row>
    <row r="1921">
      <c r="A1921" s="170">
        <v>43438.0</v>
      </c>
      <c r="B1921" s="168" t="s">
        <v>366</v>
      </c>
      <c r="C1921" s="168" t="s">
        <v>136</v>
      </c>
      <c r="D1921" s="169" t="s">
        <v>345</v>
      </c>
    </row>
    <row r="1922">
      <c r="A1922" s="170">
        <v>43439.0</v>
      </c>
      <c r="B1922" s="168" t="s">
        <v>366</v>
      </c>
      <c r="C1922" s="168" t="s">
        <v>136</v>
      </c>
      <c r="D1922" s="169" t="s">
        <v>345</v>
      </c>
    </row>
    <row r="1923">
      <c r="A1923" s="170">
        <v>43440.0</v>
      </c>
      <c r="B1923" s="168" t="s">
        <v>366</v>
      </c>
      <c r="C1923" s="168" t="s">
        <v>136</v>
      </c>
      <c r="D1923" s="169" t="s">
        <v>345</v>
      </c>
    </row>
    <row r="1924">
      <c r="A1924" s="170">
        <v>43441.0</v>
      </c>
      <c r="B1924" s="168" t="s">
        <v>366</v>
      </c>
      <c r="C1924" s="168" t="s">
        <v>136</v>
      </c>
      <c r="D1924" s="169" t="s">
        <v>345</v>
      </c>
    </row>
    <row r="1925">
      <c r="A1925" s="170">
        <v>43442.0</v>
      </c>
      <c r="B1925" s="168" t="s">
        <v>366</v>
      </c>
      <c r="C1925" s="168" t="s">
        <v>136</v>
      </c>
      <c r="D1925" s="169" t="s">
        <v>345</v>
      </c>
    </row>
    <row r="1926">
      <c r="A1926" s="170">
        <v>43443.0</v>
      </c>
      <c r="B1926" s="168" t="s">
        <v>366</v>
      </c>
      <c r="C1926" s="168" t="s">
        <v>136</v>
      </c>
      <c r="D1926" s="169" t="s">
        <v>345</v>
      </c>
    </row>
    <row r="1927">
      <c r="A1927" s="170">
        <v>43444.0</v>
      </c>
      <c r="B1927" s="168" t="s">
        <v>367</v>
      </c>
      <c r="C1927" s="168" t="s">
        <v>136</v>
      </c>
      <c r="D1927" s="169" t="s">
        <v>345</v>
      </c>
    </row>
    <row r="1928">
      <c r="A1928" s="170">
        <v>43445.0</v>
      </c>
      <c r="B1928" s="168" t="s">
        <v>367</v>
      </c>
      <c r="C1928" s="168" t="s">
        <v>136</v>
      </c>
      <c r="D1928" s="169" t="s">
        <v>345</v>
      </c>
    </row>
    <row r="1929">
      <c r="A1929" s="170">
        <v>43446.0</v>
      </c>
      <c r="B1929" s="168" t="s">
        <v>367</v>
      </c>
      <c r="C1929" s="168" t="s">
        <v>136</v>
      </c>
      <c r="D1929" s="169" t="s">
        <v>345</v>
      </c>
    </row>
    <row r="1930">
      <c r="A1930" s="170">
        <v>43447.0</v>
      </c>
      <c r="B1930" s="168" t="s">
        <v>367</v>
      </c>
      <c r="C1930" s="168" t="s">
        <v>136</v>
      </c>
      <c r="D1930" s="169" t="s">
        <v>345</v>
      </c>
    </row>
    <row r="1931">
      <c r="A1931" s="170">
        <v>43448.0</v>
      </c>
      <c r="B1931" s="168" t="s">
        <v>367</v>
      </c>
      <c r="C1931" s="168" t="s">
        <v>136</v>
      </c>
      <c r="D1931" s="169" t="s">
        <v>345</v>
      </c>
    </row>
    <row r="1932">
      <c r="A1932" s="170">
        <v>43449.0</v>
      </c>
      <c r="B1932" s="168" t="s">
        <v>367</v>
      </c>
      <c r="C1932" s="168" t="s">
        <v>136</v>
      </c>
      <c r="D1932" s="169" t="s">
        <v>345</v>
      </c>
    </row>
    <row r="1933">
      <c r="A1933" s="170">
        <v>43450.0</v>
      </c>
      <c r="B1933" s="168" t="s">
        <v>367</v>
      </c>
      <c r="C1933" s="168" t="s">
        <v>136</v>
      </c>
      <c r="D1933" s="169" t="s">
        <v>345</v>
      </c>
    </row>
    <row r="1934">
      <c r="A1934" s="170">
        <v>43451.0</v>
      </c>
      <c r="B1934" s="168" t="s">
        <v>368</v>
      </c>
      <c r="C1934" s="168" t="s">
        <v>136</v>
      </c>
      <c r="D1934" s="169" t="s">
        <v>345</v>
      </c>
    </row>
    <row r="1935">
      <c r="A1935" s="170">
        <v>43452.0</v>
      </c>
      <c r="B1935" s="168" t="s">
        <v>368</v>
      </c>
      <c r="C1935" s="168" t="s">
        <v>136</v>
      </c>
      <c r="D1935" s="169" t="s">
        <v>345</v>
      </c>
    </row>
    <row r="1936">
      <c r="A1936" s="170">
        <v>43453.0</v>
      </c>
      <c r="B1936" s="168" t="s">
        <v>368</v>
      </c>
      <c r="C1936" s="168" t="s">
        <v>136</v>
      </c>
      <c r="D1936" s="169" t="s">
        <v>345</v>
      </c>
    </row>
    <row r="1937">
      <c r="A1937" s="170">
        <v>43454.0</v>
      </c>
      <c r="B1937" s="168" t="s">
        <v>368</v>
      </c>
      <c r="C1937" s="168" t="s">
        <v>136</v>
      </c>
      <c r="D1937" s="169" t="s">
        <v>345</v>
      </c>
    </row>
    <row r="1938">
      <c r="A1938" s="170">
        <v>43455.0</v>
      </c>
      <c r="B1938" s="168" t="s">
        <v>368</v>
      </c>
      <c r="C1938" s="168" t="s">
        <v>136</v>
      </c>
      <c r="D1938" s="169" t="s">
        <v>345</v>
      </c>
    </row>
    <row r="1939">
      <c r="A1939" s="170">
        <v>43456.0</v>
      </c>
      <c r="B1939" s="168" t="s">
        <v>368</v>
      </c>
      <c r="C1939" s="168" t="s">
        <v>136</v>
      </c>
      <c r="D1939" s="169" t="s">
        <v>345</v>
      </c>
    </row>
    <row r="1940">
      <c r="A1940" s="170">
        <v>43457.0</v>
      </c>
      <c r="B1940" s="168" t="s">
        <v>368</v>
      </c>
      <c r="C1940" s="168" t="s">
        <v>136</v>
      </c>
      <c r="D1940" s="169" t="s">
        <v>345</v>
      </c>
    </row>
    <row r="1941">
      <c r="A1941" s="170">
        <v>43458.0</v>
      </c>
      <c r="B1941" s="168" t="s">
        <v>369</v>
      </c>
      <c r="C1941" s="168" t="s">
        <v>136</v>
      </c>
      <c r="D1941" s="169" t="s">
        <v>346</v>
      </c>
    </row>
    <row r="1942">
      <c r="A1942" s="170">
        <v>43459.0</v>
      </c>
      <c r="B1942" s="168" t="s">
        <v>369</v>
      </c>
      <c r="C1942" s="168" t="s">
        <v>136</v>
      </c>
      <c r="D1942" s="169" t="s">
        <v>346</v>
      </c>
    </row>
    <row r="1943">
      <c r="A1943" s="170">
        <v>43460.0</v>
      </c>
      <c r="B1943" s="168" t="s">
        <v>369</v>
      </c>
      <c r="C1943" s="168" t="s">
        <v>136</v>
      </c>
      <c r="D1943" s="169" t="s">
        <v>346</v>
      </c>
    </row>
    <row r="1944">
      <c r="A1944" s="170">
        <v>43461.0</v>
      </c>
      <c r="B1944" s="168" t="s">
        <v>369</v>
      </c>
      <c r="C1944" s="168" t="s">
        <v>136</v>
      </c>
      <c r="D1944" s="169" t="s">
        <v>346</v>
      </c>
    </row>
    <row r="1945">
      <c r="A1945" s="170">
        <v>43462.0</v>
      </c>
      <c r="B1945" s="168" t="s">
        <v>369</v>
      </c>
      <c r="C1945" s="168" t="s">
        <v>136</v>
      </c>
      <c r="D1945" s="169" t="s">
        <v>346</v>
      </c>
    </row>
    <row r="1946">
      <c r="A1946" s="170">
        <v>43463.0</v>
      </c>
      <c r="B1946" s="168" t="s">
        <v>369</v>
      </c>
      <c r="C1946" s="168" t="s">
        <v>136</v>
      </c>
      <c r="D1946" s="169" t="s">
        <v>346</v>
      </c>
    </row>
    <row r="1947">
      <c r="A1947" s="170">
        <v>43464.0</v>
      </c>
      <c r="B1947" s="168" t="s">
        <v>369</v>
      </c>
      <c r="C1947" s="168" t="s">
        <v>136</v>
      </c>
      <c r="D1947" s="169" t="s">
        <v>346</v>
      </c>
    </row>
    <row r="1948">
      <c r="A1948" s="170">
        <v>43465.0</v>
      </c>
      <c r="B1948" s="168" t="s">
        <v>370</v>
      </c>
      <c r="C1948" s="168" t="s">
        <v>136</v>
      </c>
      <c r="D1948" s="169" t="s">
        <v>346</v>
      </c>
    </row>
    <row r="1949">
      <c r="A1949" s="170">
        <v>43466.0</v>
      </c>
      <c r="B1949" s="168" t="s">
        <v>370</v>
      </c>
      <c r="C1949" s="168" t="s">
        <v>136</v>
      </c>
      <c r="D1949" s="169" t="s">
        <v>346</v>
      </c>
    </row>
    <row r="1950">
      <c r="A1950" s="170">
        <v>43467.0</v>
      </c>
      <c r="B1950" s="168" t="s">
        <v>370</v>
      </c>
      <c r="C1950" s="168" t="s">
        <v>136</v>
      </c>
      <c r="D1950" s="169" t="s">
        <v>346</v>
      </c>
    </row>
    <row r="1951">
      <c r="A1951" s="170">
        <v>43468.0</v>
      </c>
      <c r="B1951" s="168" t="s">
        <v>370</v>
      </c>
      <c r="C1951" s="168" t="s">
        <v>136</v>
      </c>
      <c r="D1951" s="169" t="s">
        <v>346</v>
      </c>
    </row>
    <row r="1952">
      <c r="A1952" s="170">
        <v>43469.0</v>
      </c>
      <c r="B1952" s="168" t="s">
        <v>370</v>
      </c>
      <c r="C1952" s="168" t="s">
        <v>136</v>
      </c>
      <c r="D1952" s="169" t="s">
        <v>346</v>
      </c>
    </row>
    <row r="1953">
      <c r="A1953" s="170">
        <v>43470.0</v>
      </c>
      <c r="B1953" s="168" t="s">
        <v>370</v>
      </c>
      <c r="C1953" s="168" t="s">
        <v>136</v>
      </c>
      <c r="D1953" s="169" t="s">
        <v>346</v>
      </c>
    </row>
    <row r="1954">
      <c r="A1954" s="170">
        <v>43471.0</v>
      </c>
      <c r="B1954" s="168" t="s">
        <v>370</v>
      </c>
      <c r="C1954" s="168" t="s">
        <v>136</v>
      </c>
      <c r="D1954" s="169" t="s">
        <v>346</v>
      </c>
    </row>
    <row r="1955">
      <c r="A1955" s="170">
        <v>43472.0</v>
      </c>
      <c r="B1955" s="168" t="s">
        <v>371</v>
      </c>
      <c r="C1955" s="168" t="s">
        <v>136</v>
      </c>
      <c r="D1955" s="169" t="s">
        <v>346</v>
      </c>
    </row>
    <row r="1956">
      <c r="A1956" s="170">
        <v>43473.0</v>
      </c>
      <c r="B1956" s="168" t="s">
        <v>371</v>
      </c>
      <c r="C1956" s="168" t="s">
        <v>136</v>
      </c>
      <c r="D1956" s="169" t="s">
        <v>346</v>
      </c>
    </row>
    <row r="1957">
      <c r="A1957" s="170">
        <v>43474.0</v>
      </c>
      <c r="B1957" s="168" t="s">
        <v>371</v>
      </c>
      <c r="C1957" s="168" t="s">
        <v>136</v>
      </c>
      <c r="D1957" s="169" t="s">
        <v>346</v>
      </c>
    </row>
    <row r="1958">
      <c r="A1958" s="170">
        <v>43475.0</v>
      </c>
      <c r="B1958" s="168" t="s">
        <v>371</v>
      </c>
      <c r="C1958" s="168" t="s">
        <v>136</v>
      </c>
      <c r="D1958" s="169" t="s">
        <v>346</v>
      </c>
    </row>
    <row r="1959">
      <c r="A1959" s="170">
        <v>43476.0</v>
      </c>
      <c r="B1959" s="168" t="s">
        <v>371</v>
      </c>
      <c r="C1959" s="168" t="s">
        <v>136</v>
      </c>
      <c r="D1959" s="169" t="s">
        <v>346</v>
      </c>
    </row>
    <row r="1960">
      <c r="A1960" s="170">
        <v>43477.0</v>
      </c>
      <c r="B1960" s="168" t="s">
        <v>371</v>
      </c>
      <c r="C1960" s="168" t="s">
        <v>136</v>
      </c>
      <c r="D1960" s="169" t="s">
        <v>346</v>
      </c>
    </row>
    <row r="1961">
      <c r="A1961" s="170">
        <v>43478.0</v>
      </c>
      <c r="B1961" s="168" t="s">
        <v>371</v>
      </c>
      <c r="C1961" s="168" t="s">
        <v>136</v>
      </c>
      <c r="D1961" s="169" t="s">
        <v>346</v>
      </c>
    </row>
    <row r="1962">
      <c r="A1962" s="170">
        <v>43479.0</v>
      </c>
      <c r="B1962" s="168" t="s">
        <v>372</v>
      </c>
      <c r="C1962" s="168" t="s">
        <v>136</v>
      </c>
      <c r="D1962" s="169" t="s">
        <v>346</v>
      </c>
    </row>
    <row r="1963">
      <c r="A1963" s="170">
        <v>43480.0</v>
      </c>
      <c r="B1963" s="168" t="s">
        <v>372</v>
      </c>
      <c r="C1963" s="168" t="s">
        <v>136</v>
      </c>
      <c r="D1963" s="169" t="s">
        <v>346</v>
      </c>
    </row>
    <row r="1964">
      <c r="A1964" s="170">
        <v>43481.0</v>
      </c>
      <c r="B1964" s="168" t="s">
        <v>372</v>
      </c>
      <c r="C1964" s="168" t="s">
        <v>136</v>
      </c>
      <c r="D1964" s="169" t="s">
        <v>346</v>
      </c>
    </row>
    <row r="1965">
      <c r="A1965" s="170">
        <v>43482.0</v>
      </c>
      <c r="B1965" s="168" t="s">
        <v>372</v>
      </c>
      <c r="C1965" s="168" t="s">
        <v>136</v>
      </c>
      <c r="D1965" s="169" t="s">
        <v>346</v>
      </c>
    </row>
    <row r="1966">
      <c r="A1966" s="170">
        <v>43483.0</v>
      </c>
      <c r="B1966" s="168" t="s">
        <v>372</v>
      </c>
      <c r="C1966" s="168" t="s">
        <v>136</v>
      </c>
      <c r="D1966" s="169" t="s">
        <v>346</v>
      </c>
    </row>
    <row r="1967">
      <c r="A1967" s="170">
        <v>43484.0</v>
      </c>
      <c r="B1967" s="168" t="s">
        <v>372</v>
      </c>
      <c r="C1967" s="168" t="s">
        <v>136</v>
      </c>
      <c r="D1967" s="169" t="s">
        <v>346</v>
      </c>
    </row>
    <row r="1968">
      <c r="A1968" s="170">
        <v>43485.0</v>
      </c>
      <c r="B1968" s="168" t="s">
        <v>372</v>
      </c>
      <c r="C1968" s="168" t="s">
        <v>136</v>
      </c>
      <c r="D1968" s="169" t="s">
        <v>346</v>
      </c>
    </row>
    <row r="1969">
      <c r="A1969" s="170">
        <v>43486.0</v>
      </c>
      <c r="B1969" s="168" t="s">
        <v>373</v>
      </c>
      <c r="C1969" s="168" t="s">
        <v>136</v>
      </c>
      <c r="D1969" s="169" t="s">
        <v>347</v>
      </c>
    </row>
    <row r="1970">
      <c r="A1970" s="170">
        <v>43487.0</v>
      </c>
      <c r="B1970" s="168" t="s">
        <v>373</v>
      </c>
      <c r="C1970" s="168" t="s">
        <v>136</v>
      </c>
      <c r="D1970" s="169" t="s">
        <v>347</v>
      </c>
    </row>
    <row r="1971">
      <c r="A1971" s="170">
        <v>43488.0</v>
      </c>
      <c r="B1971" s="168" t="s">
        <v>373</v>
      </c>
      <c r="C1971" s="168" t="s">
        <v>136</v>
      </c>
      <c r="D1971" s="169" t="s">
        <v>347</v>
      </c>
    </row>
    <row r="1972">
      <c r="A1972" s="170">
        <v>43489.0</v>
      </c>
      <c r="B1972" s="168" t="s">
        <v>373</v>
      </c>
      <c r="C1972" s="168" t="s">
        <v>136</v>
      </c>
      <c r="D1972" s="169" t="s">
        <v>347</v>
      </c>
    </row>
    <row r="1973">
      <c r="A1973" s="170">
        <v>43490.0</v>
      </c>
      <c r="B1973" s="168" t="s">
        <v>373</v>
      </c>
      <c r="C1973" s="168" t="s">
        <v>136</v>
      </c>
      <c r="D1973" s="169" t="s">
        <v>347</v>
      </c>
    </row>
    <row r="1974">
      <c r="A1974" s="170">
        <v>43491.0</v>
      </c>
      <c r="B1974" s="168" t="s">
        <v>373</v>
      </c>
      <c r="C1974" s="168" t="s">
        <v>136</v>
      </c>
      <c r="D1974" s="169" t="s">
        <v>347</v>
      </c>
    </row>
    <row r="1975">
      <c r="A1975" s="170">
        <v>43492.0</v>
      </c>
      <c r="B1975" s="168" t="s">
        <v>373</v>
      </c>
      <c r="C1975" s="168" t="s">
        <v>136</v>
      </c>
      <c r="D1975" s="169" t="s">
        <v>347</v>
      </c>
    </row>
    <row r="1976">
      <c r="A1976" s="170">
        <v>43493.0</v>
      </c>
      <c r="B1976" s="168" t="s">
        <v>374</v>
      </c>
      <c r="C1976" s="168" t="s">
        <v>136</v>
      </c>
      <c r="D1976" s="169" t="s">
        <v>347</v>
      </c>
    </row>
    <row r="1977">
      <c r="A1977" s="170">
        <v>43494.0</v>
      </c>
      <c r="B1977" s="168" t="s">
        <v>374</v>
      </c>
      <c r="C1977" s="168" t="s">
        <v>136</v>
      </c>
      <c r="D1977" s="169" t="s">
        <v>347</v>
      </c>
    </row>
    <row r="1978">
      <c r="A1978" s="170">
        <v>43495.0</v>
      </c>
      <c r="B1978" s="168" t="s">
        <v>374</v>
      </c>
      <c r="C1978" s="168" t="s">
        <v>136</v>
      </c>
      <c r="D1978" s="169" t="s">
        <v>347</v>
      </c>
    </row>
    <row r="1979">
      <c r="A1979" s="170">
        <v>43496.0</v>
      </c>
      <c r="B1979" s="168" t="s">
        <v>374</v>
      </c>
      <c r="C1979" s="168" t="s">
        <v>136</v>
      </c>
      <c r="D1979" s="169" t="s">
        <v>347</v>
      </c>
    </row>
    <row r="1980">
      <c r="A1980" s="170">
        <v>43497.0</v>
      </c>
      <c r="B1980" s="168" t="s">
        <v>374</v>
      </c>
      <c r="C1980" s="168" t="s">
        <v>136</v>
      </c>
      <c r="D1980" s="169" t="s">
        <v>347</v>
      </c>
    </row>
    <row r="1981">
      <c r="A1981" s="170">
        <v>43498.0</v>
      </c>
      <c r="B1981" s="168" t="s">
        <v>374</v>
      </c>
      <c r="C1981" s="168" t="s">
        <v>136</v>
      </c>
      <c r="D1981" s="169" t="s">
        <v>347</v>
      </c>
    </row>
    <row r="1982">
      <c r="A1982" s="170">
        <v>43499.0</v>
      </c>
      <c r="B1982" s="168" t="s">
        <v>374</v>
      </c>
      <c r="C1982" s="168" t="s">
        <v>136</v>
      </c>
      <c r="D1982" s="169" t="s">
        <v>347</v>
      </c>
    </row>
    <row r="1983">
      <c r="A1983" s="170">
        <v>43500.0</v>
      </c>
      <c r="B1983" s="168" t="s">
        <v>375</v>
      </c>
      <c r="C1983" s="168" t="s">
        <v>136</v>
      </c>
      <c r="D1983" s="169" t="s">
        <v>347</v>
      </c>
    </row>
    <row r="1984">
      <c r="A1984" s="170">
        <v>43501.0</v>
      </c>
      <c r="B1984" s="168" t="s">
        <v>375</v>
      </c>
      <c r="C1984" s="168" t="s">
        <v>136</v>
      </c>
      <c r="D1984" s="169" t="s">
        <v>347</v>
      </c>
    </row>
    <row r="1985">
      <c r="A1985" s="170">
        <v>43502.0</v>
      </c>
      <c r="B1985" s="168" t="s">
        <v>375</v>
      </c>
      <c r="C1985" s="168" t="s">
        <v>136</v>
      </c>
      <c r="D1985" s="169" t="s">
        <v>347</v>
      </c>
    </row>
    <row r="1986">
      <c r="A1986" s="170">
        <v>43503.0</v>
      </c>
      <c r="B1986" s="168" t="s">
        <v>375</v>
      </c>
      <c r="C1986" s="168" t="s">
        <v>136</v>
      </c>
      <c r="D1986" s="169" t="s">
        <v>347</v>
      </c>
    </row>
    <row r="1987">
      <c r="A1987" s="170">
        <v>43504.0</v>
      </c>
      <c r="B1987" s="168" t="s">
        <v>375</v>
      </c>
      <c r="C1987" s="168" t="s">
        <v>136</v>
      </c>
      <c r="D1987" s="169" t="s">
        <v>347</v>
      </c>
    </row>
    <row r="1988">
      <c r="A1988" s="170">
        <v>43505.0</v>
      </c>
      <c r="B1988" s="168" t="s">
        <v>375</v>
      </c>
      <c r="C1988" s="168" t="s">
        <v>136</v>
      </c>
      <c r="D1988" s="169" t="s">
        <v>347</v>
      </c>
    </row>
    <row r="1989">
      <c r="A1989" s="170">
        <v>43506.0</v>
      </c>
      <c r="B1989" s="168" t="s">
        <v>375</v>
      </c>
      <c r="C1989" s="168" t="s">
        <v>136</v>
      </c>
      <c r="D1989" s="169" t="s">
        <v>347</v>
      </c>
    </row>
    <row r="1990">
      <c r="A1990" s="170">
        <v>43507.0</v>
      </c>
      <c r="B1990" s="168" t="s">
        <v>376</v>
      </c>
      <c r="C1990" s="168" t="s">
        <v>136</v>
      </c>
      <c r="D1990" s="169" t="s">
        <v>347</v>
      </c>
    </row>
    <row r="1991">
      <c r="A1991" s="170">
        <v>43508.0</v>
      </c>
      <c r="B1991" s="168" t="s">
        <v>376</v>
      </c>
      <c r="C1991" s="168" t="s">
        <v>136</v>
      </c>
      <c r="D1991" s="169" t="s">
        <v>347</v>
      </c>
    </row>
    <row r="1992">
      <c r="A1992" s="170">
        <v>43509.0</v>
      </c>
      <c r="B1992" s="168" t="s">
        <v>376</v>
      </c>
      <c r="C1992" s="168" t="s">
        <v>136</v>
      </c>
      <c r="D1992" s="169" t="s">
        <v>347</v>
      </c>
    </row>
    <row r="1993">
      <c r="A1993" s="170">
        <v>43510.0</v>
      </c>
      <c r="B1993" s="168" t="s">
        <v>376</v>
      </c>
      <c r="C1993" s="168" t="s">
        <v>136</v>
      </c>
      <c r="D1993" s="169" t="s">
        <v>347</v>
      </c>
    </row>
    <row r="1994">
      <c r="A1994" s="170">
        <v>43511.0</v>
      </c>
      <c r="B1994" s="168" t="s">
        <v>376</v>
      </c>
      <c r="C1994" s="168" t="s">
        <v>136</v>
      </c>
      <c r="D1994" s="169" t="s">
        <v>347</v>
      </c>
    </row>
    <row r="1995">
      <c r="A1995" s="170">
        <v>43512.0</v>
      </c>
      <c r="B1995" s="168" t="s">
        <v>376</v>
      </c>
      <c r="C1995" s="168" t="s">
        <v>136</v>
      </c>
      <c r="D1995" s="169" t="s">
        <v>347</v>
      </c>
    </row>
    <row r="1996">
      <c r="A1996" s="170">
        <v>43513.0</v>
      </c>
      <c r="B1996" s="168" t="s">
        <v>376</v>
      </c>
      <c r="C1996" s="168" t="s">
        <v>136</v>
      </c>
      <c r="D1996" s="169" t="s">
        <v>347</v>
      </c>
    </row>
    <row r="1997">
      <c r="A1997" s="170">
        <v>43514.0</v>
      </c>
      <c r="B1997" s="168" t="s">
        <v>377</v>
      </c>
      <c r="C1997" s="168" t="s">
        <v>136</v>
      </c>
      <c r="D1997" s="169" t="s">
        <v>348</v>
      </c>
    </row>
    <row r="1998">
      <c r="A1998" s="170">
        <v>43515.0</v>
      </c>
      <c r="B1998" s="168" t="s">
        <v>377</v>
      </c>
      <c r="C1998" s="168" t="s">
        <v>136</v>
      </c>
      <c r="D1998" s="169" t="s">
        <v>348</v>
      </c>
    </row>
    <row r="1999">
      <c r="A1999" s="170">
        <v>43516.0</v>
      </c>
      <c r="B1999" s="168" t="s">
        <v>377</v>
      </c>
      <c r="C1999" s="168" t="s">
        <v>136</v>
      </c>
      <c r="D1999" s="169" t="s">
        <v>348</v>
      </c>
    </row>
    <row r="2000">
      <c r="A2000" s="170">
        <v>43517.0</v>
      </c>
      <c r="B2000" s="168" t="s">
        <v>377</v>
      </c>
      <c r="C2000" s="168" t="s">
        <v>136</v>
      </c>
      <c r="D2000" s="169" t="s">
        <v>348</v>
      </c>
    </row>
    <row r="2001">
      <c r="A2001" s="170">
        <v>43518.0</v>
      </c>
      <c r="B2001" s="168" t="s">
        <v>377</v>
      </c>
      <c r="C2001" s="168" t="s">
        <v>136</v>
      </c>
      <c r="D2001" s="169" t="s">
        <v>348</v>
      </c>
    </row>
    <row r="2002">
      <c r="A2002" s="170">
        <v>43519.0</v>
      </c>
      <c r="B2002" s="168" t="s">
        <v>377</v>
      </c>
      <c r="C2002" s="168" t="s">
        <v>136</v>
      </c>
      <c r="D2002" s="169" t="s">
        <v>348</v>
      </c>
    </row>
    <row r="2003">
      <c r="A2003" s="170">
        <v>43520.0</v>
      </c>
      <c r="B2003" s="168" t="s">
        <v>377</v>
      </c>
      <c r="C2003" s="168" t="s">
        <v>136</v>
      </c>
      <c r="D2003" s="169" t="s">
        <v>348</v>
      </c>
    </row>
    <row r="2004">
      <c r="A2004" s="170">
        <v>43521.0</v>
      </c>
      <c r="B2004" s="168" t="s">
        <v>378</v>
      </c>
      <c r="C2004" s="168" t="s">
        <v>136</v>
      </c>
      <c r="D2004" s="169" t="s">
        <v>348</v>
      </c>
    </row>
    <row r="2005">
      <c r="A2005" s="170">
        <v>43522.0</v>
      </c>
      <c r="B2005" s="168" t="s">
        <v>378</v>
      </c>
      <c r="C2005" s="168" t="s">
        <v>136</v>
      </c>
      <c r="D2005" s="169" t="s">
        <v>348</v>
      </c>
    </row>
    <row r="2006">
      <c r="A2006" s="170">
        <v>43523.0</v>
      </c>
      <c r="B2006" s="168" t="s">
        <v>378</v>
      </c>
      <c r="C2006" s="168" t="s">
        <v>136</v>
      </c>
      <c r="D2006" s="169" t="s">
        <v>348</v>
      </c>
    </row>
    <row r="2007">
      <c r="A2007" s="170">
        <v>43524.0</v>
      </c>
      <c r="B2007" s="168" t="s">
        <v>378</v>
      </c>
      <c r="C2007" s="168" t="s">
        <v>136</v>
      </c>
      <c r="D2007" s="169" t="s">
        <v>348</v>
      </c>
    </row>
    <row r="2008">
      <c r="A2008" s="170">
        <v>43525.0</v>
      </c>
      <c r="B2008" s="168" t="s">
        <v>378</v>
      </c>
      <c r="C2008" s="168" t="s">
        <v>136</v>
      </c>
      <c r="D2008" s="169" t="s">
        <v>348</v>
      </c>
    </row>
    <row r="2009">
      <c r="A2009" s="170">
        <v>43526.0</v>
      </c>
      <c r="B2009" s="168" t="s">
        <v>378</v>
      </c>
      <c r="C2009" s="168" t="s">
        <v>136</v>
      </c>
      <c r="D2009" s="169" t="s">
        <v>348</v>
      </c>
    </row>
    <row r="2010">
      <c r="A2010" s="170">
        <v>43527.0</v>
      </c>
      <c r="B2010" s="168" t="s">
        <v>378</v>
      </c>
      <c r="C2010" s="168" t="s">
        <v>136</v>
      </c>
      <c r="D2010" s="169" t="s">
        <v>348</v>
      </c>
    </row>
    <row r="2011">
      <c r="A2011" s="170">
        <v>43528.0</v>
      </c>
      <c r="B2011" s="168" t="s">
        <v>379</v>
      </c>
      <c r="C2011" s="168" t="s">
        <v>136</v>
      </c>
      <c r="D2011" s="169" t="s">
        <v>348</v>
      </c>
    </row>
    <row r="2012">
      <c r="A2012" s="170">
        <v>43529.0</v>
      </c>
      <c r="B2012" s="168" t="s">
        <v>379</v>
      </c>
      <c r="C2012" s="168" t="s">
        <v>136</v>
      </c>
      <c r="D2012" s="169" t="s">
        <v>348</v>
      </c>
    </row>
    <row r="2013">
      <c r="A2013" s="170">
        <v>43530.0</v>
      </c>
      <c r="B2013" s="168" t="s">
        <v>379</v>
      </c>
      <c r="C2013" s="168" t="s">
        <v>136</v>
      </c>
      <c r="D2013" s="169" t="s">
        <v>348</v>
      </c>
    </row>
    <row r="2014">
      <c r="A2014" s="170">
        <v>43531.0</v>
      </c>
      <c r="B2014" s="168" t="s">
        <v>379</v>
      </c>
      <c r="C2014" s="168" t="s">
        <v>136</v>
      </c>
      <c r="D2014" s="169" t="s">
        <v>348</v>
      </c>
    </row>
    <row r="2015">
      <c r="A2015" s="170">
        <v>43532.0</v>
      </c>
      <c r="B2015" s="168" t="s">
        <v>379</v>
      </c>
      <c r="C2015" s="168" t="s">
        <v>136</v>
      </c>
      <c r="D2015" s="169" t="s">
        <v>348</v>
      </c>
    </row>
    <row r="2016">
      <c r="A2016" s="170">
        <v>43533.0</v>
      </c>
      <c r="B2016" s="168" t="s">
        <v>379</v>
      </c>
      <c r="C2016" s="168" t="s">
        <v>136</v>
      </c>
      <c r="D2016" s="169" t="s">
        <v>348</v>
      </c>
    </row>
    <row r="2017">
      <c r="A2017" s="170">
        <v>43534.0</v>
      </c>
      <c r="B2017" s="168" t="s">
        <v>379</v>
      </c>
      <c r="C2017" s="168" t="s">
        <v>136</v>
      </c>
      <c r="D2017" s="169" t="s">
        <v>348</v>
      </c>
    </row>
    <row r="2018">
      <c r="A2018" s="170">
        <v>43535.0</v>
      </c>
      <c r="B2018" s="168" t="s">
        <v>380</v>
      </c>
      <c r="C2018" s="168" t="s">
        <v>136</v>
      </c>
      <c r="D2018" s="169" t="s">
        <v>348</v>
      </c>
    </row>
    <row r="2019">
      <c r="A2019" s="170">
        <v>43536.0</v>
      </c>
      <c r="B2019" s="168" t="s">
        <v>380</v>
      </c>
      <c r="C2019" s="168" t="s">
        <v>136</v>
      </c>
      <c r="D2019" s="169" t="s">
        <v>348</v>
      </c>
    </row>
    <row r="2020">
      <c r="A2020" s="170">
        <v>43537.0</v>
      </c>
      <c r="B2020" s="168" t="s">
        <v>380</v>
      </c>
      <c r="C2020" s="168" t="s">
        <v>136</v>
      </c>
      <c r="D2020" s="169" t="s">
        <v>348</v>
      </c>
    </row>
    <row r="2021">
      <c r="A2021" s="170">
        <v>43538.0</v>
      </c>
      <c r="B2021" s="168" t="s">
        <v>380</v>
      </c>
      <c r="C2021" s="168" t="s">
        <v>136</v>
      </c>
      <c r="D2021" s="169" t="s">
        <v>348</v>
      </c>
    </row>
    <row r="2022">
      <c r="A2022" s="170">
        <v>43539.0</v>
      </c>
      <c r="B2022" s="168" t="s">
        <v>380</v>
      </c>
      <c r="C2022" s="168" t="s">
        <v>136</v>
      </c>
      <c r="D2022" s="169" t="s">
        <v>348</v>
      </c>
    </row>
    <row r="2023">
      <c r="A2023" s="170">
        <v>43540.0</v>
      </c>
      <c r="B2023" s="168" t="s">
        <v>380</v>
      </c>
      <c r="C2023" s="168" t="s">
        <v>136</v>
      </c>
      <c r="D2023" s="169" t="s">
        <v>348</v>
      </c>
    </row>
    <row r="2024">
      <c r="A2024" s="170">
        <v>43541.0</v>
      </c>
      <c r="B2024" s="168" t="s">
        <v>380</v>
      </c>
      <c r="C2024" s="168" t="s">
        <v>136</v>
      </c>
      <c r="D2024" s="169" t="s">
        <v>348</v>
      </c>
    </row>
    <row r="2025">
      <c r="A2025" s="170">
        <v>43542.0</v>
      </c>
      <c r="B2025" s="168" t="s">
        <v>381</v>
      </c>
      <c r="C2025" s="168" t="s">
        <v>136</v>
      </c>
      <c r="D2025" s="169" t="s">
        <v>349</v>
      </c>
    </row>
    <row r="2026">
      <c r="A2026" s="170">
        <v>43543.0</v>
      </c>
      <c r="B2026" s="168" t="s">
        <v>381</v>
      </c>
      <c r="C2026" s="168" t="s">
        <v>136</v>
      </c>
      <c r="D2026" s="169" t="s">
        <v>349</v>
      </c>
    </row>
    <row r="2027">
      <c r="A2027" s="170">
        <v>43544.0</v>
      </c>
      <c r="B2027" s="168" t="s">
        <v>381</v>
      </c>
      <c r="C2027" s="168" t="s">
        <v>136</v>
      </c>
      <c r="D2027" s="169" t="s">
        <v>349</v>
      </c>
    </row>
    <row r="2028">
      <c r="A2028" s="170">
        <v>43545.0</v>
      </c>
      <c r="B2028" s="168" t="s">
        <v>381</v>
      </c>
      <c r="C2028" s="168" t="s">
        <v>136</v>
      </c>
      <c r="D2028" s="169" t="s">
        <v>349</v>
      </c>
    </row>
    <row r="2029">
      <c r="A2029" s="170">
        <v>43546.0</v>
      </c>
      <c r="B2029" s="168" t="s">
        <v>381</v>
      </c>
      <c r="C2029" s="168" t="s">
        <v>136</v>
      </c>
      <c r="D2029" s="169" t="s">
        <v>349</v>
      </c>
    </row>
    <row r="2030">
      <c r="A2030" s="170">
        <v>43547.0</v>
      </c>
      <c r="B2030" s="168" t="s">
        <v>381</v>
      </c>
      <c r="C2030" s="168" t="s">
        <v>136</v>
      </c>
      <c r="D2030" s="169" t="s">
        <v>349</v>
      </c>
    </row>
    <row r="2031">
      <c r="A2031" s="170">
        <v>43548.0</v>
      </c>
      <c r="B2031" s="168" t="s">
        <v>381</v>
      </c>
      <c r="C2031" s="168" t="s">
        <v>136</v>
      </c>
      <c r="D2031" s="169" t="s">
        <v>349</v>
      </c>
    </row>
    <row r="2032">
      <c r="A2032" s="170">
        <v>43549.0</v>
      </c>
      <c r="B2032" s="168" t="s">
        <v>382</v>
      </c>
      <c r="C2032" s="168" t="s">
        <v>136</v>
      </c>
      <c r="D2032" s="169" t="s">
        <v>349</v>
      </c>
    </row>
    <row r="2033">
      <c r="A2033" s="170">
        <v>43550.0</v>
      </c>
      <c r="B2033" s="168" t="s">
        <v>382</v>
      </c>
      <c r="C2033" s="168" t="s">
        <v>136</v>
      </c>
      <c r="D2033" s="169" t="s">
        <v>349</v>
      </c>
    </row>
    <row r="2034">
      <c r="A2034" s="170">
        <v>43551.0</v>
      </c>
      <c r="B2034" s="168" t="s">
        <v>382</v>
      </c>
      <c r="C2034" s="168" t="s">
        <v>136</v>
      </c>
      <c r="D2034" s="169" t="s">
        <v>349</v>
      </c>
    </row>
    <row r="2035">
      <c r="A2035" s="170">
        <v>43552.0</v>
      </c>
      <c r="B2035" s="168" t="s">
        <v>382</v>
      </c>
      <c r="C2035" s="168" t="s">
        <v>136</v>
      </c>
      <c r="D2035" s="169" t="s">
        <v>349</v>
      </c>
    </row>
    <row r="2036">
      <c r="A2036" s="170">
        <v>43553.0</v>
      </c>
      <c r="B2036" s="168" t="s">
        <v>382</v>
      </c>
      <c r="C2036" s="168" t="s">
        <v>136</v>
      </c>
      <c r="D2036" s="169" t="s">
        <v>349</v>
      </c>
    </row>
    <row r="2037">
      <c r="A2037" s="170">
        <v>43554.0</v>
      </c>
      <c r="B2037" s="168" t="s">
        <v>382</v>
      </c>
      <c r="C2037" s="168" t="s">
        <v>136</v>
      </c>
      <c r="D2037" s="169" t="s">
        <v>349</v>
      </c>
    </row>
    <row r="2038">
      <c r="A2038" s="170">
        <v>43555.0</v>
      </c>
      <c r="B2038" s="168" t="s">
        <v>382</v>
      </c>
      <c r="C2038" s="168" t="s">
        <v>136</v>
      </c>
      <c r="D2038" s="169" t="s">
        <v>349</v>
      </c>
    </row>
    <row r="2039">
      <c r="A2039" s="170">
        <v>43556.0</v>
      </c>
      <c r="B2039" s="168" t="s">
        <v>383</v>
      </c>
      <c r="C2039" s="168" t="s">
        <v>136</v>
      </c>
      <c r="D2039" s="169" t="s">
        <v>349</v>
      </c>
    </row>
    <row r="2040">
      <c r="A2040" s="170">
        <v>43557.0</v>
      </c>
      <c r="B2040" s="168" t="s">
        <v>383</v>
      </c>
      <c r="C2040" s="168" t="s">
        <v>136</v>
      </c>
      <c r="D2040" s="169" t="s">
        <v>349</v>
      </c>
    </row>
    <row r="2041">
      <c r="A2041" s="170">
        <v>43558.0</v>
      </c>
      <c r="B2041" s="168" t="s">
        <v>383</v>
      </c>
      <c r="C2041" s="168" t="s">
        <v>136</v>
      </c>
      <c r="D2041" s="169" t="s">
        <v>349</v>
      </c>
    </row>
    <row r="2042">
      <c r="A2042" s="170">
        <v>43559.0</v>
      </c>
      <c r="B2042" s="168" t="s">
        <v>383</v>
      </c>
      <c r="C2042" s="168" t="s">
        <v>136</v>
      </c>
      <c r="D2042" s="169" t="s">
        <v>349</v>
      </c>
    </row>
    <row r="2043">
      <c r="A2043" s="170">
        <v>43560.0</v>
      </c>
      <c r="B2043" s="168" t="s">
        <v>383</v>
      </c>
      <c r="C2043" s="168" t="s">
        <v>136</v>
      </c>
      <c r="D2043" s="169" t="s">
        <v>349</v>
      </c>
    </row>
    <row r="2044">
      <c r="A2044" s="170">
        <v>43561.0</v>
      </c>
      <c r="B2044" s="168" t="s">
        <v>383</v>
      </c>
      <c r="C2044" s="168" t="s">
        <v>136</v>
      </c>
      <c r="D2044" s="169" t="s">
        <v>349</v>
      </c>
    </row>
    <row r="2045">
      <c r="A2045" s="170">
        <v>43562.0</v>
      </c>
      <c r="B2045" s="168" t="s">
        <v>383</v>
      </c>
      <c r="C2045" s="168" t="s">
        <v>136</v>
      </c>
      <c r="D2045" s="169" t="s">
        <v>349</v>
      </c>
    </row>
    <row r="2046">
      <c r="A2046" s="170">
        <v>43563.0</v>
      </c>
      <c r="B2046" s="168" t="s">
        <v>384</v>
      </c>
      <c r="C2046" s="168" t="s">
        <v>136</v>
      </c>
      <c r="D2046" s="169" t="s">
        <v>349</v>
      </c>
    </row>
    <row r="2047">
      <c r="A2047" s="170">
        <v>43564.0</v>
      </c>
      <c r="B2047" s="168" t="s">
        <v>384</v>
      </c>
      <c r="C2047" s="168" t="s">
        <v>136</v>
      </c>
      <c r="D2047" s="169" t="s">
        <v>349</v>
      </c>
    </row>
    <row r="2048">
      <c r="A2048" s="170">
        <v>43565.0</v>
      </c>
      <c r="B2048" s="168" t="s">
        <v>384</v>
      </c>
      <c r="C2048" s="168" t="s">
        <v>136</v>
      </c>
      <c r="D2048" s="169" t="s">
        <v>349</v>
      </c>
    </row>
    <row r="2049">
      <c r="A2049" s="170">
        <v>43566.0</v>
      </c>
      <c r="B2049" s="168" t="s">
        <v>384</v>
      </c>
      <c r="C2049" s="168" t="s">
        <v>136</v>
      </c>
      <c r="D2049" s="169" t="s">
        <v>349</v>
      </c>
    </row>
    <row r="2050">
      <c r="A2050" s="170">
        <v>43567.0</v>
      </c>
      <c r="B2050" s="168" t="s">
        <v>384</v>
      </c>
      <c r="C2050" s="168" t="s">
        <v>136</v>
      </c>
      <c r="D2050" s="169" t="s">
        <v>349</v>
      </c>
    </row>
    <row r="2051">
      <c r="A2051" s="170">
        <v>43568.0</v>
      </c>
      <c r="B2051" s="168" t="s">
        <v>384</v>
      </c>
      <c r="C2051" s="168" t="s">
        <v>136</v>
      </c>
      <c r="D2051" s="169" t="s">
        <v>349</v>
      </c>
    </row>
    <row r="2052">
      <c r="A2052" s="170">
        <v>43569.0</v>
      </c>
      <c r="B2052" s="168" t="s">
        <v>384</v>
      </c>
      <c r="C2052" s="168" t="s">
        <v>136</v>
      </c>
      <c r="D2052" s="169" t="s">
        <v>349</v>
      </c>
    </row>
    <row r="2053">
      <c r="A2053" s="170">
        <v>43570.0</v>
      </c>
      <c r="B2053" s="168" t="s">
        <v>385</v>
      </c>
      <c r="C2053" s="168" t="s">
        <v>136</v>
      </c>
      <c r="D2053" s="169" t="s">
        <v>351</v>
      </c>
    </row>
    <row r="2054">
      <c r="A2054" s="170">
        <v>43571.0</v>
      </c>
      <c r="B2054" s="168" t="s">
        <v>385</v>
      </c>
      <c r="C2054" s="168" t="s">
        <v>136</v>
      </c>
      <c r="D2054" s="169" t="s">
        <v>351</v>
      </c>
    </row>
    <row r="2055">
      <c r="A2055" s="170">
        <v>43572.0</v>
      </c>
      <c r="B2055" s="168" t="s">
        <v>385</v>
      </c>
      <c r="C2055" s="168" t="s">
        <v>136</v>
      </c>
      <c r="D2055" s="169" t="s">
        <v>351</v>
      </c>
    </row>
    <row r="2056">
      <c r="A2056" s="170">
        <v>43573.0</v>
      </c>
      <c r="B2056" s="168" t="s">
        <v>385</v>
      </c>
      <c r="C2056" s="168" t="s">
        <v>136</v>
      </c>
      <c r="D2056" s="169" t="s">
        <v>351</v>
      </c>
    </row>
    <row r="2057">
      <c r="A2057" s="170">
        <v>43574.0</v>
      </c>
      <c r="B2057" s="168" t="s">
        <v>385</v>
      </c>
      <c r="C2057" s="168" t="s">
        <v>136</v>
      </c>
      <c r="D2057" s="169" t="s">
        <v>351</v>
      </c>
    </row>
    <row r="2058">
      <c r="A2058" s="170">
        <v>43575.0</v>
      </c>
      <c r="B2058" s="168" t="s">
        <v>385</v>
      </c>
      <c r="C2058" s="168" t="s">
        <v>136</v>
      </c>
      <c r="D2058" s="169" t="s">
        <v>351</v>
      </c>
    </row>
    <row r="2059">
      <c r="A2059" s="170">
        <v>43576.0</v>
      </c>
      <c r="B2059" s="168" t="s">
        <v>385</v>
      </c>
      <c r="C2059" s="168" t="s">
        <v>136</v>
      </c>
      <c r="D2059" s="169" t="s">
        <v>351</v>
      </c>
    </row>
    <row r="2060">
      <c r="A2060" s="170">
        <v>43577.0</v>
      </c>
      <c r="B2060" s="168" t="s">
        <v>386</v>
      </c>
      <c r="C2060" s="168" t="s">
        <v>136</v>
      </c>
      <c r="D2060" s="169" t="s">
        <v>351</v>
      </c>
    </row>
    <row r="2061">
      <c r="A2061" s="170">
        <v>43578.0</v>
      </c>
      <c r="B2061" s="168" t="s">
        <v>386</v>
      </c>
      <c r="C2061" s="168" t="s">
        <v>136</v>
      </c>
      <c r="D2061" s="169" t="s">
        <v>351</v>
      </c>
    </row>
    <row r="2062">
      <c r="A2062" s="170">
        <v>43579.0</v>
      </c>
      <c r="B2062" s="168" t="s">
        <v>386</v>
      </c>
      <c r="C2062" s="168" t="s">
        <v>136</v>
      </c>
      <c r="D2062" s="169" t="s">
        <v>351</v>
      </c>
    </row>
    <row r="2063">
      <c r="A2063" s="170">
        <v>43580.0</v>
      </c>
      <c r="B2063" s="168" t="s">
        <v>386</v>
      </c>
      <c r="C2063" s="168" t="s">
        <v>136</v>
      </c>
      <c r="D2063" s="169" t="s">
        <v>351</v>
      </c>
    </row>
    <row r="2064">
      <c r="A2064" s="170">
        <v>43581.0</v>
      </c>
      <c r="B2064" s="168" t="s">
        <v>386</v>
      </c>
      <c r="C2064" s="168" t="s">
        <v>136</v>
      </c>
      <c r="D2064" s="169" t="s">
        <v>351</v>
      </c>
    </row>
    <row r="2065">
      <c r="A2065" s="170">
        <v>43582.0</v>
      </c>
      <c r="B2065" s="168" t="s">
        <v>386</v>
      </c>
      <c r="C2065" s="168" t="s">
        <v>136</v>
      </c>
      <c r="D2065" s="169" t="s">
        <v>351</v>
      </c>
    </row>
    <row r="2066">
      <c r="A2066" s="170">
        <v>43583.0</v>
      </c>
      <c r="B2066" s="168" t="s">
        <v>386</v>
      </c>
      <c r="C2066" s="168" t="s">
        <v>136</v>
      </c>
      <c r="D2066" s="169" t="s">
        <v>351</v>
      </c>
    </row>
    <row r="2067">
      <c r="A2067" s="170">
        <v>43584.0</v>
      </c>
      <c r="B2067" s="168" t="s">
        <v>387</v>
      </c>
      <c r="C2067" s="168" t="s">
        <v>136</v>
      </c>
      <c r="D2067" s="169" t="s">
        <v>351</v>
      </c>
    </row>
    <row r="2068">
      <c r="A2068" s="170">
        <v>43585.0</v>
      </c>
      <c r="B2068" s="168" t="s">
        <v>387</v>
      </c>
      <c r="C2068" s="168" t="s">
        <v>136</v>
      </c>
      <c r="D2068" s="169" t="s">
        <v>351</v>
      </c>
    </row>
    <row r="2069">
      <c r="A2069" s="170">
        <v>43586.0</v>
      </c>
      <c r="B2069" s="168" t="s">
        <v>387</v>
      </c>
      <c r="C2069" s="168" t="s">
        <v>136</v>
      </c>
      <c r="D2069" s="169" t="s">
        <v>351</v>
      </c>
    </row>
    <row r="2070">
      <c r="A2070" s="170">
        <v>43587.0</v>
      </c>
      <c r="B2070" s="168" t="s">
        <v>387</v>
      </c>
      <c r="C2070" s="168" t="s">
        <v>136</v>
      </c>
      <c r="D2070" s="169" t="s">
        <v>351</v>
      </c>
    </row>
    <row r="2071">
      <c r="A2071" s="170">
        <v>43588.0</v>
      </c>
      <c r="B2071" s="168" t="s">
        <v>387</v>
      </c>
      <c r="C2071" s="168" t="s">
        <v>136</v>
      </c>
      <c r="D2071" s="169" t="s">
        <v>351</v>
      </c>
    </row>
    <row r="2072">
      <c r="A2072" s="170">
        <v>43589.0</v>
      </c>
      <c r="B2072" s="168" t="s">
        <v>387</v>
      </c>
      <c r="C2072" s="168" t="s">
        <v>136</v>
      </c>
      <c r="D2072" s="169" t="s">
        <v>351</v>
      </c>
    </row>
    <row r="2073">
      <c r="A2073" s="170">
        <v>43590.0</v>
      </c>
      <c r="B2073" s="168" t="s">
        <v>387</v>
      </c>
      <c r="C2073" s="168" t="s">
        <v>136</v>
      </c>
      <c r="D2073" s="169" t="s">
        <v>351</v>
      </c>
    </row>
    <row r="2074">
      <c r="A2074" s="170">
        <v>43591.0</v>
      </c>
      <c r="B2074" s="168" t="s">
        <v>388</v>
      </c>
      <c r="C2074" s="168" t="s">
        <v>136</v>
      </c>
      <c r="D2074" s="169" t="s">
        <v>351</v>
      </c>
    </row>
    <row r="2075">
      <c r="A2075" s="170">
        <v>43592.0</v>
      </c>
      <c r="B2075" s="168" t="s">
        <v>388</v>
      </c>
      <c r="C2075" s="168" t="s">
        <v>136</v>
      </c>
      <c r="D2075" s="169" t="s">
        <v>351</v>
      </c>
    </row>
    <row r="2076">
      <c r="A2076" s="170">
        <v>43593.0</v>
      </c>
      <c r="B2076" s="168" t="s">
        <v>388</v>
      </c>
      <c r="C2076" s="168" t="s">
        <v>136</v>
      </c>
      <c r="D2076" s="169" t="s">
        <v>351</v>
      </c>
    </row>
    <row r="2077">
      <c r="A2077" s="170">
        <v>43594.0</v>
      </c>
      <c r="B2077" s="168" t="s">
        <v>388</v>
      </c>
      <c r="C2077" s="168" t="s">
        <v>136</v>
      </c>
      <c r="D2077" s="169" t="s">
        <v>351</v>
      </c>
    </row>
    <row r="2078">
      <c r="A2078" s="170">
        <v>43595.0</v>
      </c>
      <c r="B2078" s="168" t="s">
        <v>388</v>
      </c>
      <c r="C2078" s="168" t="s">
        <v>136</v>
      </c>
      <c r="D2078" s="169" t="s">
        <v>351</v>
      </c>
    </row>
    <row r="2079">
      <c r="A2079" s="170">
        <v>43596.0</v>
      </c>
      <c r="B2079" s="168" t="s">
        <v>388</v>
      </c>
      <c r="C2079" s="168" t="s">
        <v>136</v>
      </c>
      <c r="D2079" s="169" t="s">
        <v>351</v>
      </c>
    </row>
    <row r="2080">
      <c r="A2080" s="170">
        <v>43597.0</v>
      </c>
      <c r="B2080" s="168" t="s">
        <v>388</v>
      </c>
      <c r="C2080" s="168" t="s">
        <v>136</v>
      </c>
      <c r="D2080" s="169" t="s">
        <v>351</v>
      </c>
    </row>
    <row r="2081">
      <c r="A2081" s="170">
        <v>43598.0</v>
      </c>
      <c r="B2081" s="168" t="s">
        <v>389</v>
      </c>
      <c r="C2081" s="168" t="s">
        <v>136</v>
      </c>
      <c r="D2081" s="169" t="s">
        <v>352</v>
      </c>
    </row>
    <row r="2082">
      <c r="A2082" s="170">
        <v>43599.0</v>
      </c>
      <c r="B2082" s="168" t="s">
        <v>389</v>
      </c>
      <c r="C2082" s="168" t="s">
        <v>136</v>
      </c>
      <c r="D2082" s="169" t="s">
        <v>352</v>
      </c>
    </row>
    <row r="2083">
      <c r="A2083" s="170">
        <v>43600.0</v>
      </c>
      <c r="B2083" s="168" t="s">
        <v>389</v>
      </c>
      <c r="C2083" s="168" t="s">
        <v>136</v>
      </c>
      <c r="D2083" s="169" t="s">
        <v>352</v>
      </c>
    </row>
    <row r="2084">
      <c r="A2084" s="170">
        <v>43601.0</v>
      </c>
      <c r="B2084" s="168" t="s">
        <v>389</v>
      </c>
      <c r="C2084" s="168" t="s">
        <v>136</v>
      </c>
      <c r="D2084" s="169" t="s">
        <v>352</v>
      </c>
    </row>
    <row r="2085">
      <c r="A2085" s="170">
        <v>43602.0</v>
      </c>
      <c r="B2085" s="168" t="s">
        <v>389</v>
      </c>
      <c r="C2085" s="168" t="s">
        <v>136</v>
      </c>
      <c r="D2085" s="169" t="s">
        <v>352</v>
      </c>
    </row>
    <row r="2086">
      <c r="A2086" s="170">
        <v>43603.0</v>
      </c>
      <c r="B2086" s="168" t="s">
        <v>389</v>
      </c>
      <c r="C2086" s="168" t="s">
        <v>136</v>
      </c>
      <c r="D2086" s="169" t="s">
        <v>352</v>
      </c>
    </row>
    <row r="2087">
      <c r="A2087" s="170">
        <v>43604.0</v>
      </c>
      <c r="B2087" s="168" t="s">
        <v>389</v>
      </c>
      <c r="C2087" s="168" t="s">
        <v>136</v>
      </c>
      <c r="D2087" s="169" t="s">
        <v>352</v>
      </c>
    </row>
    <row r="2088">
      <c r="A2088" s="170">
        <v>43605.0</v>
      </c>
      <c r="B2088" s="168" t="s">
        <v>390</v>
      </c>
      <c r="C2088" s="168" t="s">
        <v>136</v>
      </c>
      <c r="D2088" s="169" t="s">
        <v>352</v>
      </c>
    </row>
    <row r="2089">
      <c r="A2089" s="170">
        <v>43606.0</v>
      </c>
      <c r="B2089" s="168" t="s">
        <v>390</v>
      </c>
      <c r="C2089" s="168" t="s">
        <v>136</v>
      </c>
      <c r="D2089" s="169" t="s">
        <v>352</v>
      </c>
    </row>
    <row r="2090">
      <c r="A2090" s="170">
        <v>43607.0</v>
      </c>
      <c r="B2090" s="168" t="s">
        <v>390</v>
      </c>
      <c r="C2090" s="168" t="s">
        <v>136</v>
      </c>
      <c r="D2090" s="169" t="s">
        <v>352</v>
      </c>
    </row>
    <row r="2091">
      <c r="A2091" s="170">
        <v>43608.0</v>
      </c>
      <c r="B2091" s="168" t="s">
        <v>390</v>
      </c>
      <c r="C2091" s="168" t="s">
        <v>136</v>
      </c>
      <c r="D2091" s="169" t="s">
        <v>352</v>
      </c>
    </row>
    <row r="2092">
      <c r="A2092" s="170">
        <v>43609.0</v>
      </c>
      <c r="B2092" s="168" t="s">
        <v>390</v>
      </c>
      <c r="C2092" s="168" t="s">
        <v>136</v>
      </c>
      <c r="D2092" s="169" t="s">
        <v>352</v>
      </c>
    </row>
    <row r="2093">
      <c r="A2093" s="170">
        <v>43610.0</v>
      </c>
      <c r="B2093" s="168" t="s">
        <v>390</v>
      </c>
      <c r="C2093" s="168" t="s">
        <v>136</v>
      </c>
      <c r="D2093" s="169" t="s">
        <v>352</v>
      </c>
    </row>
    <row r="2094">
      <c r="A2094" s="170">
        <v>43611.0</v>
      </c>
      <c r="B2094" s="168" t="s">
        <v>390</v>
      </c>
      <c r="C2094" s="168" t="s">
        <v>136</v>
      </c>
      <c r="D2094" s="169" t="s">
        <v>352</v>
      </c>
    </row>
    <row r="2095">
      <c r="A2095" s="170">
        <v>43612.0</v>
      </c>
      <c r="B2095" s="168" t="s">
        <v>391</v>
      </c>
      <c r="C2095" s="168" t="s">
        <v>136</v>
      </c>
      <c r="D2095" s="169" t="s">
        <v>352</v>
      </c>
    </row>
    <row r="2096">
      <c r="A2096" s="170">
        <v>43613.0</v>
      </c>
      <c r="B2096" s="168" t="s">
        <v>391</v>
      </c>
      <c r="C2096" s="168" t="s">
        <v>136</v>
      </c>
      <c r="D2096" s="169" t="s">
        <v>352</v>
      </c>
    </row>
    <row r="2097">
      <c r="A2097" s="170">
        <v>43614.0</v>
      </c>
      <c r="B2097" s="168" t="s">
        <v>391</v>
      </c>
      <c r="C2097" s="168" t="s">
        <v>136</v>
      </c>
      <c r="D2097" s="169" t="s">
        <v>352</v>
      </c>
    </row>
    <row r="2098">
      <c r="A2098" s="170">
        <v>43615.0</v>
      </c>
      <c r="B2098" s="168" t="s">
        <v>391</v>
      </c>
      <c r="C2098" s="168" t="s">
        <v>136</v>
      </c>
      <c r="D2098" s="169" t="s">
        <v>352</v>
      </c>
    </row>
    <row r="2099">
      <c r="A2099" s="170">
        <v>43616.0</v>
      </c>
      <c r="B2099" s="168" t="s">
        <v>391</v>
      </c>
      <c r="C2099" s="168" t="s">
        <v>136</v>
      </c>
      <c r="D2099" s="169" t="s">
        <v>352</v>
      </c>
    </row>
    <row r="2100">
      <c r="A2100" s="170">
        <v>43617.0</v>
      </c>
      <c r="B2100" s="168" t="s">
        <v>391</v>
      </c>
      <c r="C2100" s="168" t="s">
        <v>136</v>
      </c>
      <c r="D2100" s="169" t="s">
        <v>352</v>
      </c>
    </row>
    <row r="2101">
      <c r="A2101" s="170">
        <v>43618.0</v>
      </c>
      <c r="B2101" s="168" t="s">
        <v>391</v>
      </c>
      <c r="C2101" s="168" t="s">
        <v>136</v>
      </c>
      <c r="D2101" s="169" t="s">
        <v>352</v>
      </c>
    </row>
    <row r="2102">
      <c r="A2102" s="170">
        <v>43619.0</v>
      </c>
      <c r="B2102" s="168" t="s">
        <v>392</v>
      </c>
      <c r="C2102" s="168" t="s">
        <v>136</v>
      </c>
      <c r="D2102" s="169" t="s">
        <v>352</v>
      </c>
    </row>
    <row r="2103">
      <c r="A2103" s="170">
        <v>43620.0</v>
      </c>
      <c r="B2103" s="168" t="s">
        <v>392</v>
      </c>
      <c r="C2103" s="168" t="s">
        <v>136</v>
      </c>
      <c r="D2103" s="169" t="s">
        <v>352</v>
      </c>
    </row>
    <row r="2104">
      <c r="A2104" s="170">
        <v>43621.0</v>
      </c>
      <c r="B2104" s="168" t="s">
        <v>392</v>
      </c>
      <c r="C2104" s="168" t="s">
        <v>136</v>
      </c>
      <c r="D2104" s="169" t="s">
        <v>352</v>
      </c>
    </row>
    <row r="2105">
      <c r="A2105" s="170">
        <v>43622.0</v>
      </c>
      <c r="B2105" s="168" t="s">
        <v>392</v>
      </c>
      <c r="C2105" s="168" t="s">
        <v>136</v>
      </c>
      <c r="D2105" s="169" t="s">
        <v>352</v>
      </c>
    </row>
    <row r="2106">
      <c r="A2106" s="170">
        <v>43623.0</v>
      </c>
      <c r="B2106" s="168" t="s">
        <v>392</v>
      </c>
      <c r="C2106" s="168" t="s">
        <v>136</v>
      </c>
      <c r="D2106" s="169" t="s">
        <v>352</v>
      </c>
    </row>
    <row r="2107">
      <c r="A2107" s="170">
        <v>43624.0</v>
      </c>
      <c r="B2107" s="168" t="s">
        <v>392</v>
      </c>
      <c r="C2107" s="168" t="s">
        <v>136</v>
      </c>
      <c r="D2107" s="169" t="s">
        <v>352</v>
      </c>
    </row>
    <row r="2108">
      <c r="A2108" s="170">
        <v>43625.0</v>
      </c>
      <c r="B2108" s="168" t="s">
        <v>392</v>
      </c>
      <c r="C2108" s="168" t="s">
        <v>136</v>
      </c>
      <c r="D2108" s="169" t="s">
        <v>352</v>
      </c>
    </row>
    <row r="2109">
      <c r="A2109" s="170">
        <v>43626.0</v>
      </c>
      <c r="B2109" s="168" t="s">
        <v>393</v>
      </c>
      <c r="C2109" s="168" t="s">
        <v>136</v>
      </c>
      <c r="D2109" s="169" t="s">
        <v>353</v>
      </c>
    </row>
    <row r="2110">
      <c r="A2110" s="170">
        <v>43627.0</v>
      </c>
      <c r="B2110" s="168" t="s">
        <v>393</v>
      </c>
      <c r="C2110" s="168" t="s">
        <v>136</v>
      </c>
      <c r="D2110" s="169" t="s">
        <v>353</v>
      </c>
    </row>
    <row r="2111">
      <c r="A2111" s="170">
        <v>43628.0</v>
      </c>
      <c r="B2111" s="168" t="s">
        <v>393</v>
      </c>
      <c r="C2111" s="168" t="s">
        <v>136</v>
      </c>
      <c r="D2111" s="169" t="s">
        <v>353</v>
      </c>
    </row>
    <row r="2112">
      <c r="A2112" s="170">
        <v>43629.0</v>
      </c>
      <c r="B2112" s="168" t="s">
        <v>393</v>
      </c>
      <c r="C2112" s="168" t="s">
        <v>136</v>
      </c>
      <c r="D2112" s="169" t="s">
        <v>353</v>
      </c>
    </row>
    <row r="2113">
      <c r="A2113" s="170">
        <v>43630.0</v>
      </c>
      <c r="B2113" s="168" t="s">
        <v>393</v>
      </c>
      <c r="C2113" s="168" t="s">
        <v>136</v>
      </c>
      <c r="D2113" s="169" t="s">
        <v>353</v>
      </c>
    </row>
    <row r="2114">
      <c r="A2114" s="170">
        <v>43631.0</v>
      </c>
      <c r="B2114" s="168" t="s">
        <v>393</v>
      </c>
      <c r="C2114" s="168" t="s">
        <v>136</v>
      </c>
      <c r="D2114" s="169" t="s">
        <v>353</v>
      </c>
    </row>
    <row r="2115">
      <c r="A2115" s="170">
        <v>43632.0</v>
      </c>
      <c r="B2115" s="168" t="s">
        <v>393</v>
      </c>
      <c r="C2115" s="168" t="s">
        <v>136</v>
      </c>
      <c r="D2115" s="169" t="s">
        <v>353</v>
      </c>
    </row>
    <row r="2116">
      <c r="A2116" s="170">
        <v>43633.0</v>
      </c>
      <c r="B2116" s="168" t="s">
        <v>394</v>
      </c>
      <c r="C2116" s="168" t="s">
        <v>136</v>
      </c>
      <c r="D2116" s="169" t="s">
        <v>353</v>
      </c>
    </row>
    <row r="2117">
      <c r="A2117" s="170">
        <v>43634.0</v>
      </c>
      <c r="B2117" s="168" t="s">
        <v>394</v>
      </c>
      <c r="C2117" s="168" t="s">
        <v>136</v>
      </c>
      <c r="D2117" s="169" t="s">
        <v>353</v>
      </c>
    </row>
    <row r="2118">
      <c r="A2118" s="170">
        <v>43635.0</v>
      </c>
      <c r="B2118" s="168" t="s">
        <v>394</v>
      </c>
      <c r="C2118" s="168" t="s">
        <v>136</v>
      </c>
      <c r="D2118" s="169" t="s">
        <v>353</v>
      </c>
    </row>
    <row r="2119">
      <c r="A2119" s="170">
        <v>43636.0</v>
      </c>
      <c r="B2119" s="168" t="s">
        <v>394</v>
      </c>
      <c r="C2119" s="168" t="s">
        <v>136</v>
      </c>
      <c r="D2119" s="169" t="s">
        <v>353</v>
      </c>
    </row>
    <row r="2120">
      <c r="A2120" s="170">
        <v>43637.0</v>
      </c>
      <c r="B2120" s="168" t="s">
        <v>394</v>
      </c>
      <c r="C2120" s="168" t="s">
        <v>136</v>
      </c>
      <c r="D2120" s="169" t="s">
        <v>353</v>
      </c>
    </row>
    <row r="2121">
      <c r="A2121" s="170">
        <v>43638.0</v>
      </c>
      <c r="B2121" s="168" t="s">
        <v>394</v>
      </c>
      <c r="C2121" s="168" t="s">
        <v>136</v>
      </c>
      <c r="D2121" s="169" t="s">
        <v>353</v>
      </c>
    </row>
    <row r="2122">
      <c r="A2122" s="170">
        <v>43639.0</v>
      </c>
      <c r="B2122" s="168" t="s">
        <v>394</v>
      </c>
      <c r="C2122" s="168" t="s">
        <v>136</v>
      </c>
      <c r="D2122" s="169" t="s">
        <v>353</v>
      </c>
    </row>
    <row r="2123">
      <c r="A2123" s="170">
        <v>43640.0</v>
      </c>
      <c r="B2123" s="168" t="s">
        <v>395</v>
      </c>
      <c r="C2123" s="168" t="s">
        <v>136</v>
      </c>
      <c r="D2123" s="169" t="s">
        <v>353</v>
      </c>
    </row>
    <row r="2124">
      <c r="A2124" s="170">
        <v>43641.0</v>
      </c>
      <c r="B2124" s="168" t="s">
        <v>395</v>
      </c>
      <c r="C2124" s="168" t="s">
        <v>136</v>
      </c>
      <c r="D2124" s="169" t="s">
        <v>353</v>
      </c>
    </row>
    <row r="2125">
      <c r="A2125" s="170">
        <v>43642.0</v>
      </c>
      <c r="B2125" s="168" t="s">
        <v>395</v>
      </c>
      <c r="C2125" s="168" t="s">
        <v>136</v>
      </c>
      <c r="D2125" s="169" t="s">
        <v>353</v>
      </c>
    </row>
    <row r="2126">
      <c r="A2126" s="170">
        <v>43643.0</v>
      </c>
      <c r="B2126" s="168" t="s">
        <v>395</v>
      </c>
      <c r="C2126" s="168" t="s">
        <v>136</v>
      </c>
      <c r="D2126" s="169" t="s">
        <v>353</v>
      </c>
    </row>
    <row r="2127">
      <c r="A2127" s="170">
        <v>43644.0</v>
      </c>
      <c r="B2127" s="168" t="s">
        <v>395</v>
      </c>
      <c r="C2127" s="168" t="s">
        <v>136</v>
      </c>
      <c r="D2127" s="169" t="s">
        <v>353</v>
      </c>
    </row>
    <row r="2128">
      <c r="A2128" s="170">
        <v>43645.0</v>
      </c>
      <c r="B2128" s="168" t="s">
        <v>395</v>
      </c>
      <c r="C2128" s="168" t="s">
        <v>136</v>
      </c>
      <c r="D2128" s="169" t="s">
        <v>353</v>
      </c>
    </row>
    <row r="2129">
      <c r="A2129" s="170">
        <v>43646.0</v>
      </c>
      <c r="B2129" s="168" t="s">
        <v>395</v>
      </c>
      <c r="C2129" s="168" t="s">
        <v>136</v>
      </c>
      <c r="D2129" s="169" t="s">
        <v>353</v>
      </c>
    </row>
    <row r="2130">
      <c r="A2130" s="170">
        <v>43647.0</v>
      </c>
      <c r="B2130" s="168" t="s">
        <v>396</v>
      </c>
      <c r="C2130" s="168" t="s">
        <v>136</v>
      </c>
      <c r="D2130" s="169" t="s">
        <v>353</v>
      </c>
    </row>
    <row r="2131">
      <c r="A2131" s="170">
        <v>43648.0</v>
      </c>
      <c r="B2131" s="168" t="s">
        <v>396</v>
      </c>
      <c r="C2131" s="168" t="s">
        <v>136</v>
      </c>
      <c r="D2131" s="169" t="s">
        <v>353</v>
      </c>
    </row>
    <row r="2132">
      <c r="A2132" s="170">
        <v>43649.0</v>
      </c>
      <c r="B2132" s="168" t="s">
        <v>396</v>
      </c>
      <c r="C2132" s="168" t="s">
        <v>136</v>
      </c>
      <c r="D2132" s="169" t="s">
        <v>353</v>
      </c>
    </row>
    <row r="2133">
      <c r="A2133" s="170">
        <v>43650.0</v>
      </c>
      <c r="B2133" s="168" t="s">
        <v>396</v>
      </c>
      <c r="C2133" s="168" t="s">
        <v>136</v>
      </c>
      <c r="D2133" s="169" t="s">
        <v>353</v>
      </c>
    </row>
    <row r="2134">
      <c r="A2134" s="170">
        <v>43651.0</v>
      </c>
      <c r="B2134" s="168" t="s">
        <v>396</v>
      </c>
      <c r="C2134" s="168" t="s">
        <v>136</v>
      </c>
      <c r="D2134" s="169" t="s">
        <v>353</v>
      </c>
    </row>
    <row r="2135">
      <c r="A2135" s="170">
        <v>43652.0</v>
      </c>
      <c r="B2135" s="168" t="s">
        <v>396</v>
      </c>
      <c r="C2135" s="168" t="s">
        <v>136</v>
      </c>
      <c r="D2135" s="169" t="s">
        <v>353</v>
      </c>
    </row>
    <row r="2136">
      <c r="A2136" s="170">
        <v>43653.0</v>
      </c>
      <c r="B2136" s="168" t="s">
        <v>396</v>
      </c>
      <c r="C2136" s="168" t="s">
        <v>136</v>
      </c>
      <c r="D2136" s="169" t="s">
        <v>353</v>
      </c>
    </row>
    <row r="2137">
      <c r="A2137" s="170">
        <v>43654.0</v>
      </c>
      <c r="B2137" s="168" t="s">
        <v>397</v>
      </c>
      <c r="C2137" s="168" t="s">
        <v>136</v>
      </c>
      <c r="D2137" s="169" t="s">
        <v>354</v>
      </c>
    </row>
    <row r="2138">
      <c r="A2138" s="170">
        <v>43655.0</v>
      </c>
      <c r="B2138" s="168" t="s">
        <v>397</v>
      </c>
      <c r="C2138" s="168" t="s">
        <v>136</v>
      </c>
      <c r="D2138" s="169" t="s">
        <v>354</v>
      </c>
    </row>
    <row r="2139">
      <c r="A2139" s="170">
        <v>43656.0</v>
      </c>
      <c r="B2139" s="168" t="s">
        <v>397</v>
      </c>
      <c r="C2139" s="168" t="s">
        <v>136</v>
      </c>
      <c r="D2139" s="169" t="s">
        <v>354</v>
      </c>
    </row>
    <row r="2140">
      <c r="A2140" s="170">
        <v>43657.0</v>
      </c>
      <c r="B2140" s="168" t="s">
        <v>397</v>
      </c>
      <c r="C2140" s="168" t="s">
        <v>136</v>
      </c>
      <c r="D2140" s="169" t="s">
        <v>354</v>
      </c>
    </row>
    <row r="2141">
      <c r="A2141" s="170">
        <v>43658.0</v>
      </c>
      <c r="B2141" s="168" t="s">
        <v>397</v>
      </c>
      <c r="C2141" s="168" t="s">
        <v>136</v>
      </c>
      <c r="D2141" s="169" t="s">
        <v>354</v>
      </c>
    </row>
    <row r="2142">
      <c r="A2142" s="170">
        <v>43659.0</v>
      </c>
      <c r="B2142" s="168" t="s">
        <v>397</v>
      </c>
      <c r="C2142" s="168" t="s">
        <v>136</v>
      </c>
      <c r="D2142" s="169" t="s">
        <v>354</v>
      </c>
    </row>
    <row r="2143">
      <c r="A2143" s="170">
        <v>43660.0</v>
      </c>
      <c r="B2143" s="168" t="s">
        <v>397</v>
      </c>
      <c r="C2143" s="168" t="s">
        <v>136</v>
      </c>
      <c r="D2143" s="169" t="s">
        <v>354</v>
      </c>
    </row>
    <row r="2144">
      <c r="A2144" s="170">
        <v>43661.0</v>
      </c>
      <c r="B2144" s="168" t="s">
        <v>398</v>
      </c>
      <c r="C2144" s="168" t="s">
        <v>136</v>
      </c>
      <c r="D2144" s="169" t="s">
        <v>354</v>
      </c>
    </row>
    <row r="2145">
      <c r="A2145" s="170">
        <v>43662.0</v>
      </c>
      <c r="B2145" s="168" t="s">
        <v>398</v>
      </c>
      <c r="C2145" s="168" t="s">
        <v>136</v>
      </c>
      <c r="D2145" s="169" t="s">
        <v>354</v>
      </c>
    </row>
    <row r="2146">
      <c r="A2146" s="170">
        <v>43663.0</v>
      </c>
      <c r="B2146" s="168" t="s">
        <v>398</v>
      </c>
      <c r="C2146" s="168" t="s">
        <v>136</v>
      </c>
      <c r="D2146" s="169" t="s">
        <v>354</v>
      </c>
    </row>
    <row r="2147">
      <c r="A2147" s="170">
        <v>43664.0</v>
      </c>
      <c r="B2147" s="168" t="s">
        <v>398</v>
      </c>
      <c r="C2147" s="168" t="s">
        <v>136</v>
      </c>
      <c r="D2147" s="169" t="s">
        <v>354</v>
      </c>
    </row>
    <row r="2148">
      <c r="A2148" s="170">
        <v>43665.0</v>
      </c>
      <c r="B2148" s="168" t="s">
        <v>398</v>
      </c>
      <c r="C2148" s="168" t="s">
        <v>136</v>
      </c>
      <c r="D2148" s="169" t="s">
        <v>354</v>
      </c>
    </row>
    <row r="2149">
      <c r="A2149" s="170">
        <v>43666.0</v>
      </c>
      <c r="B2149" s="168" t="s">
        <v>398</v>
      </c>
      <c r="C2149" s="168" t="s">
        <v>136</v>
      </c>
      <c r="D2149" s="169" t="s">
        <v>354</v>
      </c>
    </row>
    <row r="2150">
      <c r="A2150" s="170">
        <v>43667.0</v>
      </c>
      <c r="B2150" s="168" t="s">
        <v>398</v>
      </c>
      <c r="C2150" s="168" t="s">
        <v>136</v>
      </c>
      <c r="D2150" s="169" t="s">
        <v>354</v>
      </c>
    </row>
    <row r="2151">
      <c r="A2151" s="170">
        <v>43668.0</v>
      </c>
      <c r="B2151" s="168" t="s">
        <v>399</v>
      </c>
      <c r="C2151" s="168" t="s">
        <v>136</v>
      </c>
      <c r="D2151" s="169" t="s">
        <v>354</v>
      </c>
    </row>
    <row r="2152">
      <c r="A2152" s="170">
        <v>43669.0</v>
      </c>
      <c r="B2152" s="168" t="s">
        <v>399</v>
      </c>
      <c r="C2152" s="168" t="s">
        <v>136</v>
      </c>
      <c r="D2152" s="169" t="s">
        <v>354</v>
      </c>
    </row>
    <row r="2153">
      <c r="A2153" s="170">
        <v>43670.0</v>
      </c>
      <c r="B2153" s="168" t="s">
        <v>399</v>
      </c>
      <c r="C2153" s="168" t="s">
        <v>136</v>
      </c>
      <c r="D2153" s="169" t="s">
        <v>354</v>
      </c>
    </row>
    <row r="2154">
      <c r="A2154" s="170">
        <v>43671.0</v>
      </c>
      <c r="B2154" s="168" t="s">
        <v>399</v>
      </c>
      <c r="C2154" s="168" t="s">
        <v>136</v>
      </c>
      <c r="D2154" s="169" t="s">
        <v>354</v>
      </c>
    </row>
    <row r="2155">
      <c r="A2155" s="170">
        <v>43672.0</v>
      </c>
      <c r="B2155" s="168" t="s">
        <v>399</v>
      </c>
      <c r="C2155" s="168" t="s">
        <v>136</v>
      </c>
      <c r="D2155" s="169" t="s">
        <v>354</v>
      </c>
    </row>
    <row r="2156">
      <c r="A2156" s="170">
        <v>43673.0</v>
      </c>
      <c r="B2156" s="168" t="s">
        <v>399</v>
      </c>
      <c r="C2156" s="168" t="s">
        <v>136</v>
      </c>
      <c r="D2156" s="169" t="s">
        <v>354</v>
      </c>
    </row>
    <row r="2157">
      <c r="A2157" s="170">
        <v>43674.0</v>
      </c>
      <c r="B2157" s="168" t="s">
        <v>399</v>
      </c>
      <c r="C2157" s="168" t="s">
        <v>136</v>
      </c>
      <c r="D2157" s="169" t="s">
        <v>354</v>
      </c>
    </row>
    <row r="2158">
      <c r="A2158" s="170">
        <v>43675.0</v>
      </c>
      <c r="B2158" s="168" t="s">
        <v>400</v>
      </c>
      <c r="C2158" s="168" t="s">
        <v>136</v>
      </c>
      <c r="D2158" s="169" t="s">
        <v>354</v>
      </c>
    </row>
    <row r="2159">
      <c r="A2159" s="170">
        <v>43676.0</v>
      </c>
      <c r="B2159" s="168" t="s">
        <v>400</v>
      </c>
      <c r="C2159" s="168" t="s">
        <v>136</v>
      </c>
      <c r="D2159" s="169" t="s">
        <v>354</v>
      </c>
    </row>
    <row r="2160">
      <c r="A2160" s="170">
        <v>43677.0</v>
      </c>
      <c r="B2160" s="168" t="s">
        <v>400</v>
      </c>
      <c r="C2160" s="168" t="s">
        <v>136</v>
      </c>
      <c r="D2160" s="169" t="s">
        <v>354</v>
      </c>
    </row>
    <row r="2161">
      <c r="A2161" s="170">
        <v>43678.0</v>
      </c>
      <c r="B2161" s="168" t="s">
        <v>400</v>
      </c>
      <c r="C2161" s="168" t="s">
        <v>136</v>
      </c>
      <c r="D2161" s="169" t="s">
        <v>354</v>
      </c>
    </row>
    <row r="2162">
      <c r="A2162" s="170">
        <v>43679.0</v>
      </c>
      <c r="B2162" s="168" t="s">
        <v>400</v>
      </c>
      <c r="C2162" s="168" t="s">
        <v>136</v>
      </c>
      <c r="D2162" s="169" t="s">
        <v>354</v>
      </c>
    </row>
    <row r="2163">
      <c r="A2163" s="170">
        <v>43680.0</v>
      </c>
      <c r="B2163" s="168" t="s">
        <v>400</v>
      </c>
      <c r="C2163" s="168" t="s">
        <v>136</v>
      </c>
      <c r="D2163" s="169" t="s">
        <v>354</v>
      </c>
    </row>
    <row r="2164">
      <c r="A2164" s="170">
        <v>43681.0</v>
      </c>
      <c r="B2164" s="168" t="s">
        <v>400</v>
      </c>
      <c r="C2164" s="168" t="s">
        <v>136</v>
      </c>
      <c r="D2164" s="169" t="s">
        <v>354</v>
      </c>
    </row>
    <row r="2165">
      <c r="A2165" s="170">
        <v>43682.0</v>
      </c>
      <c r="B2165" s="168" t="s">
        <v>401</v>
      </c>
      <c r="C2165" s="168" t="s">
        <v>136</v>
      </c>
      <c r="D2165" s="169" t="s">
        <v>134</v>
      </c>
    </row>
    <row r="2166">
      <c r="A2166" s="170">
        <v>43683.0</v>
      </c>
      <c r="B2166" s="168" t="s">
        <v>401</v>
      </c>
      <c r="C2166" s="168" t="s">
        <v>136</v>
      </c>
      <c r="D2166" s="169" t="s">
        <v>134</v>
      </c>
    </row>
    <row r="2167">
      <c r="A2167" s="170">
        <v>43684.0</v>
      </c>
      <c r="B2167" s="168" t="s">
        <v>401</v>
      </c>
      <c r="C2167" s="168" t="s">
        <v>136</v>
      </c>
      <c r="D2167" s="169" t="s">
        <v>134</v>
      </c>
    </row>
    <row r="2168">
      <c r="A2168" s="170">
        <v>43685.0</v>
      </c>
      <c r="B2168" s="168" t="s">
        <v>401</v>
      </c>
      <c r="C2168" s="168" t="s">
        <v>136</v>
      </c>
      <c r="D2168" s="169" t="s">
        <v>134</v>
      </c>
    </row>
    <row r="2169">
      <c r="A2169" s="170">
        <v>43686.0</v>
      </c>
      <c r="B2169" s="168" t="s">
        <v>401</v>
      </c>
      <c r="C2169" s="168" t="s">
        <v>136</v>
      </c>
      <c r="D2169" s="169" t="s">
        <v>134</v>
      </c>
    </row>
    <row r="2170">
      <c r="A2170" s="170">
        <v>43687.0</v>
      </c>
      <c r="B2170" s="168" t="s">
        <v>401</v>
      </c>
      <c r="C2170" s="168" t="s">
        <v>136</v>
      </c>
      <c r="D2170" s="169" t="s">
        <v>134</v>
      </c>
    </row>
    <row r="2171">
      <c r="A2171" s="170">
        <v>43688.0</v>
      </c>
      <c r="B2171" s="168" t="s">
        <v>401</v>
      </c>
      <c r="C2171" s="168" t="s">
        <v>136</v>
      </c>
      <c r="D2171" s="169" t="s">
        <v>134</v>
      </c>
    </row>
    <row r="2172">
      <c r="A2172" s="170">
        <v>43689.0</v>
      </c>
      <c r="B2172" s="168" t="s">
        <v>402</v>
      </c>
      <c r="C2172" s="168" t="s">
        <v>136</v>
      </c>
      <c r="D2172" s="169" t="s">
        <v>134</v>
      </c>
    </row>
    <row r="2173">
      <c r="A2173" s="170">
        <v>43690.0</v>
      </c>
      <c r="B2173" s="168" t="s">
        <v>402</v>
      </c>
      <c r="C2173" s="168" t="s">
        <v>136</v>
      </c>
      <c r="D2173" s="169" t="s">
        <v>134</v>
      </c>
    </row>
    <row r="2174">
      <c r="A2174" s="170">
        <v>43691.0</v>
      </c>
      <c r="B2174" s="168" t="s">
        <v>402</v>
      </c>
      <c r="C2174" s="168" t="s">
        <v>136</v>
      </c>
      <c r="D2174" s="169" t="s">
        <v>134</v>
      </c>
    </row>
    <row r="2175">
      <c r="A2175" s="170">
        <v>43692.0</v>
      </c>
      <c r="B2175" s="168" t="s">
        <v>402</v>
      </c>
      <c r="C2175" s="168" t="s">
        <v>136</v>
      </c>
      <c r="D2175" s="169" t="s">
        <v>134</v>
      </c>
    </row>
    <row r="2176">
      <c r="A2176" s="170">
        <v>43693.0</v>
      </c>
      <c r="B2176" s="168" t="s">
        <v>402</v>
      </c>
      <c r="C2176" s="168" t="s">
        <v>136</v>
      </c>
      <c r="D2176" s="169" t="s">
        <v>134</v>
      </c>
    </row>
    <row r="2177">
      <c r="A2177" s="170">
        <v>43694.0</v>
      </c>
      <c r="B2177" s="168" t="s">
        <v>402</v>
      </c>
      <c r="C2177" s="168" t="s">
        <v>136</v>
      </c>
      <c r="D2177" s="169" t="s">
        <v>134</v>
      </c>
    </row>
    <row r="2178">
      <c r="A2178" s="170">
        <v>43695.0</v>
      </c>
      <c r="B2178" s="168" t="s">
        <v>402</v>
      </c>
      <c r="C2178" s="168" t="s">
        <v>136</v>
      </c>
      <c r="D2178" s="169" t="s">
        <v>134</v>
      </c>
    </row>
    <row r="2179">
      <c r="A2179" s="170">
        <v>43696.0</v>
      </c>
      <c r="B2179" s="168" t="s">
        <v>403</v>
      </c>
      <c r="C2179" s="168" t="s">
        <v>136</v>
      </c>
      <c r="D2179" s="169" t="s">
        <v>134</v>
      </c>
    </row>
    <row r="2180">
      <c r="A2180" s="170">
        <v>43697.0</v>
      </c>
      <c r="B2180" s="168" t="s">
        <v>403</v>
      </c>
      <c r="C2180" s="168" t="s">
        <v>136</v>
      </c>
      <c r="D2180" s="169" t="s">
        <v>134</v>
      </c>
    </row>
    <row r="2181">
      <c r="A2181" s="170">
        <v>43698.0</v>
      </c>
      <c r="B2181" s="168" t="s">
        <v>403</v>
      </c>
      <c r="C2181" s="168" t="s">
        <v>136</v>
      </c>
      <c r="D2181" s="169" t="s">
        <v>134</v>
      </c>
    </row>
    <row r="2182">
      <c r="A2182" s="170">
        <v>43699.0</v>
      </c>
      <c r="B2182" s="168" t="s">
        <v>403</v>
      </c>
      <c r="C2182" s="168" t="s">
        <v>136</v>
      </c>
      <c r="D2182" s="169" t="s">
        <v>134</v>
      </c>
    </row>
    <row r="2183">
      <c r="A2183" s="170">
        <v>43700.0</v>
      </c>
      <c r="B2183" s="168" t="s">
        <v>403</v>
      </c>
      <c r="C2183" s="168" t="s">
        <v>136</v>
      </c>
      <c r="D2183" s="169" t="s">
        <v>134</v>
      </c>
    </row>
    <row r="2184">
      <c r="A2184" s="170">
        <v>43701.0</v>
      </c>
      <c r="B2184" s="168" t="s">
        <v>403</v>
      </c>
      <c r="C2184" s="168" t="s">
        <v>136</v>
      </c>
      <c r="D2184" s="169" t="s">
        <v>134</v>
      </c>
    </row>
    <row r="2185">
      <c r="A2185" s="170">
        <v>43702.0</v>
      </c>
      <c r="B2185" s="168" t="s">
        <v>403</v>
      </c>
      <c r="C2185" s="168" t="s">
        <v>136</v>
      </c>
      <c r="D2185" s="169" t="s">
        <v>134</v>
      </c>
    </row>
    <row r="2186">
      <c r="A2186" s="170">
        <v>43703.0</v>
      </c>
      <c r="B2186" s="168" t="s">
        <v>404</v>
      </c>
      <c r="C2186" s="168" t="s">
        <v>136</v>
      </c>
      <c r="D2186" s="169" t="s">
        <v>134</v>
      </c>
    </row>
    <row r="2187">
      <c r="A2187" s="170">
        <v>43704.0</v>
      </c>
      <c r="B2187" s="168" t="s">
        <v>404</v>
      </c>
      <c r="C2187" s="168" t="s">
        <v>136</v>
      </c>
      <c r="D2187" s="169" t="s">
        <v>134</v>
      </c>
    </row>
    <row r="2188">
      <c r="A2188" s="170">
        <v>43705.0</v>
      </c>
      <c r="B2188" s="168" t="s">
        <v>404</v>
      </c>
      <c r="C2188" s="168" t="s">
        <v>136</v>
      </c>
      <c r="D2188" s="169" t="s">
        <v>134</v>
      </c>
    </row>
    <row r="2189">
      <c r="A2189" s="170">
        <v>43706.0</v>
      </c>
      <c r="B2189" s="168" t="s">
        <v>404</v>
      </c>
      <c r="C2189" s="168" t="s">
        <v>136</v>
      </c>
      <c r="D2189" s="169" t="s">
        <v>134</v>
      </c>
    </row>
    <row r="2190">
      <c r="A2190" s="170">
        <v>43707.0</v>
      </c>
      <c r="B2190" s="168" t="s">
        <v>404</v>
      </c>
      <c r="C2190" s="168" t="s">
        <v>136</v>
      </c>
      <c r="D2190" s="169" t="s">
        <v>134</v>
      </c>
    </row>
    <row r="2191">
      <c r="A2191" s="170">
        <v>43708.0</v>
      </c>
      <c r="B2191" s="168" t="s">
        <v>404</v>
      </c>
      <c r="C2191" s="168" t="s">
        <v>136</v>
      </c>
      <c r="D2191" s="169" t="s">
        <v>134</v>
      </c>
    </row>
    <row r="2192">
      <c r="A2192" s="170">
        <v>43709.0</v>
      </c>
      <c r="B2192" s="168" t="s">
        <v>404</v>
      </c>
      <c r="C2192" s="168" t="s">
        <v>136</v>
      </c>
      <c r="D2192" s="169" t="s">
        <v>134</v>
      </c>
    </row>
    <row r="2193">
      <c r="A2193" s="170">
        <v>43710.0</v>
      </c>
      <c r="B2193" s="168" t="s">
        <v>341</v>
      </c>
      <c r="C2193" s="168" t="s">
        <v>119</v>
      </c>
      <c r="D2193" s="169" t="s">
        <v>340</v>
      </c>
    </row>
    <row r="2194">
      <c r="A2194" s="170">
        <v>43711.0</v>
      </c>
      <c r="B2194" s="168" t="s">
        <v>341</v>
      </c>
      <c r="C2194" s="168" t="s">
        <v>119</v>
      </c>
      <c r="D2194" s="169" t="s">
        <v>340</v>
      </c>
    </row>
    <row r="2195">
      <c r="A2195" s="170">
        <v>43712.0</v>
      </c>
      <c r="B2195" s="168" t="s">
        <v>341</v>
      </c>
      <c r="C2195" s="168" t="s">
        <v>119</v>
      </c>
      <c r="D2195" s="169" t="s">
        <v>340</v>
      </c>
    </row>
    <row r="2196">
      <c r="A2196" s="170">
        <v>43713.0</v>
      </c>
      <c r="B2196" s="168" t="s">
        <v>341</v>
      </c>
      <c r="C2196" s="168" t="s">
        <v>119</v>
      </c>
      <c r="D2196" s="169" t="s">
        <v>340</v>
      </c>
    </row>
    <row r="2197">
      <c r="A2197" s="170">
        <v>43714.0</v>
      </c>
      <c r="B2197" s="168" t="s">
        <v>341</v>
      </c>
      <c r="C2197" s="168" t="s">
        <v>119</v>
      </c>
      <c r="D2197" s="169" t="s">
        <v>340</v>
      </c>
    </row>
    <row r="2198">
      <c r="A2198" s="170">
        <v>43715.0</v>
      </c>
      <c r="B2198" s="168" t="s">
        <v>341</v>
      </c>
      <c r="C2198" s="168" t="s">
        <v>119</v>
      </c>
      <c r="D2198" s="169" t="s">
        <v>340</v>
      </c>
    </row>
    <row r="2199">
      <c r="A2199" s="170">
        <v>43716.0</v>
      </c>
      <c r="B2199" s="168" t="s">
        <v>341</v>
      </c>
      <c r="C2199" s="168" t="s">
        <v>119</v>
      </c>
      <c r="D2199" s="169" t="s">
        <v>340</v>
      </c>
    </row>
    <row r="2200">
      <c r="A2200" s="170">
        <v>43717.0</v>
      </c>
      <c r="B2200" s="168" t="s">
        <v>350</v>
      </c>
      <c r="C2200" s="168" t="s">
        <v>119</v>
      </c>
      <c r="D2200" s="169" t="s">
        <v>340</v>
      </c>
    </row>
    <row r="2201">
      <c r="A2201" s="170">
        <v>43718.0</v>
      </c>
      <c r="B2201" s="168" t="s">
        <v>350</v>
      </c>
      <c r="C2201" s="168" t="s">
        <v>119</v>
      </c>
      <c r="D2201" s="169" t="s">
        <v>340</v>
      </c>
    </row>
    <row r="2202">
      <c r="A2202" s="170">
        <v>43719.0</v>
      </c>
      <c r="B2202" s="168" t="s">
        <v>350</v>
      </c>
      <c r="C2202" s="168" t="s">
        <v>119</v>
      </c>
      <c r="D2202" s="169" t="s">
        <v>340</v>
      </c>
    </row>
    <row r="2203">
      <c r="A2203" s="170">
        <v>43720.0</v>
      </c>
      <c r="B2203" s="168" t="s">
        <v>350</v>
      </c>
      <c r="C2203" s="168" t="s">
        <v>119</v>
      </c>
      <c r="D2203" s="169" t="s">
        <v>340</v>
      </c>
    </row>
    <row r="2204">
      <c r="A2204" s="170">
        <v>43721.0</v>
      </c>
      <c r="B2204" s="168" t="s">
        <v>350</v>
      </c>
      <c r="C2204" s="168" t="s">
        <v>119</v>
      </c>
      <c r="D2204" s="169" t="s">
        <v>340</v>
      </c>
    </row>
    <row r="2205">
      <c r="A2205" s="170">
        <v>43722.0</v>
      </c>
      <c r="B2205" s="168" t="s">
        <v>350</v>
      </c>
      <c r="C2205" s="168" t="s">
        <v>119</v>
      </c>
      <c r="D2205" s="169" t="s">
        <v>340</v>
      </c>
    </row>
    <row r="2206">
      <c r="A2206" s="170">
        <v>43723.0</v>
      </c>
      <c r="B2206" s="168" t="s">
        <v>350</v>
      </c>
      <c r="C2206" s="168" t="s">
        <v>119</v>
      </c>
      <c r="D2206" s="169" t="s">
        <v>340</v>
      </c>
    </row>
    <row r="2207">
      <c r="A2207" s="170">
        <v>43724.0</v>
      </c>
      <c r="B2207" s="168" t="s">
        <v>355</v>
      </c>
      <c r="C2207" s="168" t="s">
        <v>119</v>
      </c>
      <c r="D2207" s="169" t="s">
        <v>340</v>
      </c>
    </row>
    <row r="2208">
      <c r="A2208" s="170">
        <v>43725.0</v>
      </c>
      <c r="B2208" s="168" t="s">
        <v>355</v>
      </c>
      <c r="C2208" s="168" t="s">
        <v>119</v>
      </c>
      <c r="D2208" s="169" t="s">
        <v>340</v>
      </c>
    </row>
    <row r="2209">
      <c r="A2209" s="170">
        <v>43726.0</v>
      </c>
      <c r="B2209" s="168" t="s">
        <v>355</v>
      </c>
      <c r="C2209" s="168" t="s">
        <v>119</v>
      </c>
      <c r="D2209" s="169" t="s">
        <v>340</v>
      </c>
    </row>
    <row r="2210">
      <c r="A2210" s="170">
        <v>43727.0</v>
      </c>
      <c r="B2210" s="168" t="s">
        <v>355</v>
      </c>
      <c r="C2210" s="168" t="s">
        <v>119</v>
      </c>
      <c r="D2210" s="169" t="s">
        <v>340</v>
      </c>
    </row>
    <row r="2211">
      <c r="A2211" s="170">
        <v>43728.0</v>
      </c>
      <c r="B2211" s="168" t="s">
        <v>355</v>
      </c>
      <c r="C2211" s="168" t="s">
        <v>119</v>
      </c>
      <c r="D2211" s="169" t="s">
        <v>340</v>
      </c>
    </row>
    <row r="2212">
      <c r="A2212" s="170">
        <v>43729.0</v>
      </c>
      <c r="B2212" s="168" t="s">
        <v>355</v>
      </c>
      <c r="C2212" s="168" t="s">
        <v>119</v>
      </c>
      <c r="D2212" s="169" t="s">
        <v>340</v>
      </c>
    </row>
    <row r="2213">
      <c r="A2213" s="170">
        <v>43730.0</v>
      </c>
      <c r="B2213" s="168" t="s">
        <v>355</v>
      </c>
      <c r="C2213" s="168" t="s">
        <v>119</v>
      </c>
      <c r="D2213" s="169" t="s">
        <v>340</v>
      </c>
    </row>
    <row r="2214">
      <c r="A2214" s="170">
        <v>43731.0</v>
      </c>
      <c r="B2214" s="168" t="s">
        <v>356</v>
      </c>
      <c r="C2214" s="168" t="s">
        <v>119</v>
      </c>
      <c r="D2214" s="169" t="s">
        <v>340</v>
      </c>
    </row>
    <row r="2215">
      <c r="A2215" s="170">
        <v>43732.0</v>
      </c>
      <c r="B2215" s="168" t="s">
        <v>356</v>
      </c>
      <c r="C2215" s="168" t="s">
        <v>119</v>
      </c>
      <c r="D2215" s="169" t="s">
        <v>340</v>
      </c>
    </row>
    <row r="2216">
      <c r="A2216" s="170">
        <v>43733.0</v>
      </c>
      <c r="B2216" s="168" t="s">
        <v>356</v>
      </c>
      <c r="C2216" s="168" t="s">
        <v>119</v>
      </c>
      <c r="D2216" s="169" t="s">
        <v>340</v>
      </c>
    </row>
    <row r="2217">
      <c r="A2217" s="170">
        <v>43734.0</v>
      </c>
      <c r="B2217" s="168" t="s">
        <v>356</v>
      </c>
      <c r="C2217" s="168" t="s">
        <v>119</v>
      </c>
      <c r="D2217" s="169" t="s">
        <v>340</v>
      </c>
    </row>
    <row r="2218">
      <c r="A2218" s="170">
        <v>43735.0</v>
      </c>
      <c r="B2218" s="168" t="s">
        <v>356</v>
      </c>
      <c r="C2218" s="168" t="s">
        <v>119</v>
      </c>
      <c r="D2218" s="169" t="s">
        <v>340</v>
      </c>
    </row>
    <row r="2219">
      <c r="A2219" s="170">
        <v>43736.0</v>
      </c>
      <c r="B2219" s="168" t="s">
        <v>356</v>
      </c>
      <c r="C2219" s="168" t="s">
        <v>119</v>
      </c>
      <c r="D2219" s="169" t="s">
        <v>340</v>
      </c>
    </row>
    <row r="2220">
      <c r="A2220" s="170">
        <v>43737.0</v>
      </c>
      <c r="B2220" s="168" t="s">
        <v>356</v>
      </c>
      <c r="C2220" s="168" t="s">
        <v>119</v>
      </c>
      <c r="D2220" s="169" t="s">
        <v>340</v>
      </c>
    </row>
    <row r="2221">
      <c r="A2221" s="170">
        <v>43738.0</v>
      </c>
      <c r="B2221" s="168" t="s">
        <v>357</v>
      </c>
      <c r="C2221" s="168" t="s">
        <v>119</v>
      </c>
      <c r="D2221" s="169" t="s">
        <v>343</v>
      </c>
    </row>
    <row r="2222">
      <c r="A2222" s="170">
        <v>43739.0</v>
      </c>
      <c r="B2222" s="168" t="s">
        <v>357</v>
      </c>
      <c r="C2222" s="168" t="s">
        <v>119</v>
      </c>
      <c r="D2222" s="169" t="s">
        <v>343</v>
      </c>
    </row>
    <row r="2223">
      <c r="A2223" s="170">
        <v>43740.0</v>
      </c>
      <c r="B2223" s="168" t="s">
        <v>357</v>
      </c>
      <c r="C2223" s="168" t="s">
        <v>119</v>
      </c>
      <c r="D2223" s="169" t="s">
        <v>343</v>
      </c>
    </row>
    <row r="2224">
      <c r="A2224" s="170">
        <v>43741.0</v>
      </c>
      <c r="B2224" s="168" t="s">
        <v>357</v>
      </c>
      <c r="C2224" s="168" t="s">
        <v>119</v>
      </c>
      <c r="D2224" s="169" t="s">
        <v>343</v>
      </c>
    </row>
    <row r="2225">
      <c r="A2225" s="170">
        <v>43742.0</v>
      </c>
      <c r="B2225" s="168" t="s">
        <v>357</v>
      </c>
      <c r="C2225" s="168" t="s">
        <v>119</v>
      </c>
      <c r="D2225" s="169" t="s">
        <v>343</v>
      </c>
    </row>
    <row r="2226">
      <c r="A2226" s="170">
        <v>43743.0</v>
      </c>
      <c r="B2226" s="168" t="s">
        <v>357</v>
      </c>
      <c r="C2226" s="168" t="s">
        <v>119</v>
      </c>
      <c r="D2226" s="169" t="s">
        <v>343</v>
      </c>
    </row>
    <row r="2227">
      <c r="A2227" s="170">
        <v>43744.0</v>
      </c>
      <c r="B2227" s="168" t="s">
        <v>357</v>
      </c>
      <c r="C2227" s="168" t="s">
        <v>119</v>
      </c>
      <c r="D2227" s="169" t="s">
        <v>343</v>
      </c>
    </row>
    <row r="2228">
      <c r="A2228" s="170">
        <v>43745.0</v>
      </c>
      <c r="B2228" s="168" t="s">
        <v>358</v>
      </c>
      <c r="C2228" s="168" t="s">
        <v>119</v>
      </c>
      <c r="D2228" s="169" t="s">
        <v>343</v>
      </c>
    </row>
    <row r="2229">
      <c r="A2229" s="170">
        <v>43746.0</v>
      </c>
      <c r="B2229" s="168" t="s">
        <v>358</v>
      </c>
      <c r="C2229" s="168" t="s">
        <v>119</v>
      </c>
      <c r="D2229" s="169" t="s">
        <v>343</v>
      </c>
    </row>
    <row r="2230">
      <c r="A2230" s="170">
        <v>43747.0</v>
      </c>
      <c r="B2230" s="168" t="s">
        <v>358</v>
      </c>
      <c r="C2230" s="168" t="s">
        <v>119</v>
      </c>
      <c r="D2230" s="169" t="s">
        <v>343</v>
      </c>
    </row>
    <row r="2231">
      <c r="A2231" s="170">
        <v>43748.0</v>
      </c>
      <c r="B2231" s="168" t="s">
        <v>358</v>
      </c>
      <c r="C2231" s="168" t="s">
        <v>119</v>
      </c>
      <c r="D2231" s="169" t="s">
        <v>343</v>
      </c>
    </row>
    <row r="2232">
      <c r="A2232" s="170">
        <v>43749.0</v>
      </c>
      <c r="B2232" s="168" t="s">
        <v>358</v>
      </c>
      <c r="C2232" s="168" t="s">
        <v>119</v>
      </c>
      <c r="D2232" s="169" t="s">
        <v>343</v>
      </c>
    </row>
    <row r="2233">
      <c r="A2233" s="170">
        <v>43750.0</v>
      </c>
      <c r="B2233" s="168" t="s">
        <v>358</v>
      </c>
      <c r="C2233" s="168" t="s">
        <v>119</v>
      </c>
      <c r="D2233" s="169" t="s">
        <v>343</v>
      </c>
    </row>
    <row r="2234">
      <c r="A2234" s="170">
        <v>43751.0</v>
      </c>
      <c r="B2234" s="168" t="s">
        <v>358</v>
      </c>
      <c r="C2234" s="168" t="s">
        <v>119</v>
      </c>
      <c r="D2234" s="169" t="s">
        <v>343</v>
      </c>
    </row>
    <row r="2235">
      <c r="A2235" s="170">
        <v>43752.0</v>
      </c>
      <c r="B2235" s="168" t="s">
        <v>359</v>
      </c>
      <c r="C2235" s="168" t="s">
        <v>119</v>
      </c>
      <c r="D2235" s="169" t="s">
        <v>343</v>
      </c>
    </row>
    <row r="2236">
      <c r="A2236" s="170">
        <v>43753.0</v>
      </c>
      <c r="B2236" s="168" t="s">
        <v>359</v>
      </c>
      <c r="C2236" s="168" t="s">
        <v>119</v>
      </c>
      <c r="D2236" s="169" t="s">
        <v>343</v>
      </c>
    </row>
    <row r="2237">
      <c r="A2237" s="170">
        <v>43754.0</v>
      </c>
      <c r="B2237" s="168" t="s">
        <v>359</v>
      </c>
      <c r="C2237" s="168" t="s">
        <v>119</v>
      </c>
      <c r="D2237" s="169" t="s">
        <v>343</v>
      </c>
    </row>
    <row r="2238">
      <c r="A2238" s="170">
        <v>43755.0</v>
      </c>
      <c r="B2238" s="168" t="s">
        <v>359</v>
      </c>
      <c r="C2238" s="168" t="s">
        <v>119</v>
      </c>
      <c r="D2238" s="169" t="s">
        <v>343</v>
      </c>
    </row>
    <row r="2239">
      <c r="A2239" s="170">
        <v>43756.0</v>
      </c>
      <c r="B2239" s="168" t="s">
        <v>359</v>
      </c>
      <c r="C2239" s="168" t="s">
        <v>119</v>
      </c>
      <c r="D2239" s="169" t="s">
        <v>343</v>
      </c>
    </row>
    <row r="2240">
      <c r="A2240" s="170">
        <v>43757.0</v>
      </c>
      <c r="B2240" s="168" t="s">
        <v>359</v>
      </c>
      <c r="C2240" s="168" t="s">
        <v>119</v>
      </c>
      <c r="D2240" s="169" t="s">
        <v>343</v>
      </c>
    </row>
    <row r="2241">
      <c r="A2241" s="170">
        <v>43758.0</v>
      </c>
      <c r="B2241" s="168" t="s">
        <v>359</v>
      </c>
      <c r="C2241" s="168" t="s">
        <v>119</v>
      </c>
      <c r="D2241" s="169" t="s">
        <v>343</v>
      </c>
    </row>
    <row r="2242">
      <c r="A2242" s="170">
        <v>43759.0</v>
      </c>
      <c r="B2242" s="168" t="s">
        <v>360</v>
      </c>
      <c r="C2242" s="168" t="s">
        <v>119</v>
      </c>
      <c r="D2242" s="169" t="s">
        <v>343</v>
      </c>
    </row>
    <row r="2243">
      <c r="A2243" s="170">
        <v>43760.0</v>
      </c>
      <c r="B2243" s="168" t="s">
        <v>360</v>
      </c>
      <c r="C2243" s="168" t="s">
        <v>119</v>
      </c>
      <c r="D2243" s="169" t="s">
        <v>343</v>
      </c>
    </row>
    <row r="2244">
      <c r="A2244" s="170">
        <v>43761.0</v>
      </c>
      <c r="B2244" s="168" t="s">
        <v>360</v>
      </c>
      <c r="C2244" s="168" t="s">
        <v>119</v>
      </c>
      <c r="D2244" s="169" t="s">
        <v>343</v>
      </c>
    </row>
    <row r="2245">
      <c r="A2245" s="170">
        <v>43762.0</v>
      </c>
      <c r="B2245" s="168" t="s">
        <v>360</v>
      </c>
      <c r="C2245" s="168" t="s">
        <v>119</v>
      </c>
      <c r="D2245" s="169" t="s">
        <v>343</v>
      </c>
    </row>
    <row r="2246">
      <c r="A2246" s="170">
        <v>43763.0</v>
      </c>
      <c r="B2246" s="168" t="s">
        <v>360</v>
      </c>
      <c r="C2246" s="168" t="s">
        <v>119</v>
      </c>
      <c r="D2246" s="169" t="s">
        <v>343</v>
      </c>
    </row>
    <row r="2247">
      <c r="A2247" s="170">
        <v>43764.0</v>
      </c>
      <c r="B2247" s="168" t="s">
        <v>360</v>
      </c>
      <c r="C2247" s="168" t="s">
        <v>119</v>
      </c>
      <c r="D2247" s="169" t="s">
        <v>343</v>
      </c>
    </row>
    <row r="2248">
      <c r="A2248" s="170">
        <v>43765.0</v>
      </c>
      <c r="B2248" s="168" t="s">
        <v>360</v>
      </c>
      <c r="C2248" s="168" t="s">
        <v>119</v>
      </c>
      <c r="D2248" s="169" t="s">
        <v>343</v>
      </c>
    </row>
    <row r="2249">
      <c r="A2249" s="170">
        <v>43766.0</v>
      </c>
      <c r="B2249" s="168" t="s">
        <v>361</v>
      </c>
      <c r="C2249" s="168" t="s">
        <v>119</v>
      </c>
      <c r="D2249" s="169" t="s">
        <v>344</v>
      </c>
    </row>
    <row r="2250">
      <c r="A2250" s="170">
        <v>43767.0</v>
      </c>
      <c r="B2250" s="168" t="s">
        <v>361</v>
      </c>
      <c r="C2250" s="168" t="s">
        <v>119</v>
      </c>
      <c r="D2250" s="169" t="s">
        <v>344</v>
      </c>
    </row>
    <row r="2251">
      <c r="A2251" s="170">
        <v>43768.0</v>
      </c>
      <c r="B2251" s="168" t="s">
        <v>361</v>
      </c>
      <c r="C2251" s="168" t="s">
        <v>119</v>
      </c>
      <c r="D2251" s="169" t="s">
        <v>344</v>
      </c>
    </row>
    <row r="2252">
      <c r="A2252" s="170">
        <v>43769.0</v>
      </c>
      <c r="B2252" s="168" t="s">
        <v>361</v>
      </c>
      <c r="C2252" s="168" t="s">
        <v>119</v>
      </c>
      <c r="D2252" s="169" t="s">
        <v>344</v>
      </c>
    </row>
    <row r="2253">
      <c r="A2253" s="170">
        <v>43770.0</v>
      </c>
      <c r="B2253" s="168" t="s">
        <v>361</v>
      </c>
      <c r="C2253" s="168" t="s">
        <v>119</v>
      </c>
      <c r="D2253" s="169" t="s">
        <v>344</v>
      </c>
    </row>
    <row r="2254">
      <c r="A2254" s="170">
        <v>43771.0</v>
      </c>
      <c r="B2254" s="168" t="s">
        <v>361</v>
      </c>
      <c r="C2254" s="168" t="s">
        <v>119</v>
      </c>
      <c r="D2254" s="169" t="s">
        <v>344</v>
      </c>
    </row>
    <row r="2255">
      <c r="A2255" s="170">
        <v>43772.0</v>
      </c>
      <c r="B2255" s="168" t="s">
        <v>361</v>
      </c>
      <c r="C2255" s="168" t="s">
        <v>119</v>
      </c>
      <c r="D2255" s="169" t="s">
        <v>344</v>
      </c>
    </row>
    <row r="2256">
      <c r="A2256" s="170">
        <v>43773.0</v>
      </c>
      <c r="B2256" s="168" t="s">
        <v>362</v>
      </c>
      <c r="C2256" s="168" t="s">
        <v>119</v>
      </c>
      <c r="D2256" s="169" t="s">
        <v>344</v>
      </c>
    </row>
    <row r="2257">
      <c r="A2257" s="170">
        <v>43774.0</v>
      </c>
      <c r="B2257" s="168" t="s">
        <v>362</v>
      </c>
      <c r="C2257" s="168" t="s">
        <v>119</v>
      </c>
      <c r="D2257" s="169" t="s">
        <v>344</v>
      </c>
    </row>
    <row r="2258">
      <c r="A2258" s="170">
        <v>43775.0</v>
      </c>
      <c r="B2258" s="168" t="s">
        <v>362</v>
      </c>
      <c r="C2258" s="168" t="s">
        <v>119</v>
      </c>
      <c r="D2258" s="169" t="s">
        <v>344</v>
      </c>
    </row>
    <row r="2259">
      <c r="A2259" s="170">
        <v>43776.0</v>
      </c>
      <c r="B2259" s="168" t="s">
        <v>362</v>
      </c>
      <c r="C2259" s="168" t="s">
        <v>119</v>
      </c>
      <c r="D2259" s="169" t="s">
        <v>344</v>
      </c>
    </row>
    <row r="2260">
      <c r="A2260" s="170">
        <v>43777.0</v>
      </c>
      <c r="B2260" s="168" t="s">
        <v>362</v>
      </c>
      <c r="C2260" s="168" t="s">
        <v>119</v>
      </c>
      <c r="D2260" s="169" t="s">
        <v>344</v>
      </c>
    </row>
    <row r="2261">
      <c r="A2261" s="170">
        <v>43778.0</v>
      </c>
      <c r="B2261" s="168" t="s">
        <v>362</v>
      </c>
      <c r="C2261" s="168" t="s">
        <v>119</v>
      </c>
      <c r="D2261" s="169" t="s">
        <v>344</v>
      </c>
    </row>
    <row r="2262">
      <c r="A2262" s="170">
        <v>43779.0</v>
      </c>
      <c r="B2262" s="168" t="s">
        <v>362</v>
      </c>
      <c r="C2262" s="168" t="s">
        <v>119</v>
      </c>
      <c r="D2262" s="169" t="s">
        <v>344</v>
      </c>
    </row>
    <row r="2263">
      <c r="A2263" s="170">
        <v>43780.0</v>
      </c>
      <c r="B2263" s="168" t="s">
        <v>363</v>
      </c>
      <c r="C2263" s="168" t="s">
        <v>119</v>
      </c>
      <c r="D2263" s="169" t="s">
        <v>344</v>
      </c>
    </row>
    <row r="2264">
      <c r="A2264" s="170">
        <v>43781.0</v>
      </c>
      <c r="B2264" s="168" t="s">
        <v>363</v>
      </c>
      <c r="C2264" s="168" t="s">
        <v>119</v>
      </c>
      <c r="D2264" s="169" t="s">
        <v>344</v>
      </c>
    </row>
    <row r="2265">
      <c r="A2265" s="170">
        <v>43782.0</v>
      </c>
      <c r="B2265" s="168" t="s">
        <v>363</v>
      </c>
      <c r="C2265" s="168" t="s">
        <v>119</v>
      </c>
      <c r="D2265" s="169" t="s">
        <v>344</v>
      </c>
    </row>
    <row r="2266">
      <c r="A2266" s="170">
        <v>43783.0</v>
      </c>
      <c r="B2266" s="168" t="s">
        <v>363</v>
      </c>
      <c r="C2266" s="168" t="s">
        <v>119</v>
      </c>
      <c r="D2266" s="169" t="s">
        <v>344</v>
      </c>
    </row>
    <row r="2267">
      <c r="A2267" s="170">
        <v>43784.0</v>
      </c>
      <c r="B2267" s="168" t="s">
        <v>363</v>
      </c>
      <c r="C2267" s="168" t="s">
        <v>119</v>
      </c>
      <c r="D2267" s="169" t="s">
        <v>344</v>
      </c>
    </row>
    <row r="2268">
      <c r="A2268" s="170">
        <v>43785.0</v>
      </c>
      <c r="B2268" s="168" t="s">
        <v>363</v>
      </c>
      <c r="C2268" s="168" t="s">
        <v>119</v>
      </c>
      <c r="D2268" s="169" t="s">
        <v>344</v>
      </c>
    </row>
    <row r="2269">
      <c r="A2269" s="170">
        <v>43786.0</v>
      </c>
      <c r="B2269" s="168" t="s">
        <v>363</v>
      </c>
      <c r="C2269" s="168" t="s">
        <v>119</v>
      </c>
      <c r="D2269" s="169" t="s">
        <v>344</v>
      </c>
    </row>
    <row r="2270">
      <c r="A2270" s="170">
        <v>43787.0</v>
      </c>
      <c r="B2270" s="168" t="s">
        <v>364</v>
      </c>
      <c r="C2270" s="168" t="s">
        <v>119</v>
      </c>
      <c r="D2270" s="169" t="s">
        <v>344</v>
      </c>
    </row>
    <row r="2271">
      <c r="A2271" s="170">
        <v>43788.0</v>
      </c>
      <c r="B2271" s="168" t="s">
        <v>364</v>
      </c>
      <c r="C2271" s="168" t="s">
        <v>119</v>
      </c>
      <c r="D2271" s="169" t="s">
        <v>344</v>
      </c>
    </row>
    <row r="2272">
      <c r="A2272" s="170">
        <v>43789.0</v>
      </c>
      <c r="B2272" s="168" t="s">
        <v>364</v>
      </c>
      <c r="C2272" s="168" t="s">
        <v>119</v>
      </c>
      <c r="D2272" s="169" t="s">
        <v>344</v>
      </c>
    </row>
    <row r="2273">
      <c r="A2273" s="170">
        <v>43790.0</v>
      </c>
      <c r="B2273" s="168" t="s">
        <v>364</v>
      </c>
      <c r="C2273" s="168" t="s">
        <v>119</v>
      </c>
      <c r="D2273" s="169" t="s">
        <v>344</v>
      </c>
    </row>
    <row r="2274">
      <c r="A2274" s="170">
        <v>43791.0</v>
      </c>
      <c r="B2274" s="168" t="s">
        <v>364</v>
      </c>
      <c r="C2274" s="168" t="s">
        <v>119</v>
      </c>
      <c r="D2274" s="169" t="s">
        <v>344</v>
      </c>
    </row>
    <row r="2275">
      <c r="A2275" s="170">
        <v>43792.0</v>
      </c>
      <c r="B2275" s="168" t="s">
        <v>364</v>
      </c>
      <c r="C2275" s="168" t="s">
        <v>119</v>
      </c>
      <c r="D2275" s="169" t="s">
        <v>344</v>
      </c>
    </row>
    <row r="2276">
      <c r="A2276" s="170">
        <v>43793.0</v>
      </c>
      <c r="B2276" s="168" t="s">
        <v>364</v>
      </c>
      <c r="C2276" s="168" t="s">
        <v>119</v>
      </c>
      <c r="D2276" s="169" t="s">
        <v>344</v>
      </c>
    </row>
    <row r="2277">
      <c r="A2277" s="170">
        <v>43794.0</v>
      </c>
      <c r="B2277" s="168" t="s">
        <v>365</v>
      </c>
      <c r="C2277" s="168" t="s">
        <v>119</v>
      </c>
      <c r="D2277" s="169" t="s">
        <v>345</v>
      </c>
    </row>
    <row r="2278">
      <c r="A2278" s="170">
        <v>43795.0</v>
      </c>
      <c r="B2278" s="168" t="s">
        <v>365</v>
      </c>
      <c r="C2278" s="168" t="s">
        <v>119</v>
      </c>
      <c r="D2278" s="169" t="s">
        <v>345</v>
      </c>
    </row>
    <row r="2279">
      <c r="A2279" s="170">
        <v>43796.0</v>
      </c>
      <c r="B2279" s="168" t="s">
        <v>365</v>
      </c>
      <c r="C2279" s="168" t="s">
        <v>119</v>
      </c>
      <c r="D2279" s="169" t="s">
        <v>345</v>
      </c>
    </row>
    <row r="2280">
      <c r="A2280" s="170">
        <v>43797.0</v>
      </c>
      <c r="B2280" s="168" t="s">
        <v>365</v>
      </c>
      <c r="C2280" s="168" t="s">
        <v>119</v>
      </c>
      <c r="D2280" s="169" t="s">
        <v>345</v>
      </c>
    </row>
    <row r="2281">
      <c r="A2281" s="170">
        <v>43798.0</v>
      </c>
      <c r="B2281" s="168" t="s">
        <v>365</v>
      </c>
      <c r="C2281" s="168" t="s">
        <v>119</v>
      </c>
      <c r="D2281" s="169" t="s">
        <v>345</v>
      </c>
    </row>
    <row r="2282">
      <c r="A2282" s="170">
        <v>43799.0</v>
      </c>
      <c r="B2282" s="168" t="s">
        <v>365</v>
      </c>
      <c r="C2282" s="168" t="s">
        <v>119</v>
      </c>
      <c r="D2282" s="169" t="s">
        <v>345</v>
      </c>
    </row>
    <row r="2283">
      <c r="A2283" s="170">
        <v>43800.0</v>
      </c>
      <c r="B2283" s="168" t="s">
        <v>365</v>
      </c>
      <c r="C2283" s="168" t="s">
        <v>119</v>
      </c>
      <c r="D2283" s="169" t="s">
        <v>345</v>
      </c>
    </row>
    <row r="2284">
      <c r="A2284" s="170">
        <v>43801.0</v>
      </c>
      <c r="B2284" s="168" t="s">
        <v>366</v>
      </c>
      <c r="C2284" s="168" t="s">
        <v>119</v>
      </c>
      <c r="D2284" s="169" t="s">
        <v>345</v>
      </c>
    </row>
    <row r="2285">
      <c r="A2285" s="170">
        <v>43802.0</v>
      </c>
      <c r="B2285" s="168" t="s">
        <v>366</v>
      </c>
      <c r="C2285" s="168" t="s">
        <v>119</v>
      </c>
      <c r="D2285" s="169" t="s">
        <v>345</v>
      </c>
    </row>
    <row r="2286">
      <c r="A2286" s="170">
        <v>43803.0</v>
      </c>
      <c r="B2286" s="168" t="s">
        <v>366</v>
      </c>
      <c r="C2286" s="168" t="s">
        <v>119</v>
      </c>
      <c r="D2286" s="169" t="s">
        <v>345</v>
      </c>
    </row>
    <row r="2287">
      <c r="A2287" s="170">
        <v>43804.0</v>
      </c>
      <c r="B2287" s="168" t="s">
        <v>366</v>
      </c>
      <c r="C2287" s="168" t="s">
        <v>119</v>
      </c>
      <c r="D2287" s="169" t="s">
        <v>345</v>
      </c>
    </row>
    <row r="2288">
      <c r="A2288" s="170">
        <v>43805.0</v>
      </c>
      <c r="B2288" s="168" t="s">
        <v>366</v>
      </c>
      <c r="C2288" s="168" t="s">
        <v>119</v>
      </c>
      <c r="D2288" s="169" t="s">
        <v>345</v>
      </c>
    </row>
    <row r="2289">
      <c r="A2289" s="170">
        <v>43806.0</v>
      </c>
      <c r="B2289" s="168" t="s">
        <v>366</v>
      </c>
      <c r="C2289" s="168" t="s">
        <v>119</v>
      </c>
      <c r="D2289" s="169" t="s">
        <v>345</v>
      </c>
    </row>
    <row r="2290">
      <c r="A2290" s="170">
        <v>43807.0</v>
      </c>
      <c r="B2290" s="168" t="s">
        <v>366</v>
      </c>
      <c r="C2290" s="168" t="s">
        <v>119</v>
      </c>
      <c r="D2290" s="169" t="s">
        <v>345</v>
      </c>
    </row>
    <row r="2291">
      <c r="A2291" s="170">
        <v>43808.0</v>
      </c>
      <c r="B2291" s="168" t="s">
        <v>367</v>
      </c>
      <c r="C2291" s="168" t="s">
        <v>119</v>
      </c>
      <c r="D2291" s="169" t="s">
        <v>345</v>
      </c>
    </row>
    <row r="2292">
      <c r="A2292" s="170">
        <v>43809.0</v>
      </c>
      <c r="B2292" s="168" t="s">
        <v>367</v>
      </c>
      <c r="C2292" s="168" t="s">
        <v>119</v>
      </c>
      <c r="D2292" s="169" t="s">
        <v>345</v>
      </c>
    </row>
    <row r="2293">
      <c r="A2293" s="170">
        <v>43810.0</v>
      </c>
      <c r="B2293" s="168" t="s">
        <v>367</v>
      </c>
      <c r="C2293" s="168" t="s">
        <v>119</v>
      </c>
      <c r="D2293" s="169" t="s">
        <v>345</v>
      </c>
    </row>
    <row r="2294">
      <c r="A2294" s="170">
        <v>43811.0</v>
      </c>
      <c r="B2294" s="168" t="s">
        <v>367</v>
      </c>
      <c r="C2294" s="168" t="s">
        <v>119</v>
      </c>
      <c r="D2294" s="169" t="s">
        <v>345</v>
      </c>
    </row>
    <row r="2295">
      <c r="A2295" s="170">
        <v>43812.0</v>
      </c>
      <c r="B2295" s="168" t="s">
        <v>367</v>
      </c>
      <c r="C2295" s="168" t="s">
        <v>119</v>
      </c>
      <c r="D2295" s="169" t="s">
        <v>345</v>
      </c>
    </row>
    <row r="2296">
      <c r="A2296" s="170">
        <v>43813.0</v>
      </c>
      <c r="B2296" s="168" t="s">
        <v>367</v>
      </c>
      <c r="C2296" s="168" t="s">
        <v>119</v>
      </c>
      <c r="D2296" s="169" t="s">
        <v>345</v>
      </c>
    </row>
    <row r="2297">
      <c r="A2297" s="170">
        <v>43814.0</v>
      </c>
      <c r="B2297" s="168" t="s">
        <v>367</v>
      </c>
      <c r="C2297" s="168" t="s">
        <v>119</v>
      </c>
      <c r="D2297" s="169" t="s">
        <v>345</v>
      </c>
    </row>
    <row r="2298">
      <c r="A2298" s="170">
        <v>43815.0</v>
      </c>
      <c r="B2298" s="168" t="s">
        <v>368</v>
      </c>
      <c r="C2298" s="168" t="s">
        <v>119</v>
      </c>
      <c r="D2298" s="169" t="s">
        <v>345</v>
      </c>
    </row>
    <row r="2299">
      <c r="A2299" s="170">
        <v>43816.0</v>
      </c>
      <c r="B2299" s="168" t="s">
        <v>368</v>
      </c>
      <c r="C2299" s="168" t="s">
        <v>119</v>
      </c>
      <c r="D2299" s="169" t="s">
        <v>345</v>
      </c>
    </row>
    <row r="2300">
      <c r="A2300" s="170">
        <v>43817.0</v>
      </c>
      <c r="B2300" s="168" t="s">
        <v>368</v>
      </c>
      <c r="C2300" s="168" t="s">
        <v>119</v>
      </c>
      <c r="D2300" s="169" t="s">
        <v>345</v>
      </c>
    </row>
    <row r="2301">
      <c r="A2301" s="170">
        <v>43818.0</v>
      </c>
      <c r="B2301" s="168" t="s">
        <v>368</v>
      </c>
      <c r="C2301" s="168" t="s">
        <v>119</v>
      </c>
      <c r="D2301" s="169" t="s">
        <v>345</v>
      </c>
    </row>
    <row r="2302">
      <c r="A2302" s="170">
        <v>43819.0</v>
      </c>
      <c r="B2302" s="168" t="s">
        <v>368</v>
      </c>
      <c r="C2302" s="168" t="s">
        <v>119</v>
      </c>
      <c r="D2302" s="169" t="s">
        <v>345</v>
      </c>
    </row>
    <row r="2303">
      <c r="A2303" s="170">
        <v>43820.0</v>
      </c>
      <c r="B2303" s="168" t="s">
        <v>368</v>
      </c>
      <c r="C2303" s="168" t="s">
        <v>119</v>
      </c>
      <c r="D2303" s="169" t="s">
        <v>345</v>
      </c>
    </row>
    <row r="2304">
      <c r="A2304" s="170">
        <v>43821.0</v>
      </c>
      <c r="B2304" s="168" t="s">
        <v>368</v>
      </c>
      <c r="C2304" s="168" t="s">
        <v>119</v>
      </c>
      <c r="D2304" s="169" t="s">
        <v>345</v>
      </c>
    </row>
    <row r="2305">
      <c r="A2305" s="170">
        <v>43822.0</v>
      </c>
      <c r="B2305" s="168" t="s">
        <v>369</v>
      </c>
      <c r="C2305" s="168" t="s">
        <v>119</v>
      </c>
      <c r="D2305" s="169" t="s">
        <v>346</v>
      </c>
    </row>
    <row r="2306">
      <c r="A2306" s="170">
        <v>43823.0</v>
      </c>
      <c r="B2306" s="168" t="s">
        <v>369</v>
      </c>
      <c r="C2306" s="168" t="s">
        <v>119</v>
      </c>
      <c r="D2306" s="169" t="s">
        <v>346</v>
      </c>
    </row>
    <row r="2307">
      <c r="A2307" s="170">
        <v>43824.0</v>
      </c>
      <c r="B2307" s="168" t="s">
        <v>369</v>
      </c>
      <c r="C2307" s="168" t="s">
        <v>119</v>
      </c>
      <c r="D2307" s="169" t="s">
        <v>346</v>
      </c>
    </row>
    <row r="2308">
      <c r="A2308" s="170">
        <v>43825.0</v>
      </c>
      <c r="B2308" s="168" t="s">
        <v>369</v>
      </c>
      <c r="C2308" s="168" t="s">
        <v>119</v>
      </c>
      <c r="D2308" s="169" t="s">
        <v>346</v>
      </c>
    </row>
    <row r="2309">
      <c r="A2309" s="170">
        <v>43826.0</v>
      </c>
      <c r="B2309" s="168" t="s">
        <v>369</v>
      </c>
      <c r="C2309" s="168" t="s">
        <v>119</v>
      </c>
      <c r="D2309" s="169" t="s">
        <v>346</v>
      </c>
    </row>
    <row r="2310">
      <c r="A2310" s="170">
        <v>43827.0</v>
      </c>
      <c r="B2310" s="168" t="s">
        <v>369</v>
      </c>
      <c r="C2310" s="168" t="s">
        <v>119</v>
      </c>
      <c r="D2310" s="169" t="s">
        <v>346</v>
      </c>
    </row>
    <row r="2311">
      <c r="A2311" s="170">
        <v>43828.0</v>
      </c>
      <c r="B2311" s="168" t="s">
        <v>369</v>
      </c>
      <c r="C2311" s="168" t="s">
        <v>119</v>
      </c>
      <c r="D2311" s="169" t="s">
        <v>346</v>
      </c>
    </row>
    <row r="2312">
      <c r="A2312" s="170">
        <v>43829.0</v>
      </c>
      <c r="B2312" s="168" t="s">
        <v>370</v>
      </c>
      <c r="C2312" s="168" t="s">
        <v>119</v>
      </c>
      <c r="D2312" s="169" t="s">
        <v>346</v>
      </c>
    </row>
    <row r="2313">
      <c r="A2313" s="170">
        <v>43830.0</v>
      </c>
      <c r="B2313" s="168" t="s">
        <v>370</v>
      </c>
      <c r="C2313" s="168" t="s">
        <v>119</v>
      </c>
      <c r="D2313" s="169" t="s">
        <v>346</v>
      </c>
    </row>
    <row r="2314">
      <c r="A2314" s="170">
        <v>43831.0</v>
      </c>
      <c r="B2314" s="168" t="s">
        <v>370</v>
      </c>
      <c r="C2314" s="168" t="s">
        <v>119</v>
      </c>
      <c r="D2314" s="169" t="s">
        <v>346</v>
      </c>
    </row>
    <row r="2315">
      <c r="A2315" s="170">
        <v>43832.0</v>
      </c>
      <c r="B2315" s="168" t="s">
        <v>370</v>
      </c>
      <c r="C2315" s="168" t="s">
        <v>119</v>
      </c>
      <c r="D2315" s="169" t="s">
        <v>346</v>
      </c>
    </row>
    <row r="2316">
      <c r="A2316" s="170">
        <v>43833.0</v>
      </c>
      <c r="B2316" s="168" t="s">
        <v>370</v>
      </c>
      <c r="C2316" s="168" t="s">
        <v>119</v>
      </c>
      <c r="D2316" s="169" t="s">
        <v>346</v>
      </c>
    </row>
    <row r="2317">
      <c r="A2317" s="170">
        <v>43834.0</v>
      </c>
      <c r="B2317" s="168" t="s">
        <v>370</v>
      </c>
      <c r="C2317" s="168" t="s">
        <v>119</v>
      </c>
      <c r="D2317" s="169" t="s">
        <v>346</v>
      </c>
    </row>
    <row r="2318">
      <c r="A2318" s="170">
        <v>43835.0</v>
      </c>
      <c r="B2318" s="168" t="s">
        <v>370</v>
      </c>
      <c r="C2318" s="168" t="s">
        <v>119</v>
      </c>
      <c r="D2318" s="169" t="s">
        <v>346</v>
      </c>
    </row>
    <row r="2319">
      <c r="A2319" s="170">
        <v>43836.0</v>
      </c>
      <c r="B2319" s="168" t="s">
        <v>371</v>
      </c>
      <c r="C2319" s="168" t="s">
        <v>119</v>
      </c>
      <c r="D2319" s="169" t="s">
        <v>346</v>
      </c>
    </row>
    <row r="2320">
      <c r="A2320" s="170">
        <v>43837.0</v>
      </c>
      <c r="B2320" s="168" t="s">
        <v>371</v>
      </c>
      <c r="C2320" s="168" t="s">
        <v>119</v>
      </c>
      <c r="D2320" s="169" t="s">
        <v>346</v>
      </c>
    </row>
    <row r="2321">
      <c r="A2321" s="170">
        <v>43838.0</v>
      </c>
      <c r="B2321" s="168" t="s">
        <v>371</v>
      </c>
      <c r="C2321" s="168" t="s">
        <v>119</v>
      </c>
      <c r="D2321" s="169" t="s">
        <v>346</v>
      </c>
    </row>
    <row r="2322">
      <c r="A2322" s="170">
        <v>43839.0</v>
      </c>
      <c r="B2322" s="168" t="s">
        <v>371</v>
      </c>
      <c r="C2322" s="168" t="s">
        <v>119</v>
      </c>
      <c r="D2322" s="169" t="s">
        <v>346</v>
      </c>
    </row>
    <row r="2323">
      <c r="A2323" s="170">
        <v>43840.0</v>
      </c>
      <c r="B2323" s="168" t="s">
        <v>371</v>
      </c>
      <c r="C2323" s="168" t="s">
        <v>119</v>
      </c>
      <c r="D2323" s="169" t="s">
        <v>346</v>
      </c>
    </row>
    <row r="2324">
      <c r="A2324" s="170">
        <v>43841.0</v>
      </c>
      <c r="B2324" s="168" t="s">
        <v>371</v>
      </c>
      <c r="C2324" s="168" t="s">
        <v>119</v>
      </c>
      <c r="D2324" s="169" t="s">
        <v>346</v>
      </c>
    </row>
    <row r="2325">
      <c r="A2325" s="170">
        <v>43842.0</v>
      </c>
      <c r="B2325" s="168" t="s">
        <v>371</v>
      </c>
      <c r="C2325" s="168" t="s">
        <v>119</v>
      </c>
      <c r="D2325" s="169" t="s">
        <v>346</v>
      </c>
    </row>
    <row r="2326">
      <c r="A2326" s="170">
        <v>43843.0</v>
      </c>
      <c r="B2326" s="168" t="s">
        <v>372</v>
      </c>
      <c r="C2326" s="168" t="s">
        <v>119</v>
      </c>
      <c r="D2326" s="169" t="s">
        <v>346</v>
      </c>
    </row>
    <row r="2327">
      <c r="A2327" s="170">
        <v>43844.0</v>
      </c>
      <c r="B2327" s="168" t="s">
        <v>372</v>
      </c>
      <c r="C2327" s="168" t="s">
        <v>119</v>
      </c>
      <c r="D2327" s="169" t="s">
        <v>346</v>
      </c>
    </row>
    <row r="2328">
      <c r="A2328" s="170">
        <v>43845.0</v>
      </c>
      <c r="B2328" s="168" t="s">
        <v>372</v>
      </c>
      <c r="C2328" s="168" t="s">
        <v>119</v>
      </c>
      <c r="D2328" s="169" t="s">
        <v>346</v>
      </c>
    </row>
    <row r="2329">
      <c r="A2329" s="170">
        <v>43846.0</v>
      </c>
      <c r="B2329" s="168" t="s">
        <v>372</v>
      </c>
      <c r="C2329" s="168" t="s">
        <v>119</v>
      </c>
      <c r="D2329" s="169" t="s">
        <v>346</v>
      </c>
    </row>
    <row r="2330">
      <c r="A2330" s="170">
        <v>43847.0</v>
      </c>
      <c r="B2330" s="168" t="s">
        <v>372</v>
      </c>
      <c r="C2330" s="168" t="s">
        <v>119</v>
      </c>
      <c r="D2330" s="169" t="s">
        <v>346</v>
      </c>
    </row>
    <row r="2331">
      <c r="A2331" s="170">
        <v>43848.0</v>
      </c>
      <c r="B2331" s="168" t="s">
        <v>372</v>
      </c>
      <c r="C2331" s="168" t="s">
        <v>119</v>
      </c>
      <c r="D2331" s="169" t="s">
        <v>346</v>
      </c>
    </row>
    <row r="2332">
      <c r="A2332" s="170">
        <v>43849.0</v>
      </c>
      <c r="B2332" s="168" t="s">
        <v>372</v>
      </c>
      <c r="C2332" s="168" t="s">
        <v>119</v>
      </c>
      <c r="D2332" s="169" t="s">
        <v>346</v>
      </c>
    </row>
    <row r="2333">
      <c r="A2333" s="170">
        <v>43850.0</v>
      </c>
      <c r="B2333" s="168" t="s">
        <v>373</v>
      </c>
      <c r="C2333" s="168" t="s">
        <v>119</v>
      </c>
      <c r="D2333" s="169" t="s">
        <v>347</v>
      </c>
    </row>
    <row r="2334">
      <c r="A2334" s="170">
        <v>43851.0</v>
      </c>
      <c r="B2334" s="168" t="s">
        <v>373</v>
      </c>
      <c r="C2334" s="168" t="s">
        <v>119</v>
      </c>
      <c r="D2334" s="169" t="s">
        <v>347</v>
      </c>
    </row>
    <row r="2335">
      <c r="A2335" s="170">
        <v>43852.0</v>
      </c>
      <c r="B2335" s="168" t="s">
        <v>373</v>
      </c>
      <c r="C2335" s="168" t="s">
        <v>119</v>
      </c>
      <c r="D2335" s="169" t="s">
        <v>347</v>
      </c>
    </row>
    <row r="2336">
      <c r="A2336" s="170">
        <v>43853.0</v>
      </c>
      <c r="B2336" s="168" t="s">
        <v>373</v>
      </c>
      <c r="C2336" s="168" t="s">
        <v>119</v>
      </c>
      <c r="D2336" s="169" t="s">
        <v>347</v>
      </c>
    </row>
    <row r="2337">
      <c r="A2337" s="170">
        <v>43854.0</v>
      </c>
      <c r="B2337" s="168" t="s">
        <v>373</v>
      </c>
      <c r="C2337" s="168" t="s">
        <v>119</v>
      </c>
      <c r="D2337" s="169" t="s">
        <v>347</v>
      </c>
    </row>
    <row r="2338">
      <c r="A2338" s="170">
        <v>43855.0</v>
      </c>
      <c r="B2338" s="168" t="s">
        <v>373</v>
      </c>
      <c r="C2338" s="168" t="s">
        <v>119</v>
      </c>
      <c r="D2338" s="169" t="s">
        <v>347</v>
      </c>
    </row>
    <row r="2339">
      <c r="A2339" s="170">
        <v>43856.0</v>
      </c>
      <c r="B2339" s="168" t="s">
        <v>373</v>
      </c>
      <c r="C2339" s="168" t="s">
        <v>119</v>
      </c>
      <c r="D2339" s="169" t="s">
        <v>347</v>
      </c>
    </row>
    <row r="2340">
      <c r="A2340" s="170">
        <v>43857.0</v>
      </c>
      <c r="B2340" s="168" t="s">
        <v>374</v>
      </c>
      <c r="C2340" s="168" t="s">
        <v>119</v>
      </c>
      <c r="D2340" s="169" t="s">
        <v>347</v>
      </c>
    </row>
    <row r="2341">
      <c r="A2341" s="170">
        <v>43858.0</v>
      </c>
      <c r="B2341" s="168" t="s">
        <v>374</v>
      </c>
      <c r="C2341" s="168" t="s">
        <v>119</v>
      </c>
      <c r="D2341" s="169" t="s">
        <v>347</v>
      </c>
    </row>
    <row r="2342">
      <c r="A2342" s="170">
        <v>43859.0</v>
      </c>
      <c r="B2342" s="168" t="s">
        <v>374</v>
      </c>
      <c r="C2342" s="168" t="s">
        <v>119</v>
      </c>
      <c r="D2342" s="169" t="s">
        <v>347</v>
      </c>
    </row>
    <row r="2343">
      <c r="A2343" s="170">
        <v>43860.0</v>
      </c>
      <c r="B2343" s="168" t="s">
        <v>374</v>
      </c>
      <c r="C2343" s="168" t="s">
        <v>119</v>
      </c>
      <c r="D2343" s="169" t="s">
        <v>347</v>
      </c>
    </row>
    <row r="2344">
      <c r="A2344" s="170">
        <v>43861.0</v>
      </c>
      <c r="B2344" s="168" t="s">
        <v>374</v>
      </c>
      <c r="C2344" s="168" t="s">
        <v>119</v>
      </c>
      <c r="D2344" s="169" t="s">
        <v>347</v>
      </c>
    </row>
    <row r="2345">
      <c r="A2345" s="170">
        <v>43862.0</v>
      </c>
      <c r="B2345" s="168" t="s">
        <v>374</v>
      </c>
      <c r="C2345" s="168" t="s">
        <v>119</v>
      </c>
      <c r="D2345" s="169" t="s">
        <v>347</v>
      </c>
    </row>
    <row r="2346">
      <c r="A2346" s="170">
        <v>43863.0</v>
      </c>
      <c r="B2346" s="168" t="s">
        <v>374</v>
      </c>
      <c r="C2346" s="168" t="s">
        <v>119</v>
      </c>
      <c r="D2346" s="169" t="s">
        <v>347</v>
      </c>
    </row>
    <row r="2347">
      <c r="A2347" s="170">
        <v>43864.0</v>
      </c>
      <c r="B2347" s="168" t="s">
        <v>375</v>
      </c>
      <c r="C2347" s="168" t="s">
        <v>119</v>
      </c>
      <c r="D2347" s="169" t="s">
        <v>347</v>
      </c>
    </row>
    <row r="2348">
      <c r="A2348" s="170">
        <v>43865.0</v>
      </c>
      <c r="B2348" s="168" t="s">
        <v>375</v>
      </c>
      <c r="C2348" s="168" t="s">
        <v>119</v>
      </c>
      <c r="D2348" s="169" t="s">
        <v>347</v>
      </c>
    </row>
    <row r="2349">
      <c r="A2349" s="170">
        <v>43866.0</v>
      </c>
      <c r="B2349" s="168" t="s">
        <v>375</v>
      </c>
      <c r="C2349" s="168" t="s">
        <v>119</v>
      </c>
      <c r="D2349" s="169" t="s">
        <v>347</v>
      </c>
    </row>
    <row r="2350">
      <c r="A2350" s="170">
        <v>43867.0</v>
      </c>
      <c r="B2350" s="168" t="s">
        <v>375</v>
      </c>
      <c r="C2350" s="168" t="s">
        <v>119</v>
      </c>
      <c r="D2350" s="169" t="s">
        <v>347</v>
      </c>
    </row>
    <row r="2351">
      <c r="A2351" s="170">
        <v>43868.0</v>
      </c>
      <c r="B2351" s="168" t="s">
        <v>375</v>
      </c>
      <c r="C2351" s="168" t="s">
        <v>119</v>
      </c>
      <c r="D2351" s="169" t="s">
        <v>347</v>
      </c>
    </row>
    <row r="2352">
      <c r="A2352" s="170">
        <v>43869.0</v>
      </c>
      <c r="B2352" s="168" t="s">
        <v>375</v>
      </c>
      <c r="C2352" s="168" t="s">
        <v>119</v>
      </c>
      <c r="D2352" s="169" t="s">
        <v>347</v>
      </c>
    </row>
    <row r="2353">
      <c r="A2353" s="170">
        <v>43870.0</v>
      </c>
      <c r="B2353" s="168" t="s">
        <v>375</v>
      </c>
      <c r="C2353" s="168" t="s">
        <v>119</v>
      </c>
      <c r="D2353" s="169" t="s">
        <v>347</v>
      </c>
    </row>
    <row r="2354">
      <c r="A2354" s="170">
        <v>43871.0</v>
      </c>
      <c r="B2354" s="168" t="s">
        <v>376</v>
      </c>
      <c r="C2354" s="168" t="s">
        <v>119</v>
      </c>
      <c r="D2354" s="169" t="s">
        <v>347</v>
      </c>
    </row>
    <row r="2355">
      <c r="A2355" s="170">
        <v>43872.0</v>
      </c>
      <c r="B2355" s="168" t="s">
        <v>376</v>
      </c>
      <c r="C2355" s="168" t="s">
        <v>119</v>
      </c>
      <c r="D2355" s="169" t="s">
        <v>347</v>
      </c>
    </row>
    <row r="2356">
      <c r="A2356" s="170">
        <v>43873.0</v>
      </c>
      <c r="B2356" s="168" t="s">
        <v>376</v>
      </c>
      <c r="C2356" s="168" t="s">
        <v>119</v>
      </c>
      <c r="D2356" s="169" t="s">
        <v>347</v>
      </c>
    </row>
    <row r="2357">
      <c r="A2357" s="170">
        <v>43874.0</v>
      </c>
      <c r="B2357" s="168" t="s">
        <v>376</v>
      </c>
      <c r="C2357" s="168" t="s">
        <v>119</v>
      </c>
      <c r="D2357" s="169" t="s">
        <v>347</v>
      </c>
    </row>
    <row r="2358">
      <c r="A2358" s="170">
        <v>43875.0</v>
      </c>
      <c r="B2358" s="168" t="s">
        <v>376</v>
      </c>
      <c r="C2358" s="168" t="s">
        <v>119</v>
      </c>
      <c r="D2358" s="169" t="s">
        <v>347</v>
      </c>
    </row>
    <row r="2359">
      <c r="A2359" s="170">
        <v>43876.0</v>
      </c>
      <c r="B2359" s="168" t="s">
        <v>376</v>
      </c>
      <c r="C2359" s="168" t="s">
        <v>119</v>
      </c>
      <c r="D2359" s="169" t="s">
        <v>347</v>
      </c>
    </row>
    <row r="2360">
      <c r="A2360" s="170">
        <v>43877.0</v>
      </c>
      <c r="B2360" s="168" t="s">
        <v>376</v>
      </c>
      <c r="C2360" s="168" t="s">
        <v>119</v>
      </c>
      <c r="D2360" s="169" t="s">
        <v>347</v>
      </c>
    </row>
    <row r="2361">
      <c r="A2361" s="170">
        <v>43878.0</v>
      </c>
      <c r="B2361" s="168" t="s">
        <v>377</v>
      </c>
      <c r="C2361" s="168" t="s">
        <v>119</v>
      </c>
      <c r="D2361" s="169" t="s">
        <v>348</v>
      </c>
    </row>
    <row r="2362">
      <c r="A2362" s="170">
        <v>43879.0</v>
      </c>
      <c r="B2362" s="168" t="s">
        <v>377</v>
      </c>
      <c r="C2362" s="168" t="s">
        <v>119</v>
      </c>
      <c r="D2362" s="169" t="s">
        <v>348</v>
      </c>
    </row>
    <row r="2363">
      <c r="A2363" s="170">
        <v>43880.0</v>
      </c>
      <c r="B2363" s="168" t="s">
        <v>377</v>
      </c>
      <c r="C2363" s="168" t="s">
        <v>119</v>
      </c>
      <c r="D2363" s="169" t="s">
        <v>348</v>
      </c>
    </row>
    <row r="2364">
      <c r="A2364" s="170">
        <v>43881.0</v>
      </c>
      <c r="B2364" s="168" t="s">
        <v>377</v>
      </c>
      <c r="C2364" s="168" t="s">
        <v>119</v>
      </c>
      <c r="D2364" s="169" t="s">
        <v>348</v>
      </c>
    </row>
    <row r="2365">
      <c r="A2365" s="170">
        <v>43882.0</v>
      </c>
      <c r="B2365" s="168" t="s">
        <v>377</v>
      </c>
      <c r="C2365" s="168" t="s">
        <v>119</v>
      </c>
      <c r="D2365" s="169" t="s">
        <v>348</v>
      </c>
    </row>
    <row r="2366">
      <c r="A2366" s="170">
        <v>43883.0</v>
      </c>
      <c r="B2366" s="168" t="s">
        <v>377</v>
      </c>
      <c r="C2366" s="168" t="s">
        <v>119</v>
      </c>
      <c r="D2366" s="169" t="s">
        <v>348</v>
      </c>
    </row>
    <row r="2367">
      <c r="A2367" s="170">
        <v>43884.0</v>
      </c>
      <c r="B2367" s="168" t="s">
        <v>377</v>
      </c>
      <c r="C2367" s="168" t="s">
        <v>119</v>
      </c>
      <c r="D2367" s="169" t="s">
        <v>348</v>
      </c>
    </row>
    <row r="2368">
      <c r="A2368" s="170">
        <v>43885.0</v>
      </c>
      <c r="B2368" s="168" t="s">
        <v>378</v>
      </c>
      <c r="C2368" s="168" t="s">
        <v>119</v>
      </c>
      <c r="D2368" s="169" t="s">
        <v>348</v>
      </c>
    </row>
    <row r="2369">
      <c r="A2369" s="170">
        <v>43886.0</v>
      </c>
      <c r="B2369" s="168" t="s">
        <v>378</v>
      </c>
      <c r="C2369" s="168" t="s">
        <v>119</v>
      </c>
      <c r="D2369" s="169" t="s">
        <v>348</v>
      </c>
    </row>
    <row r="2370">
      <c r="A2370" s="170">
        <v>43887.0</v>
      </c>
      <c r="B2370" s="168" t="s">
        <v>378</v>
      </c>
      <c r="C2370" s="168" t="s">
        <v>119</v>
      </c>
      <c r="D2370" s="169" t="s">
        <v>348</v>
      </c>
    </row>
    <row r="2371">
      <c r="A2371" s="170">
        <v>43888.0</v>
      </c>
      <c r="B2371" s="168" t="s">
        <v>378</v>
      </c>
      <c r="C2371" s="168" t="s">
        <v>119</v>
      </c>
      <c r="D2371" s="169" t="s">
        <v>348</v>
      </c>
    </row>
    <row r="2372">
      <c r="A2372" s="170">
        <v>43889.0</v>
      </c>
      <c r="B2372" s="168" t="s">
        <v>378</v>
      </c>
      <c r="C2372" s="168" t="s">
        <v>119</v>
      </c>
      <c r="D2372" s="169" t="s">
        <v>348</v>
      </c>
    </row>
    <row r="2373">
      <c r="A2373" s="170">
        <v>43890.0</v>
      </c>
      <c r="B2373" s="168" t="s">
        <v>378</v>
      </c>
      <c r="C2373" s="168" t="s">
        <v>119</v>
      </c>
      <c r="D2373" s="169" t="s">
        <v>348</v>
      </c>
    </row>
    <row r="2374">
      <c r="A2374" s="170">
        <v>43891.0</v>
      </c>
      <c r="B2374" s="168" t="s">
        <v>378</v>
      </c>
      <c r="C2374" s="168" t="s">
        <v>119</v>
      </c>
      <c r="D2374" s="169" t="s">
        <v>348</v>
      </c>
    </row>
    <row r="2375">
      <c r="A2375" s="170">
        <v>43892.0</v>
      </c>
      <c r="B2375" s="168" t="s">
        <v>379</v>
      </c>
      <c r="C2375" s="168" t="s">
        <v>119</v>
      </c>
      <c r="D2375" s="169" t="s">
        <v>348</v>
      </c>
    </row>
    <row r="2376">
      <c r="A2376" s="170">
        <v>43893.0</v>
      </c>
      <c r="B2376" s="168" t="s">
        <v>379</v>
      </c>
      <c r="C2376" s="168" t="s">
        <v>119</v>
      </c>
      <c r="D2376" s="169" t="s">
        <v>348</v>
      </c>
    </row>
    <row r="2377">
      <c r="A2377" s="170">
        <v>43894.0</v>
      </c>
      <c r="B2377" s="168" t="s">
        <v>379</v>
      </c>
      <c r="C2377" s="168" t="s">
        <v>119</v>
      </c>
      <c r="D2377" s="169" t="s">
        <v>348</v>
      </c>
    </row>
    <row r="2378">
      <c r="A2378" s="170">
        <v>43895.0</v>
      </c>
      <c r="B2378" s="168" t="s">
        <v>379</v>
      </c>
      <c r="C2378" s="168" t="s">
        <v>119</v>
      </c>
      <c r="D2378" s="169" t="s">
        <v>348</v>
      </c>
    </row>
    <row r="2379">
      <c r="A2379" s="170">
        <v>43896.0</v>
      </c>
      <c r="B2379" s="168" t="s">
        <v>379</v>
      </c>
      <c r="C2379" s="168" t="s">
        <v>119</v>
      </c>
      <c r="D2379" s="169" t="s">
        <v>348</v>
      </c>
    </row>
    <row r="2380">
      <c r="A2380" s="170">
        <v>43897.0</v>
      </c>
      <c r="B2380" s="168" t="s">
        <v>379</v>
      </c>
      <c r="C2380" s="168" t="s">
        <v>119</v>
      </c>
      <c r="D2380" s="169" t="s">
        <v>348</v>
      </c>
    </row>
    <row r="2381">
      <c r="A2381" s="170">
        <v>43898.0</v>
      </c>
      <c r="B2381" s="168" t="s">
        <v>379</v>
      </c>
      <c r="C2381" s="168" t="s">
        <v>119</v>
      </c>
      <c r="D2381" s="169" t="s">
        <v>348</v>
      </c>
    </row>
    <row r="2382">
      <c r="A2382" s="170">
        <v>43899.0</v>
      </c>
      <c r="B2382" s="168" t="s">
        <v>380</v>
      </c>
      <c r="C2382" s="168" t="s">
        <v>119</v>
      </c>
      <c r="D2382" s="169" t="s">
        <v>348</v>
      </c>
    </row>
    <row r="2383">
      <c r="A2383" s="170">
        <v>43900.0</v>
      </c>
      <c r="B2383" s="168" t="s">
        <v>380</v>
      </c>
      <c r="C2383" s="168" t="s">
        <v>119</v>
      </c>
      <c r="D2383" s="169" t="s">
        <v>348</v>
      </c>
    </row>
    <row r="2384">
      <c r="A2384" s="170">
        <v>43901.0</v>
      </c>
      <c r="B2384" s="168" t="s">
        <v>380</v>
      </c>
      <c r="C2384" s="168" t="s">
        <v>119</v>
      </c>
      <c r="D2384" s="169" t="s">
        <v>348</v>
      </c>
    </row>
    <row r="2385">
      <c r="A2385" s="170">
        <v>43902.0</v>
      </c>
      <c r="B2385" s="168" t="s">
        <v>380</v>
      </c>
      <c r="C2385" s="168" t="s">
        <v>119</v>
      </c>
      <c r="D2385" s="169" t="s">
        <v>348</v>
      </c>
    </row>
    <row r="2386">
      <c r="A2386" s="170">
        <v>43903.0</v>
      </c>
      <c r="B2386" s="168" t="s">
        <v>380</v>
      </c>
      <c r="C2386" s="168" t="s">
        <v>119</v>
      </c>
      <c r="D2386" s="169" t="s">
        <v>348</v>
      </c>
    </row>
    <row r="2387">
      <c r="A2387" s="170">
        <v>43904.0</v>
      </c>
      <c r="B2387" s="168" t="s">
        <v>380</v>
      </c>
      <c r="C2387" s="168" t="s">
        <v>119</v>
      </c>
      <c r="D2387" s="169" t="s">
        <v>348</v>
      </c>
    </row>
    <row r="2388">
      <c r="A2388" s="170">
        <v>43905.0</v>
      </c>
      <c r="B2388" s="168" t="s">
        <v>380</v>
      </c>
      <c r="C2388" s="168" t="s">
        <v>119</v>
      </c>
      <c r="D2388" s="169" t="s">
        <v>348</v>
      </c>
    </row>
    <row r="2389">
      <c r="A2389" s="170">
        <v>43906.0</v>
      </c>
      <c r="B2389" s="168" t="s">
        <v>381</v>
      </c>
      <c r="C2389" s="168" t="s">
        <v>119</v>
      </c>
      <c r="D2389" s="169" t="s">
        <v>349</v>
      </c>
    </row>
    <row r="2390">
      <c r="A2390" s="170">
        <v>43907.0</v>
      </c>
      <c r="B2390" s="168" t="s">
        <v>381</v>
      </c>
      <c r="C2390" s="168" t="s">
        <v>119</v>
      </c>
      <c r="D2390" s="169" t="s">
        <v>349</v>
      </c>
    </row>
    <row r="2391">
      <c r="A2391" s="170">
        <v>43908.0</v>
      </c>
      <c r="B2391" s="168" t="s">
        <v>381</v>
      </c>
      <c r="C2391" s="168" t="s">
        <v>119</v>
      </c>
      <c r="D2391" s="169" t="s">
        <v>349</v>
      </c>
    </row>
    <row r="2392">
      <c r="A2392" s="170">
        <v>43909.0</v>
      </c>
      <c r="B2392" s="168" t="s">
        <v>381</v>
      </c>
      <c r="C2392" s="168" t="s">
        <v>119</v>
      </c>
      <c r="D2392" s="169" t="s">
        <v>349</v>
      </c>
    </row>
    <row r="2393">
      <c r="A2393" s="170">
        <v>43910.0</v>
      </c>
      <c r="B2393" s="168" t="s">
        <v>381</v>
      </c>
      <c r="C2393" s="168" t="s">
        <v>119</v>
      </c>
      <c r="D2393" s="169" t="s">
        <v>349</v>
      </c>
    </row>
    <row r="2394">
      <c r="A2394" s="170">
        <v>43911.0</v>
      </c>
      <c r="B2394" s="168" t="s">
        <v>381</v>
      </c>
      <c r="C2394" s="168" t="s">
        <v>119</v>
      </c>
      <c r="D2394" s="169" t="s">
        <v>349</v>
      </c>
    </row>
    <row r="2395">
      <c r="A2395" s="170">
        <v>43912.0</v>
      </c>
      <c r="B2395" s="168" t="s">
        <v>381</v>
      </c>
      <c r="C2395" s="168" t="s">
        <v>119</v>
      </c>
      <c r="D2395" s="169" t="s">
        <v>349</v>
      </c>
    </row>
    <row r="2396">
      <c r="A2396" s="170">
        <v>43913.0</v>
      </c>
      <c r="B2396" s="168" t="s">
        <v>382</v>
      </c>
      <c r="C2396" s="168" t="s">
        <v>119</v>
      </c>
      <c r="D2396" s="169" t="s">
        <v>349</v>
      </c>
    </row>
    <row r="2397">
      <c r="A2397" s="170">
        <v>43914.0</v>
      </c>
      <c r="B2397" s="168" t="s">
        <v>382</v>
      </c>
      <c r="C2397" s="168" t="s">
        <v>119</v>
      </c>
      <c r="D2397" s="169" t="s">
        <v>349</v>
      </c>
    </row>
    <row r="2398">
      <c r="A2398" s="170">
        <v>43915.0</v>
      </c>
      <c r="B2398" s="168" t="s">
        <v>382</v>
      </c>
      <c r="C2398" s="168" t="s">
        <v>119</v>
      </c>
      <c r="D2398" s="169" t="s">
        <v>349</v>
      </c>
    </row>
    <row r="2399">
      <c r="A2399" s="170">
        <v>43916.0</v>
      </c>
      <c r="B2399" s="168" t="s">
        <v>382</v>
      </c>
      <c r="C2399" s="168" t="s">
        <v>119</v>
      </c>
      <c r="D2399" s="169" t="s">
        <v>349</v>
      </c>
    </row>
    <row r="2400">
      <c r="A2400" s="170">
        <v>43917.0</v>
      </c>
      <c r="B2400" s="168" t="s">
        <v>382</v>
      </c>
      <c r="C2400" s="168" t="s">
        <v>119</v>
      </c>
      <c r="D2400" s="169" t="s">
        <v>349</v>
      </c>
    </row>
    <row r="2401">
      <c r="A2401" s="170">
        <v>43918.0</v>
      </c>
      <c r="B2401" s="168" t="s">
        <v>382</v>
      </c>
      <c r="C2401" s="168" t="s">
        <v>119</v>
      </c>
      <c r="D2401" s="169" t="s">
        <v>349</v>
      </c>
    </row>
    <row r="2402">
      <c r="A2402" s="170">
        <v>43919.0</v>
      </c>
      <c r="B2402" s="168" t="s">
        <v>382</v>
      </c>
      <c r="C2402" s="168" t="s">
        <v>119</v>
      </c>
      <c r="D2402" s="169" t="s">
        <v>349</v>
      </c>
    </row>
    <row r="2403">
      <c r="A2403" s="170">
        <v>43920.0</v>
      </c>
      <c r="B2403" s="168" t="s">
        <v>383</v>
      </c>
      <c r="C2403" s="168" t="s">
        <v>119</v>
      </c>
      <c r="D2403" s="169" t="s">
        <v>349</v>
      </c>
    </row>
    <row r="2404">
      <c r="A2404" s="170">
        <v>43921.0</v>
      </c>
      <c r="B2404" s="168" t="s">
        <v>383</v>
      </c>
      <c r="C2404" s="168" t="s">
        <v>119</v>
      </c>
      <c r="D2404" s="169" t="s">
        <v>349</v>
      </c>
    </row>
    <row r="2405">
      <c r="A2405" s="170">
        <v>43922.0</v>
      </c>
      <c r="B2405" s="168" t="s">
        <v>383</v>
      </c>
      <c r="C2405" s="168" t="s">
        <v>119</v>
      </c>
      <c r="D2405" s="169" t="s">
        <v>349</v>
      </c>
    </row>
    <row r="2406">
      <c r="A2406" s="170">
        <v>43923.0</v>
      </c>
      <c r="B2406" s="168" t="s">
        <v>383</v>
      </c>
      <c r="C2406" s="168" t="s">
        <v>119</v>
      </c>
      <c r="D2406" s="169" t="s">
        <v>349</v>
      </c>
    </row>
    <row r="2407">
      <c r="A2407" s="170">
        <v>43924.0</v>
      </c>
      <c r="B2407" s="168" t="s">
        <v>383</v>
      </c>
      <c r="C2407" s="168" t="s">
        <v>119</v>
      </c>
      <c r="D2407" s="169" t="s">
        <v>349</v>
      </c>
    </row>
    <row r="2408">
      <c r="A2408" s="170">
        <v>43925.0</v>
      </c>
      <c r="B2408" s="168" t="s">
        <v>383</v>
      </c>
      <c r="C2408" s="168" t="s">
        <v>119</v>
      </c>
      <c r="D2408" s="169" t="s">
        <v>349</v>
      </c>
    </row>
    <row r="2409">
      <c r="A2409" s="170">
        <v>43926.0</v>
      </c>
      <c r="B2409" s="168" t="s">
        <v>383</v>
      </c>
      <c r="C2409" s="168" t="s">
        <v>119</v>
      </c>
      <c r="D2409" s="169" t="s">
        <v>349</v>
      </c>
    </row>
    <row r="2410">
      <c r="A2410" s="170">
        <v>43927.0</v>
      </c>
      <c r="B2410" s="168" t="s">
        <v>384</v>
      </c>
      <c r="C2410" s="168" t="s">
        <v>119</v>
      </c>
      <c r="D2410" s="169" t="s">
        <v>349</v>
      </c>
    </row>
    <row r="2411">
      <c r="A2411" s="170">
        <v>43928.0</v>
      </c>
      <c r="B2411" s="168" t="s">
        <v>384</v>
      </c>
      <c r="C2411" s="168" t="s">
        <v>119</v>
      </c>
      <c r="D2411" s="169" t="s">
        <v>349</v>
      </c>
    </row>
    <row r="2412">
      <c r="A2412" s="170">
        <v>43929.0</v>
      </c>
      <c r="B2412" s="168" t="s">
        <v>384</v>
      </c>
      <c r="C2412" s="168" t="s">
        <v>119</v>
      </c>
      <c r="D2412" s="169" t="s">
        <v>349</v>
      </c>
    </row>
    <row r="2413">
      <c r="A2413" s="170">
        <v>43930.0</v>
      </c>
      <c r="B2413" s="168" t="s">
        <v>384</v>
      </c>
      <c r="C2413" s="168" t="s">
        <v>119</v>
      </c>
      <c r="D2413" s="169" t="s">
        <v>349</v>
      </c>
    </row>
    <row r="2414">
      <c r="A2414" s="170">
        <v>43931.0</v>
      </c>
      <c r="B2414" s="168" t="s">
        <v>384</v>
      </c>
      <c r="C2414" s="168" t="s">
        <v>119</v>
      </c>
      <c r="D2414" s="169" t="s">
        <v>349</v>
      </c>
    </row>
    <row r="2415">
      <c r="A2415" s="170">
        <v>43932.0</v>
      </c>
      <c r="B2415" s="168" t="s">
        <v>384</v>
      </c>
      <c r="C2415" s="168" t="s">
        <v>119</v>
      </c>
      <c r="D2415" s="169" t="s">
        <v>349</v>
      </c>
    </row>
    <row r="2416">
      <c r="A2416" s="170">
        <v>43933.0</v>
      </c>
      <c r="B2416" s="168" t="s">
        <v>384</v>
      </c>
      <c r="C2416" s="168" t="s">
        <v>119</v>
      </c>
      <c r="D2416" s="169" t="s">
        <v>349</v>
      </c>
    </row>
    <row r="2417">
      <c r="A2417" s="170">
        <v>43934.0</v>
      </c>
      <c r="B2417" s="168" t="s">
        <v>385</v>
      </c>
      <c r="C2417" s="168" t="s">
        <v>119</v>
      </c>
      <c r="D2417" s="169" t="s">
        <v>351</v>
      </c>
    </row>
    <row r="2418">
      <c r="A2418" s="170">
        <v>43935.0</v>
      </c>
      <c r="B2418" s="168" t="s">
        <v>385</v>
      </c>
      <c r="C2418" s="168" t="s">
        <v>119</v>
      </c>
      <c r="D2418" s="169" t="s">
        <v>351</v>
      </c>
    </row>
    <row r="2419">
      <c r="A2419" s="170">
        <v>43936.0</v>
      </c>
      <c r="B2419" s="168" t="s">
        <v>385</v>
      </c>
      <c r="C2419" s="168" t="s">
        <v>119</v>
      </c>
      <c r="D2419" s="169" t="s">
        <v>351</v>
      </c>
    </row>
    <row r="2420">
      <c r="A2420" s="170">
        <v>43937.0</v>
      </c>
      <c r="B2420" s="168" t="s">
        <v>385</v>
      </c>
      <c r="C2420" s="168" t="s">
        <v>119</v>
      </c>
      <c r="D2420" s="169" t="s">
        <v>351</v>
      </c>
    </row>
    <row r="2421">
      <c r="A2421" s="170">
        <v>43938.0</v>
      </c>
      <c r="B2421" s="168" t="s">
        <v>385</v>
      </c>
      <c r="C2421" s="168" t="s">
        <v>119</v>
      </c>
      <c r="D2421" s="169" t="s">
        <v>351</v>
      </c>
    </row>
    <row r="2422">
      <c r="A2422" s="170">
        <v>43939.0</v>
      </c>
      <c r="B2422" s="168" t="s">
        <v>385</v>
      </c>
      <c r="C2422" s="168" t="s">
        <v>119</v>
      </c>
      <c r="D2422" s="169" t="s">
        <v>351</v>
      </c>
    </row>
    <row r="2423">
      <c r="A2423" s="170">
        <v>43940.0</v>
      </c>
      <c r="B2423" s="168" t="s">
        <v>385</v>
      </c>
      <c r="C2423" s="168" t="s">
        <v>119</v>
      </c>
      <c r="D2423" s="169" t="s">
        <v>351</v>
      </c>
    </row>
    <row r="2424">
      <c r="A2424" s="170">
        <v>43941.0</v>
      </c>
      <c r="B2424" s="168" t="s">
        <v>386</v>
      </c>
      <c r="C2424" s="168" t="s">
        <v>119</v>
      </c>
      <c r="D2424" s="169" t="s">
        <v>351</v>
      </c>
    </row>
    <row r="2425">
      <c r="A2425" s="170">
        <v>43942.0</v>
      </c>
      <c r="B2425" s="168" t="s">
        <v>386</v>
      </c>
      <c r="C2425" s="168" t="s">
        <v>119</v>
      </c>
      <c r="D2425" s="169" t="s">
        <v>351</v>
      </c>
    </row>
    <row r="2426">
      <c r="A2426" s="170">
        <v>43943.0</v>
      </c>
      <c r="B2426" s="168" t="s">
        <v>386</v>
      </c>
      <c r="C2426" s="168" t="s">
        <v>119</v>
      </c>
      <c r="D2426" s="169" t="s">
        <v>351</v>
      </c>
    </row>
    <row r="2427">
      <c r="A2427" s="170">
        <v>43944.0</v>
      </c>
      <c r="B2427" s="168" t="s">
        <v>386</v>
      </c>
      <c r="C2427" s="168" t="s">
        <v>119</v>
      </c>
      <c r="D2427" s="169" t="s">
        <v>351</v>
      </c>
    </row>
    <row r="2428">
      <c r="A2428" s="170">
        <v>43945.0</v>
      </c>
      <c r="B2428" s="168" t="s">
        <v>386</v>
      </c>
      <c r="C2428" s="168" t="s">
        <v>119</v>
      </c>
      <c r="D2428" s="169" t="s">
        <v>351</v>
      </c>
    </row>
    <row r="2429">
      <c r="A2429" s="170">
        <v>43946.0</v>
      </c>
      <c r="B2429" s="168" t="s">
        <v>386</v>
      </c>
      <c r="C2429" s="168" t="s">
        <v>119</v>
      </c>
      <c r="D2429" s="169" t="s">
        <v>351</v>
      </c>
    </row>
    <row r="2430">
      <c r="A2430" s="170">
        <v>43947.0</v>
      </c>
      <c r="B2430" s="168" t="s">
        <v>386</v>
      </c>
      <c r="C2430" s="168" t="s">
        <v>119</v>
      </c>
      <c r="D2430" s="169" t="s">
        <v>351</v>
      </c>
    </row>
    <row r="2431">
      <c r="A2431" s="170">
        <v>43948.0</v>
      </c>
      <c r="B2431" s="168" t="s">
        <v>387</v>
      </c>
      <c r="C2431" s="168" t="s">
        <v>119</v>
      </c>
      <c r="D2431" s="169" t="s">
        <v>351</v>
      </c>
    </row>
    <row r="2432">
      <c r="A2432" s="170">
        <v>43949.0</v>
      </c>
      <c r="B2432" s="168" t="s">
        <v>387</v>
      </c>
      <c r="C2432" s="168" t="s">
        <v>119</v>
      </c>
      <c r="D2432" s="169" t="s">
        <v>351</v>
      </c>
    </row>
    <row r="2433">
      <c r="A2433" s="170">
        <v>43950.0</v>
      </c>
      <c r="B2433" s="168" t="s">
        <v>387</v>
      </c>
      <c r="C2433" s="168" t="s">
        <v>119</v>
      </c>
      <c r="D2433" s="169" t="s">
        <v>351</v>
      </c>
    </row>
    <row r="2434">
      <c r="A2434" s="170">
        <v>43951.0</v>
      </c>
      <c r="B2434" s="168" t="s">
        <v>387</v>
      </c>
      <c r="C2434" s="168" t="s">
        <v>119</v>
      </c>
      <c r="D2434" s="169" t="s">
        <v>351</v>
      </c>
    </row>
    <row r="2435">
      <c r="A2435" s="170">
        <v>43952.0</v>
      </c>
      <c r="B2435" s="168" t="s">
        <v>387</v>
      </c>
      <c r="C2435" s="168" t="s">
        <v>119</v>
      </c>
      <c r="D2435" s="169" t="s">
        <v>351</v>
      </c>
    </row>
    <row r="2436">
      <c r="A2436" s="170">
        <v>43953.0</v>
      </c>
      <c r="B2436" s="168" t="s">
        <v>387</v>
      </c>
      <c r="C2436" s="168" t="s">
        <v>119</v>
      </c>
      <c r="D2436" s="169" t="s">
        <v>351</v>
      </c>
    </row>
    <row r="2437">
      <c r="A2437" s="170">
        <v>43954.0</v>
      </c>
      <c r="B2437" s="168" t="s">
        <v>387</v>
      </c>
      <c r="C2437" s="168" t="s">
        <v>119</v>
      </c>
      <c r="D2437" s="169" t="s">
        <v>351</v>
      </c>
    </row>
    <row r="2438">
      <c r="A2438" s="170">
        <v>43955.0</v>
      </c>
      <c r="B2438" s="168" t="s">
        <v>388</v>
      </c>
      <c r="C2438" s="168" t="s">
        <v>119</v>
      </c>
      <c r="D2438" s="169" t="s">
        <v>351</v>
      </c>
    </row>
    <row r="2439">
      <c r="A2439" s="170">
        <v>43956.0</v>
      </c>
      <c r="B2439" s="168" t="s">
        <v>388</v>
      </c>
      <c r="C2439" s="168" t="s">
        <v>119</v>
      </c>
      <c r="D2439" s="169" t="s">
        <v>351</v>
      </c>
    </row>
    <row r="2440">
      <c r="A2440" s="170">
        <v>43957.0</v>
      </c>
      <c r="B2440" s="168" t="s">
        <v>388</v>
      </c>
      <c r="C2440" s="168" t="s">
        <v>119</v>
      </c>
      <c r="D2440" s="169" t="s">
        <v>351</v>
      </c>
    </row>
    <row r="2441">
      <c r="A2441" s="170">
        <v>43958.0</v>
      </c>
      <c r="B2441" s="168" t="s">
        <v>388</v>
      </c>
      <c r="C2441" s="168" t="s">
        <v>119</v>
      </c>
      <c r="D2441" s="169" t="s">
        <v>351</v>
      </c>
    </row>
    <row r="2442">
      <c r="A2442" s="170">
        <v>43959.0</v>
      </c>
      <c r="B2442" s="168" t="s">
        <v>388</v>
      </c>
      <c r="C2442" s="168" t="s">
        <v>119</v>
      </c>
      <c r="D2442" s="169" t="s">
        <v>351</v>
      </c>
    </row>
    <row r="2443">
      <c r="A2443" s="170">
        <v>43960.0</v>
      </c>
      <c r="B2443" s="168" t="s">
        <v>388</v>
      </c>
      <c r="C2443" s="168" t="s">
        <v>119</v>
      </c>
      <c r="D2443" s="169" t="s">
        <v>351</v>
      </c>
    </row>
    <row r="2444">
      <c r="A2444" s="170">
        <v>43961.0</v>
      </c>
      <c r="B2444" s="168" t="s">
        <v>388</v>
      </c>
      <c r="C2444" s="168" t="s">
        <v>119</v>
      </c>
      <c r="D2444" s="169" t="s">
        <v>351</v>
      </c>
    </row>
    <row r="2445">
      <c r="A2445" s="170">
        <v>43962.0</v>
      </c>
      <c r="B2445" s="168" t="s">
        <v>389</v>
      </c>
      <c r="C2445" s="168" t="s">
        <v>119</v>
      </c>
      <c r="D2445" s="169" t="s">
        <v>352</v>
      </c>
    </row>
    <row r="2446">
      <c r="A2446" s="170">
        <v>43963.0</v>
      </c>
      <c r="B2446" s="168" t="s">
        <v>389</v>
      </c>
      <c r="C2446" s="168" t="s">
        <v>119</v>
      </c>
      <c r="D2446" s="169" t="s">
        <v>352</v>
      </c>
    </row>
    <row r="2447">
      <c r="A2447" s="170">
        <v>43964.0</v>
      </c>
      <c r="B2447" s="168" t="s">
        <v>389</v>
      </c>
      <c r="C2447" s="168" t="s">
        <v>119</v>
      </c>
      <c r="D2447" s="169" t="s">
        <v>352</v>
      </c>
    </row>
    <row r="2448">
      <c r="A2448" s="170">
        <v>43965.0</v>
      </c>
      <c r="B2448" s="168" t="s">
        <v>389</v>
      </c>
      <c r="C2448" s="168" t="s">
        <v>119</v>
      </c>
      <c r="D2448" s="169" t="s">
        <v>352</v>
      </c>
    </row>
    <row r="2449">
      <c r="A2449" s="170">
        <v>43966.0</v>
      </c>
      <c r="B2449" s="168" t="s">
        <v>389</v>
      </c>
      <c r="C2449" s="168" t="s">
        <v>119</v>
      </c>
      <c r="D2449" s="169" t="s">
        <v>352</v>
      </c>
    </row>
    <row r="2450">
      <c r="A2450" s="170">
        <v>43967.0</v>
      </c>
      <c r="B2450" s="168" t="s">
        <v>389</v>
      </c>
      <c r="C2450" s="168" t="s">
        <v>119</v>
      </c>
      <c r="D2450" s="169" t="s">
        <v>352</v>
      </c>
    </row>
    <row r="2451">
      <c r="A2451" s="170">
        <v>43968.0</v>
      </c>
      <c r="B2451" s="168" t="s">
        <v>389</v>
      </c>
      <c r="C2451" s="168" t="s">
        <v>119</v>
      </c>
      <c r="D2451" s="169" t="s">
        <v>352</v>
      </c>
    </row>
    <row r="2452">
      <c r="A2452" s="170">
        <v>43969.0</v>
      </c>
      <c r="B2452" s="168" t="s">
        <v>390</v>
      </c>
      <c r="C2452" s="168" t="s">
        <v>119</v>
      </c>
      <c r="D2452" s="169" t="s">
        <v>352</v>
      </c>
    </row>
    <row r="2453">
      <c r="A2453" s="170">
        <v>43970.0</v>
      </c>
      <c r="B2453" s="168" t="s">
        <v>390</v>
      </c>
      <c r="C2453" s="168" t="s">
        <v>119</v>
      </c>
      <c r="D2453" s="169" t="s">
        <v>352</v>
      </c>
    </row>
    <row r="2454">
      <c r="A2454" s="170">
        <v>43971.0</v>
      </c>
      <c r="B2454" s="168" t="s">
        <v>390</v>
      </c>
      <c r="C2454" s="168" t="s">
        <v>119</v>
      </c>
      <c r="D2454" s="169" t="s">
        <v>352</v>
      </c>
    </row>
    <row r="2455">
      <c r="A2455" s="170">
        <v>43972.0</v>
      </c>
      <c r="B2455" s="168" t="s">
        <v>390</v>
      </c>
      <c r="C2455" s="168" t="s">
        <v>119</v>
      </c>
      <c r="D2455" s="169" t="s">
        <v>352</v>
      </c>
    </row>
    <row r="2456">
      <c r="A2456" s="170">
        <v>43973.0</v>
      </c>
      <c r="B2456" s="168" t="s">
        <v>390</v>
      </c>
      <c r="C2456" s="168" t="s">
        <v>119</v>
      </c>
      <c r="D2456" s="169" t="s">
        <v>352</v>
      </c>
    </row>
    <row r="2457">
      <c r="A2457" s="170">
        <v>43974.0</v>
      </c>
      <c r="B2457" s="168" t="s">
        <v>390</v>
      </c>
      <c r="C2457" s="168" t="s">
        <v>119</v>
      </c>
      <c r="D2457" s="169" t="s">
        <v>352</v>
      </c>
    </row>
    <row r="2458">
      <c r="A2458" s="170">
        <v>43975.0</v>
      </c>
      <c r="B2458" s="168" t="s">
        <v>390</v>
      </c>
      <c r="C2458" s="168" t="s">
        <v>119</v>
      </c>
      <c r="D2458" s="169" t="s">
        <v>352</v>
      </c>
    </row>
    <row r="2459">
      <c r="A2459" s="170">
        <v>43976.0</v>
      </c>
      <c r="B2459" s="168" t="s">
        <v>391</v>
      </c>
      <c r="C2459" s="168" t="s">
        <v>119</v>
      </c>
      <c r="D2459" s="169" t="s">
        <v>352</v>
      </c>
    </row>
    <row r="2460">
      <c r="A2460" s="170">
        <v>43977.0</v>
      </c>
      <c r="B2460" s="168" t="s">
        <v>391</v>
      </c>
      <c r="C2460" s="168" t="s">
        <v>119</v>
      </c>
      <c r="D2460" s="169" t="s">
        <v>352</v>
      </c>
    </row>
    <row r="2461">
      <c r="A2461" s="170">
        <v>43978.0</v>
      </c>
      <c r="B2461" s="168" t="s">
        <v>391</v>
      </c>
      <c r="C2461" s="168" t="s">
        <v>119</v>
      </c>
      <c r="D2461" s="169" t="s">
        <v>352</v>
      </c>
    </row>
    <row r="2462">
      <c r="A2462" s="170">
        <v>43979.0</v>
      </c>
      <c r="B2462" s="168" t="s">
        <v>391</v>
      </c>
      <c r="C2462" s="168" t="s">
        <v>119</v>
      </c>
      <c r="D2462" s="169" t="s">
        <v>352</v>
      </c>
    </row>
    <row r="2463">
      <c r="A2463" s="170">
        <v>43980.0</v>
      </c>
      <c r="B2463" s="168" t="s">
        <v>391</v>
      </c>
      <c r="C2463" s="168" t="s">
        <v>119</v>
      </c>
      <c r="D2463" s="169" t="s">
        <v>352</v>
      </c>
    </row>
    <row r="2464">
      <c r="A2464" s="170">
        <v>43981.0</v>
      </c>
      <c r="B2464" s="168" t="s">
        <v>391</v>
      </c>
      <c r="C2464" s="168" t="s">
        <v>119</v>
      </c>
      <c r="D2464" s="169" t="s">
        <v>352</v>
      </c>
    </row>
    <row r="2465">
      <c r="A2465" s="170">
        <v>43982.0</v>
      </c>
      <c r="B2465" s="168" t="s">
        <v>391</v>
      </c>
      <c r="C2465" s="168" t="s">
        <v>119</v>
      </c>
      <c r="D2465" s="169" t="s">
        <v>352</v>
      </c>
    </row>
    <row r="2466">
      <c r="A2466" s="170">
        <v>43983.0</v>
      </c>
      <c r="B2466" s="168" t="s">
        <v>392</v>
      </c>
      <c r="C2466" s="168" t="s">
        <v>119</v>
      </c>
      <c r="D2466" s="169" t="s">
        <v>352</v>
      </c>
    </row>
    <row r="2467">
      <c r="A2467" s="170">
        <v>43984.0</v>
      </c>
      <c r="B2467" s="168" t="s">
        <v>392</v>
      </c>
      <c r="C2467" s="168" t="s">
        <v>119</v>
      </c>
      <c r="D2467" s="169" t="s">
        <v>352</v>
      </c>
    </row>
    <row r="2468">
      <c r="A2468" s="170">
        <v>43985.0</v>
      </c>
      <c r="B2468" s="168" t="s">
        <v>392</v>
      </c>
      <c r="C2468" s="168" t="s">
        <v>119</v>
      </c>
      <c r="D2468" s="169" t="s">
        <v>352</v>
      </c>
    </row>
    <row r="2469">
      <c r="A2469" s="170">
        <v>43986.0</v>
      </c>
      <c r="B2469" s="168" t="s">
        <v>392</v>
      </c>
      <c r="C2469" s="168" t="s">
        <v>119</v>
      </c>
      <c r="D2469" s="169" t="s">
        <v>352</v>
      </c>
    </row>
    <row r="2470">
      <c r="A2470" s="170">
        <v>43987.0</v>
      </c>
      <c r="B2470" s="168" t="s">
        <v>392</v>
      </c>
      <c r="C2470" s="168" t="s">
        <v>119</v>
      </c>
      <c r="D2470" s="169" t="s">
        <v>352</v>
      </c>
    </row>
    <row r="2471">
      <c r="A2471" s="170">
        <v>43988.0</v>
      </c>
      <c r="B2471" s="168" t="s">
        <v>392</v>
      </c>
      <c r="C2471" s="168" t="s">
        <v>119</v>
      </c>
      <c r="D2471" s="169" t="s">
        <v>352</v>
      </c>
    </row>
    <row r="2472">
      <c r="A2472" s="170">
        <v>43989.0</v>
      </c>
      <c r="B2472" s="168" t="s">
        <v>392</v>
      </c>
      <c r="C2472" s="168" t="s">
        <v>119</v>
      </c>
      <c r="D2472" s="169" t="s">
        <v>352</v>
      </c>
    </row>
    <row r="2473">
      <c r="A2473" s="170">
        <v>43990.0</v>
      </c>
      <c r="B2473" s="168" t="s">
        <v>393</v>
      </c>
      <c r="C2473" s="168" t="s">
        <v>119</v>
      </c>
      <c r="D2473" s="169" t="s">
        <v>353</v>
      </c>
    </row>
    <row r="2474">
      <c r="A2474" s="170">
        <v>43991.0</v>
      </c>
      <c r="B2474" s="168" t="s">
        <v>393</v>
      </c>
      <c r="C2474" s="168" t="s">
        <v>119</v>
      </c>
      <c r="D2474" s="169" t="s">
        <v>353</v>
      </c>
    </row>
    <row r="2475">
      <c r="A2475" s="170">
        <v>43992.0</v>
      </c>
      <c r="B2475" s="168" t="s">
        <v>393</v>
      </c>
      <c r="C2475" s="168" t="s">
        <v>119</v>
      </c>
      <c r="D2475" s="169" t="s">
        <v>353</v>
      </c>
    </row>
    <row r="2476">
      <c r="A2476" s="170">
        <v>43993.0</v>
      </c>
      <c r="B2476" s="168" t="s">
        <v>393</v>
      </c>
      <c r="C2476" s="168" t="s">
        <v>119</v>
      </c>
      <c r="D2476" s="169" t="s">
        <v>353</v>
      </c>
    </row>
    <row r="2477">
      <c r="A2477" s="170">
        <v>43994.0</v>
      </c>
      <c r="B2477" s="168" t="s">
        <v>393</v>
      </c>
      <c r="C2477" s="168" t="s">
        <v>119</v>
      </c>
      <c r="D2477" s="169" t="s">
        <v>353</v>
      </c>
    </row>
    <row r="2478">
      <c r="A2478" s="170">
        <v>43995.0</v>
      </c>
      <c r="B2478" s="168" t="s">
        <v>393</v>
      </c>
      <c r="C2478" s="168" t="s">
        <v>119</v>
      </c>
      <c r="D2478" s="169" t="s">
        <v>353</v>
      </c>
    </row>
    <row r="2479">
      <c r="A2479" s="170">
        <v>43996.0</v>
      </c>
      <c r="B2479" s="168" t="s">
        <v>393</v>
      </c>
      <c r="C2479" s="168" t="s">
        <v>119</v>
      </c>
      <c r="D2479" s="169" t="s">
        <v>353</v>
      </c>
    </row>
    <row r="2480">
      <c r="A2480" s="170">
        <v>43997.0</v>
      </c>
      <c r="B2480" s="168" t="s">
        <v>394</v>
      </c>
      <c r="C2480" s="168" t="s">
        <v>119</v>
      </c>
      <c r="D2480" s="169" t="s">
        <v>353</v>
      </c>
    </row>
    <row r="2481">
      <c r="A2481" s="170">
        <v>43998.0</v>
      </c>
      <c r="B2481" s="168" t="s">
        <v>394</v>
      </c>
      <c r="C2481" s="168" t="s">
        <v>119</v>
      </c>
      <c r="D2481" s="169" t="s">
        <v>353</v>
      </c>
    </row>
    <row r="2482">
      <c r="A2482" s="170">
        <v>43999.0</v>
      </c>
      <c r="B2482" s="168" t="s">
        <v>394</v>
      </c>
      <c r="C2482" s="168" t="s">
        <v>119</v>
      </c>
      <c r="D2482" s="169" t="s">
        <v>353</v>
      </c>
    </row>
    <row r="2483">
      <c r="A2483" s="170">
        <v>44000.0</v>
      </c>
      <c r="B2483" s="168" t="s">
        <v>394</v>
      </c>
      <c r="C2483" s="168" t="s">
        <v>119</v>
      </c>
      <c r="D2483" s="169" t="s">
        <v>353</v>
      </c>
    </row>
    <row r="2484">
      <c r="A2484" s="170">
        <v>44001.0</v>
      </c>
      <c r="B2484" s="168" t="s">
        <v>394</v>
      </c>
      <c r="C2484" s="168" t="s">
        <v>119</v>
      </c>
      <c r="D2484" s="169" t="s">
        <v>353</v>
      </c>
    </row>
    <row r="2485">
      <c r="A2485" s="170">
        <v>44002.0</v>
      </c>
      <c r="B2485" s="168" t="s">
        <v>394</v>
      </c>
      <c r="C2485" s="168" t="s">
        <v>119</v>
      </c>
      <c r="D2485" s="169" t="s">
        <v>353</v>
      </c>
    </row>
    <row r="2486">
      <c r="A2486" s="170">
        <v>44003.0</v>
      </c>
      <c r="B2486" s="168" t="s">
        <v>394</v>
      </c>
      <c r="C2486" s="168" t="s">
        <v>119</v>
      </c>
      <c r="D2486" s="169" t="s">
        <v>353</v>
      </c>
    </row>
    <row r="2487">
      <c r="A2487" s="170">
        <v>44004.0</v>
      </c>
      <c r="B2487" s="168" t="s">
        <v>395</v>
      </c>
      <c r="C2487" s="168" t="s">
        <v>119</v>
      </c>
      <c r="D2487" s="169" t="s">
        <v>353</v>
      </c>
    </row>
    <row r="2488">
      <c r="A2488" s="170">
        <v>44005.0</v>
      </c>
      <c r="B2488" s="168" t="s">
        <v>395</v>
      </c>
      <c r="C2488" s="168" t="s">
        <v>119</v>
      </c>
      <c r="D2488" s="169" t="s">
        <v>353</v>
      </c>
    </row>
    <row r="2489">
      <c r="A2489" s="170">
        <v>44006.0</v>
      </c>
      <c r="B2489" s="168" t="s">
        <v>395</v>
      </c>
      <c r="C2489" s="168" t="s">
        <v>119</v>
      </c>
      <c r="D2489" s="169" t="s">
        <v>353</v>
      </c>
    </row>
    <row r="2490">
      <c r="A2490" s="170">
        <v>44007.0</v>
      </c>
      <c r="B2490" s="168" t="s">
        <v>395</v>
      </c>
      <c r="C2490" s="168" t="s">
        <v>119</v>
      </c>
      <c r="D2490" s="169" t="s">
        <v>353</v>
      </c>
    </row>
    <row r="2491">
      <c r="A2491" s="170">
        <v>44008.0</v>
      </c>
      <c r="B2491" s="168" t="s">
        <v>395</v>
      </c>
      <c r="C2491" s="168" t="s">
        <v>119</v>
      </c>
      <c r="D2491" s="169" t="s">
        <v>353</v>
      </c>
    </row>
    <row r="2492">
      <c r="A2492" s="170">
        <v>44009.0</v>
      </c>
      <c r="B2492" s="168" t="s">
        <v>395</v>
      </c>
      <c r="C2492" s="168" t="s">
        <v>119</v>
      </c>
      <c r="D2492" s="169" t="s">
        <v>353</v>
      </c>
    </row>
    <row r="2493">
      <c r="A2493" s="170">
        <v>44010.0</v>
      </c>
      <c r="B2493" s="168" t="s">
        <v>395</v>
      </c>
      <c r="C2493" s="168" t="s">
        <v>119</v>
      </c>
      <c r="D2493" s="169" t="s">
        <v>353</v>
      </c>
    </row>
    <row r="2494">
      <c r="A2494" s="170">
        <v>44011.0</v>
      </c>
      <c r="B2494" s="168" t="s">
        <v>396</v>
      </c>
      <c r="C2494" s="168" t="s">
        <v>119</v>
      </c>
      <c r="D2494" s="169" t="s">
        <v>353</v>
      </c>
    </row>
    <row r="2495">
      <c r="A2495" s="170">
        <v>44012.0</v>
      </c>
      <c r="B2495" s="168" t="s">
        <v>396</v>
      </c>
      <c r="C2495" s="168" t="s">
        <v>119</v>
      </c>
      <c r="D2495" s="169" t="s">
        <v>353</v>
      </c>
    </row>
    <row r="2496">
      <c r="A2496" s="170">
        <v>44013.0</v>
      </c>
      <c r="B2496" s="168" t="s">
        <v>396</v>
      </c>
      <c r="C2496" s="168" t="s">
        <v>119</v>
      </c>
      <c r="D2496" s="169" t="s">
        <v>353</v>
      </c>
    </row>
    <row r="2497">
      <c r="A2497" s="170">
        <v>44014.0</v>
      </c>
      <c r="B2497" s="168" t="s">
        <v>396</v>
      </c>
      <c r="C2497" s="168" t="s">
        <v>119</v>
      </c>
      <c r="D2497" s="169" t="s">
        <v>353</v>
      </c>
    </row>
    <row r="2498">
      <c r="A2498" s="170">
        <v>44015.0</v>
      </c>
      <c r="B2498" s="168" t="s">
        <v>396</v>
      </c>
      <c r="C2498" s="168" t="s">
        <v>119</v>
      </c>
      <c r="D2498" s="169" t="s">
        <v>353</v>
      </c>
    </row>
    <row r="2499">
      <c r="A2499" s="170">
        <v>44016.0</v>
      </c>
      <c r="B2499" s="168" t="s">
        <v>396</v>
      </c>
      <c r="C2499" s="168" t="s">
        <v>119</v>
      </c>
      <c r="D2499" s="169" t="s">
        <v>353</v>
      </c>
    </row>
    <row r="2500">
      <c r="A2500" s="170">
        <v>44017.0</v>
      </c>
      <c r="B2500" s="168" t="s">
        <v>396</v>
      </c>
      <c r="C2500" s="168" t="s">
        <v>119</v>
      </c>
      <c r="D2500" s="169" t="s">
        <v>353</v>
      </c>
    </row>
    <row r="2501">
      <c r="A2501" s="170">
        <v>44018.0</v>
      </c>
      <c r="B2501" s="168" t="s">
        <v>397</v>
      </c>
      <c r="C2501" s="168" t="s">
        <v>119</v>
      </c>
      <c r="D2501" s="169" t="s">
        <v>354</v>
      </c>
    </row>
    <row r="2502">
      <c r="A2502" s="170">
        <v>44019.0</v>
      </c>
      <c r="B2502" s="168" t="s">
        <v>397</v>
      </c>
      <c r="C2502" s="168" t="s">
        <v>119</v>
      </c>
      <c r="D2502" s="169" t="s">
        <v>354</v>
      </c>
    </row>
    <row r="2503">
      <c r="A2503" s="170">
        <v>44020.0</v>
      </c>
      <c r="B2503" s="168" t="s">
        <v>397</v>
      </c>
      <c r="C2503" s="168" t="s">
        <v>119</v>
      </c>
      <c r="D2503" s="169" t="s">
        <v>354</v>
      </c>
    </row>
    <row r="2504">
      <c r="A2504" s="170">
        <v>44021.0</v>
      </c>
      <c r="B2504" s="168" t="s">
        <v>397</v>
      </c>
      <c r="C2504" s="168" t="s">
        <v>119</v>
      </c>
      <c r="D2504" s="169" t="s">
        <v>354</v>
      </c>
    </row>
    <row r="2505">
      <c r="A2505" s="170">
        <v>44022.0</v>
      </c>
      <c r="B2505" s="168" t="s">
        <v>397</v>
      </c>
      <c r="C2505" s="168" t="s">
        <v>119</v>
      </c>
      <c r="D2505" s="169" t="s">
        <v>354</v>
      </c>
    </row>
    <row r="2506">
      <c r="A2506" s="170">
        <v>44023.0</v>
      </c>
      <c r="B2506" s="168" t="s">
        <v>397</v>
      </c>
      <c r="C2506" s="168" t="s">
        <v>119</v>
      </c>
      <c r="D2506" s="169" t="s">
        <v>354</v>
      </c>
    </row>
    <row r="2507">
      <c r="A2507" s="170">
        <v>44024.0</v>
      </c>
      <c r="B2507" s="168" t="s">
        <v>397</v>
      </c>
      <c r="C2507" s="168" t="s">
        <v>119</v>
      </c>
      <c r="D2507" s="169" t="s">
        <v>354</v>
      </c>
    </row>
    <row r="2508">
      <c r="A2508" s="170">
        <v>44025.0</v>
      </c>
      <c r="B2508" s="168" t="s">
        <v>398</v>
      </c>
      <c r="C2508" s="168" t="s">
        <v>119</v>
      </c>
      <c r="D2508" s="169" t="s">
        <v>354</v>
      </c>
    </row>
    <row r="2509">
      <c r="A2509" s="170">
        <v>44026.0</v>
      </c>
      <c r="B2509" s="168" t="s">
        <v>398</v>
      </c>
      <c r="C2509" s="168" t="s">
        <v>119</v>
      </c>
      <c r="D2509" s="169" t="s">
        <v>354</v>
      </c>
    </row>
    <row r="2510">
      <c r="A2510" s="170">
        <v>44027.0</v>
      </c>
      <c r="B2510" s="168" t="s">
        <v>398</v>
      </c>
      <c r="C2510" s="168" t="s">
        <v>119</v>
      </c>
      <c r="D2510" s="169" t="s">
        <v>354</v>
      </c>
    </row>
    <row r="2511">
      <c r="A2511" s="170">
        <v>44028.0</v>
      </c>
      <c r="B2511" s="168" t="s">
        <v>398</v>
      </c>
      <c r="C2511" s="168" t="s">
        <v>119</v>
      </c>
      <c r="D2511" s="169" t="s">
        <v>354</v>
      </c>
    </row>
    <row r="2512">
      <c r="A2512" s="170">
        <v>44029.0</v>
      </c>
      <c r="B2512" s="168" t="s">
        <v>398</v>
      </c>
      <c r="C2512" s="168" t="s">
        <v>119</v>
      </c>
      <c r="D2512" s="169" t="s">
        <v>354</v>
      </c>
    </row>
    <row r="2513">
      <c r="A2513" s="170">
        <v>44030.0</v>
      </c>
      <c r="B2513" s="168" t="s">
        <v>398</v>
      </c>
      <c r="C2513" s="168" t="s">
        <v>119</v>
      </c>
      <c r="D2513" s="169" t="s">
        <v>354</v>
      </c>
    </row>
    <row r="2514">
      <c r="A2514" s="170">
        <v>44031.0</v>
      </c>
      <c r="B2514" s="168" t="s">
        <v>398</v>
      </c>
      <c r="C2514" s="168" t="s">
        <v>119</v>
      </c>
      <c r="D2514" s="169" t="s">
        <v>354</v>
      </c>
    </row>
    <row r="2515">
      <c r="A2515" s="170">
        <v>44032.0</v>
      </c>
      <c r="B2515" s="168" t="s">
        <v>399</v>
      </c>
      <c r="C2515" s="168" t="s">
        <v>119</v>
      </c>
      <c r="D2515" s="169" t="s">
        <v>354</v>
      </c>
    </row>
    <row r="2516">
      <c r="A2516" s="170">
        <v>44033.0</v>
      </c>
      <c r="B2516" s="168" t="s">
        <v>399</v>
      </c>
      <c r="C2516" s="168" t="s">
        <v>119</v>
      </c>
      <c r="D2516" s="169" t="s">
        <v>354</v>
      </c>
    </row>
    <row r="2517">
      <c r="A2517" s="170">
        <v>44034.0</v>
      </c>
      <c r="B2517" s="168" t="s">
        <v>399</v>
      </c>
      <c r="C2517" s="168" t="s">
        <v>119</v>
      </c>
      <c r="D2517" s="169" t="s">
        <v>354</v>
      </c>
    </row>
    <row r="2518">
      <c r="A2518" s="170">
        <v>44035.0</v>
      </c>
      <c r="B2518" s="168" t="s">
        <v>399</v>
      </c>
      <c r="C2518" s="168" t="s">
        <v>119</v>
      </c>
      <c r="D2518" s="169" t="s">
        <v>354</v>
      </c>
    </row>
    <row r="2519">
      <c r="A2519" s="170">
        <v>44036.0</v>
      </c>
      <c r="B2519" s="168" t="s">
        <v>399</v>
      </c>
      <c r="C2519" s="168" t="s">
        <v>119</v>
      </c>
      <c r="D2519" s="169" t="s">
        <v>354</v>
      </c>
    </row>
    <row r="2520">
      <c r="A2520" s="170">
        <v>44037.0</v>
      </c>
      <c r="B2520" s="168" t="s">
        <v>399</v>
      </c>
      <c r="C2520" s="168" t="s">
        <v>119</v>
      </c>
      <c r="D2520" s="169" t="s">
        <v>354</v>
      </c>
    </row>
    <row r="2521">
      <c r="A2521" s="170">
        <v>44038.0</v>
      </c>
      <c r="B2521" s="168" t="s">
        <v>399</v>
      </c>
      <c r="C2521" s="168" t="s">
        <v>119</v>
      </c>
      <c r="D2521" s="169" t="s">
        <v>354</v>
      </c>
    </row>
    <row r="2522">
      <c r="A2522" s="170">
        <v>44039.0</v>
      </c>
      <c r="B2522" s="168" t="s">
        <v>400</v>
      </c>
      <c r="C2522" s="168" t="s">
        <v>119</v>
      </c>
      <c r="D2522" s="169" t="s">
        <v>354</v>
      </c>
    </row>
    <row r="2523">
      <c r="A2523" s="170">
        <v>44040.0</v>
      </c>
      <c r="B2523" s="168" t="s">
        <v>400</v>
      </c>
      <c r="C2523" s="168" t="s">
        <v>119</v>
      </c>
      <c r="D2523" s="169" t="s">
        <v>354</v>
      </c>
    </row>
    <row r="2524">
      <c r="A2524" s="170">
        <v>44041.0</v>
      </c>
      <c r="B2524" s="168" t="s">
        <v>400</v>
      </c>
      <c r="C2524" s="168" t="s">
        <v>119</v>
      </c>
      <c r="D2524" s="169" t="s">
        <v>354</v>
      </c>
    </row>
    <row r="2525">
      <c r="A2525" s="170">
        <v>44042.0</v>
      </c>
      <c r="B2525" s="168" t="s">
        <v>400</v>
      </c>
      <c r="C2525" s="168" t="s">
        <v>119</v>
      </c>
      <c r="D2525" s="169" t="s">
        <v>354</v>
      </c>
    </row>
    <row r="2526">
      <c r="A2526" s="170">
        <v>44043.0</v>
      </c>
      <c r="B2526" s="168" t="s">
        <v>400</v>
      </c>
      <c r="C2526" s="168" t="s">
        <v>119</v>
      </c>
      <c r="D2526" s="169" t="s">
        <v>354</v>
      </c>
    </row>
    <row r="2527">
      <c r="A2527" s="170">
        <v>44044.0</v>
      </c>
      <c r="B2527" s="168" t="s">
        <v>400</v>
      </c>
      <c r="C2527" s="168" t="s">
        <v>119</v>
      </c>
      <c r="D2527" s="169" t="s">
        <v>354</v>
      </c>
    </row>
    <row r="2528">
      <c r="A2528" s="170">
        <v>44045.0</v>
      </c>
      <c r="B2528" s="168" t="s">
        <v>400</v>
      </c>
      <c r="C2528" s="168" t="s">
        <v>119</v>
      </c>
      <c r="D2528" s="169" t="s">
        <v>354</v>
      </c>
    </row>
    <row r="2529">
      <c r="A2529" s="170">
        <v>44046.0</v>
      </c>
      <c r="B2529" s="168" t="s">
        <v>401</v>
      </c>
      <c r="C2529" s="168" t="s">
        <v>119</v>
      </c>
      <c r="D2529" s="169" t="s">
        <v>134</v>
      </c>
    </row>
    <row r="2530">
      <c r="A2530" s="170">
        <v>44047.0</v>
      </c>
      <c r="B2530" s="168" t="s">
        <v>401</v>
      </c>
      <c r="C2530" s="168" t="s">
        <v>119</v>
      </c>
      <c r="D2530" s="169" t="s">
        <v>134</v>
      </c>
    </row>
    <row r="2531">
      <c r="A2531" s="170">
        <v>44048.0</v>
      </c>
      <c r="B2531" s="168" t="s">
        <v>401</v>
      </c>
      <c r="C2531" s="168" t="s">
        <v>119</v>
      </c>
      <c r="D2531" s="169" t="s">
        <v>134</v>
      </c>
    </row>
    <row r="2532">
      <c r="A2532" s="170">
        <v>44049.0</v>
      </c>
      <c r="B2532" s="168" t="s">
        <v>401</v>
      </c>
      <c r="C2532" s="168" t="s">
        <v>119</v>
      </c>
      <c r="D2532" s="169" t="s">
        <v>134</v>
      </c>
    </row>
    <row r="2533">
      <c r="A2533" s="170">
        <v>44050.0</v>
      </c>
      <c r="B2533" s="168" t="s">
        <v>401</v>
      </c>
      <c r="C2533" s="168" t="s">
        <v>119</v>
      </c>
      <c r="D2533" s="169" t="s">
        <v>134</v>
      </c>
    </row>
    <row r="2534">
      <c r="A2534" s="170">
        <v>44051.0</v>
      </c>
      <c r="B2534" s="168" t="s">
        <v>401</v>
      </c>
      <c r="C2534" s="168" t="s">
        <v>119</v>
      </c>
      <c r="D2534" s="169" t="s">
        <v>134</v>
      </c>
    </row>
    <row r="2535">
      <c r="A2535" s="170">
        <v>44052.0</v>
      </c>
      <c r="B2535" s="168" t="s">
        <v>401</v>
      </c>
      <c r="C2535" s="168" t="s">
        <v>119</v>
      </c>
      <c r="D2535" s="169" t="s">
        <v>134</v>
      </c>
    </row>
    <row r="2536">
      <c r="A2536" s="170">
        <v>44053.0</v>
      </c>
      <c r="B2536" s="168" t="s">
        <v>402</v>
      </c>
      <c r="C2536" s="168" t="s">
        <v>119</v>
      </c>
      <c r="D2536" s="169" t="s">
        <v>134</v>
      </c>
    </row>
    <row r="2537">
      <c r="A2537" s="170">
        <v>44054.0</v>
      </c>
      <c r="B2537" s="168" t="s">
        <v>402</v>
      </c>
      <c r="C2537" s="168" t="s">
        <v>119</v>
      </c>
      <c r="D2537" s="169" t="s">
        <v>134</v>
      </c>
    </row>
    <row r="2538">
      <c r="A2538" s="170">
        <v>44055.0</v>
      </c>
      <c r="B2538" s="168" t="s">
        <v>402</v>
      </c>
      <c r="C2538" s="168" t="s">
        <v>119</v>
      </c>
      <c r="D2538" s="169" t="s">
        <v>134</v>
      </c>
    </row>
    <row r="2539">
      <c r="A2539" s="170">
        <v>44056.0</v>
      </c>
      <c r="B2539" s="168" t="s">
        <v>402</v>
      </c>
      <c r="C2539" s="168" t="s">
        <v>119</v>
      </c>
      <c r="D2539" s="169" t="s">
        <v>134</v>
      </c>
    </row>
    <row r="2540">
      <c r="A2540" s="170">
        <v>44057.0</v>
      </c>
      <c r="B2540" s="168" t="s">
        <v>402</v>
      </c>
      <c r="C2540" s="168" t="s">
        <v>119</v>
      </c>
      <c r="D2540" s="169" t="s">
        <v>134</v>
      </c>
    </row>
    <row r="2541">
      <c r="A2541" s="170">
        <v>44058.0</v>
      </c>
      <c r="B2541" s="168" t="s">
        <v>402</v>
      </c>
      <c r="C2541" s="168" t="s">
        <v>119</v>
      </c>
      <c r="D2541" s="169" t="s">
        <v>134</v>
      </c>
    </row>
    <row r="2542">
      <c r="A2542" s="170">
        <v>44059.0</v>
      </c>
      <c r="B2542" s="168" t="s">
        <v>402</v>
      </c>
      <c r="C2542" s="168" t="s">
        <v>119</v>
      </c>
      <c r="D2542" s="169" t="s">
        <v>134</v>
      </c>
    </row>
    <row r="2543">
      <c r="A2543" s="170">
        <v>44060.0</v>
      </c>
      <c r="B2543" s="168" t="s">
        <v>403</v>
      </c>
      <c r="C2543" s="168" t="s">
        <v>119</v>
      </c>
      <c r="D2543" s="169" t="s">
        <v>134</v>
      </c>
    </row>
    <row r="2544">
      <c r="A2544" s="170">
        <v>44061.0</v>
      </c>
      <c r="B2544" s="168" t="s">
        <v>403</v>
      </c>
      <c r="C2544" s="168" t="s">
        <v>119</v>
      </c>
      <c r="D2544" s="169" t="s">
        <v>134</v>
      </c>
    </row>
    <row r="2545">
      <c r="A2545" s="170">
        <v>44062.0</v>
      </c>
      <c r="B2545" s="168" t="s">
        <v>403</v>
      </c>
      <c r="C2545" s="168" t="s">
        <v>119</v>
      </c>
      <c r="D2545" s="169" t="s">
        <v>134</v>
      </c>
    </row>
    <row r="2546">
      <c r="A2546" s="170">
        <v>44063.0</v>
      </c>
      <c r="B2546" s="168" t="s">
        <v>403</v>
      </c>
      <c r="C2546" s="168" t="s">
        <v>119</v>
      </c>
      <c r="D2546" s="169" t="s">
        <v>134</v>
      </c>
    </row>
    <row r="2547">
      <c r="A2547" s="170">
        <v>44064.0</v>
      </c>
      <c r="B2547" s="168" t="s">
        <v>403</v>
      </c>
      <c r="C2547" s="168" t="s">
        <v>119</v>
      </c>
      <c r="D2547" s="169" t="s">
        <v>134</v>
      </c>
    </row>
    <row r="2548">
      <c r="A2548" s="170">
        <v>44065.0</v>
      </c>
      <c r="B2548" s="168" t="s">
        <v>403</v>
      </c>
      <c r="C2548" s="168" t="s">
        <v>119</v>
      </c>
      <c r="D2548" s="169" t="s">
        <v>134</v>
      </c>
    </row>
    <row r="2549">
      <c r="A2549" s="170">
        <v>44066.0</v>
      </c>
      <c r="B2549" s="168" t="s">
        <v>403</v>
      </c>
      <c r="C2549" s="168" t="s">
        <v>119</v>
      </c>
      <c r="D2549" s="169" t="s">
        <v>134</v>
      </c>
    </row>
    <row r="2550">
      <c r="A2550" s="170">
        <v>44067.0</v>
      </c>
      <c r="B2550" s="168" t="s">
        <v>404</v>
      </c>
      <c r="C2550" s="168" t="s">
        <v>119</v>
      </c>
      <c r="D2550" s="169" t="s">
        <v>134</v>
      </c>
    </row>
    <row r="2551">
      <c r="A2551" s="170">
        <v>44068.0</v>
      </c>
      <c r="B2551" s="168" t="s">
        <v>404</v>
      </c>
      <c r="C2551" s="168" t="s">
        <v>119</v>
      </c>
      <c r="D2551" s="169" t="s">
        <v>134</v>
      </c>
    </row>
    <row r="2552">
      <c r="A2552" s="170">
        <v>44069.0</v>
      </c>
      <c r="B2552" s="168" t="s">
        <v>404</v>
      </c>
      <c r="C2552" s="168" t="s">
        <v>119</v>
      </c>
      <c r="D2552" s="169" t="s">
        <v>134</v>
      </c>
    </row>
    <row r="2553">
      <c r="A2553" s="170">
        <v>44070.0</v>
      </c>
      <c r="B2553" s="168" t="s">
        <v>404</v>
      </c>
      <c r="C2553" s="168" t="s">
        <v>119</v>
      </c>
      <c r="D2553" s="169" t="s">
        <v>134</v>
      </c>
    </row>
    <row r="2554">
      <c r="A2554" s="170">
        <v>44071.0</v>
      </c>
      <c r="B2554" s="168" t="s">
        <v>404</v>
      </c>
      <c r="C2554" s="168" t="s">
        <v>119</v>
      </c>
      <c r="D2554" s="169" t="s">
        <v>134</v>
      </c>
    </row>
    <row r="2555">
      <c r="A2555" s="170">
        <v>44072.0</v>
      </c>
      <c r="B2555" s="168" t="s">
        <v>404</v>
      </c>
      <c r="C2555" s="168" t="s">
        <v>119</v>
      </c>
      <c r="D2555" s="169" t="s">
        <v>134</v>
      </c>
    </row>
    <row r="2556">
      <c r="A2556" s="170">
        <v>44073.0</v>
      </c>
      <c r="B2556" s="168" t="s">
        <v>404</v>
      </c>
      <c r="C2556" s="168" t="s">
        <v>119</v>
      </c>
      <c r="D2556" s="169" t="s">
        <v>134</v>
      </c>
    </row>
    <row r="2557">
      <c r="A2557" s="173">
        <v>44074.0</v>
      </c>
      <c r="B2557" s="174" t="s">
        <v>341</v>
      </c>
      <c r="C2557" s="174" t="s">
        <v>120</v>
      </c>
      <c r="D2557" s="174" t="s">
        <v>340</v>
      </c>
    </row>
    <row r="2558">
      <c r="A2558" s="173">
        <v>44075.0</v>
      </c>
      <c r="B2558" s="174" t="s">
        <v>341</v>
      </c>
      <c r="C2558" s="174" t="s">
        <v>120</v>
      </c>
      <c r="D2558" s="174" t="s">
        <v>340</v>
      </c>
    </row>
    <row r="2559">
      <c r="A2559" s="173">
        <v>44076.0</v>
      </c>
      <c r="B2559" s="174" t="s">
        <v>341</v>
      </c>
      <c r="C2559" s="174" t="s">
        <v>120</v>
      </c>
      <c r="D2559" s="174" t="s">
        <v>340</v>
      </c>
    </row>
    <row r="2560">
      <c r="A2560" s="173">
        <v>44077.0</v>
      </c>
      <c r="B2560" s="174" t="s">
        <v>341</v>
      </c>
      <c r="C2560" s="174" t="s">
        <v>120</v>
      </c>
      <c r="D2560" s="174" t="s">
        <v>340</v>
      </c>
    </row>
    <row r="2561">
      <c r="A2561" s="173">
        <v>44078.0</v>
      </c>
      <c r="B2561" s="174" t="s">
        <v>341</v>
      </c>
      <c r="C2561" s="174" t="s">
        <v>120</v>
      </c>
      <c r="D2561" s="174" t="s">
        <v>340</v>
      </c>
    </row>
    <row r="2562">
      <c r="A2562" s="173">
        <v>44079.0</v>
      </c>
      <c r="B2562" s="174" t="s">
        <v>341</v>
      </c>
      <c r="C2562" s="174" t="s">
        <v>120</v>
      </c>
      <c r="D2562" s="174" t="s">
        <v>340</v>
      </c>
    </row>
    <row r="2563">
      <c r="A2563" s="173">
        <v>44080.0</v>
      </c>
      <c r="B2563" s="174" t="s">
        <v>341</v>
      </c>
      <c r="C2563" s="174" t="s">
        <v>120</v>
      </c>
      <c r="D2563" s="174" t="s">
        <v>340</v>
      </c>
    </row>
    <row r="2564">
      <c r="A2564" s="173">
        <v>44081.0</v>
      </c>
      <c r="B2564" s="174" t="s">
        <v>350</v>
      </c>
      <c r="C2564" s="174" t="s">
        <v>120</v>
      </c>
      <c r="D2564" s="174" t="s">
        <v>340</v>
      </c>
    </row>
    <row r="2565">
      <c r="A2565" s="173">
        <v>44082.0</v>
      </c>
      <c r="B2565" s="174" t="s">
        <v>350</v>
      </c>
      <c r="C2565" s="174" t="s">
        <v>120</v>
      </c>
      <c r="D2565" s="174" t="s">
        <v>340</v>
      </c>
    </row>
    <row r="2566">
      <c r="A2566" s="173">
        <v>44083.0</v>
      </c>
      <c r="B2566" s="174" t="s">
        <v>350</v>
      </c>
      <c r="C2566" s="174" t="s">
        <v>120</v>
      </c>
      <c r="D2566" s="174" t="s">
        <v>340</v>
      </c>
    </row>
    <row r="2567">
      <c r="A2567" s="173">
        <v>44084.0</v>
      </c>
      <c r="B2567" s="174" t="s">
        <v>350</v>
      </c>
      <c r="C2567" s="174" t="s">
        <v>120</v>
      </c>
      <c r="D2567" s="174" t="s">
        <v>340</v>
      </c>
    </row>
    <row r="2568">
      <c r="A2568" s="173">
        <v>44085.0</v>
      </c>
      <c r="B2568" s="174" t="s">
        <v>350</v>
      </c>
      <c r="C2568" s="174" t="s">
        <v>120</v>
      </c>
      <c r="D2568" s="174" t="s">
        <v>340</v>
      </c>
    </row>
    <row r="2569">
      <c r="A2569" s="173">
        <v>44086.0</v>
      </c>
      <c r="B2569" s="174" t="s">
        <v>350</v>
      </c>
      <c r="C2569" s="174" t="s">
        <v>120</v>
      </c>
      <c r="D2569" s="174" t="s">
        <v>340</v>
      </c>
    </row>
    <row r="2570">
      <c r="A2570" s="173">
        <v>44087.0</v>
      </c>
      <c r="B2570" s="174" t="s">
        <v>350</v>
      </c>
      <c r="C2570" s="174" t="s">
        <v>120</v>
      </c>
      <c r="D2570" s="174" t="s">
        <v>340</v>
      </c>
    </row>
    <row r="2571">
      <c r="A2571" s="173">
        <v>44088.0</v>
      </c>
      <c r="B2571" s="174" t="s">
        <v>355</v>
      </c>
      <c r="C2571" s="174" t="s">
        <v>120</v>
      </c>
      <c r="D2571" s="174" t="s">
        <v>340</v>
      </c>
    </row>
    <row r="2572">
      <c r="A2572" s="173">
        <v>44089.0</v>
      </c>
      <c r="B2572" s="174" t="s">
        <v>355</v>
      </c>
      <c r="C2572" s="174" t="s">
        <v>120</v>
      </c>
      <c r="D2572" s="174" t="s">
        <v>340</v>
      </c>
    </row>
    <row r="2573">
      <c r="A2573" s="173">
        <v>44090.0</v>
      </c>
      <c r="B2573" s="174" t="s">
        <v>355</v>
      </c>
      <c r="C2573" s="174" t="s">
        <v>120</v>
      </c>
      <c r="D2573" s="174" t="s">
        <v>340</v>
      </c>
    </row>
    <row r="2574">
      <c r="A2574" s="173">
        <v>44091.0</v>
      </c>
      <c r="B2574" s="174" t="s">
        <v>355</v>
      </c>
      <c r="C2574" s="174" t="s">
        <v>120</v>
      </c>
      <c r="D2574" s="174" t="s">
        <v>340</v>
      </c>
    </row>
    <row r="2575">
      <c r="A2575" s="173">
        <v>44092.0</v>
      </c>
      <c r="B2575" s="174" t="s">
        <v>355</v>
      </c>
      <c r="C2575" s="174" t="s">
        <v>120</v>
      </c>
      <c r="D2575" s="174" t="s">
        <v>340</v>
      </c>
    </row>
    <row r="2576">
      <c r="A2576" s="173">
        <v>44093.0</v>
      </c>
      <c r="B2576" s="174" t="s">
        <v>355</v>
      </c>
      <c r="C2576" s="174" t="s">
        <v>120</v>
      </c>
      <c r="D2576" s="174" t="s">
        <v>340</v>
      </c>
    </row>
    <row r="2577">
      <c r="A2577" s="173">
        <v>44094.0</v>
      </c>
      <c r="B2577" s="174" t="s">
        <v>355</v>
      </c>
      <c r="C2577" s="174" t="s">
        <v>120</v>
      </c>
      <c r="D2577" s="174" t="s">
        <v>340</v>
      </c>
    </row>
    <row r="2578">
      <c r="A2578" s="173">
        <v>44095.0</v>
      </c>
      <c r="B2578" s="174" t="s">
        <v>356</v>
      </c>
      <c r="C2578" s="174" t="s">
        <v>120</v>
      </c>
      <c r="D2578" s="174" t="s">
        <v>340</v>
      </c>
    </row>
    <row r="2579">
      <c r="A2579" s="173">
        <v>44096.0</v>
      </c>
      <c r="B2579" s="174" t="s">
        <v>356</v>
      </c>
      <c r="C2579" s="174" t="s">
        <v>120</v>
      </c>
      <c r="D2579" s="174" t="s">
        <v>340</v>
      </c>
    </row>
    <row r="2580">
      <c r="A2580" s="173">
        <v>44097.0</v>
      </c>
      <c r="B2580" s="174" t="s">
        <v>356</v>
      </c>
      <c r="C2580" s="174" t="s">
        <v>120</v>
      </c>
      <c r="D2580" s="174" t="s">
        <v>340</v>
      </c>
    </row>
    <row r="2581">
      <c r="A2581" s="173">
        <v>44098.0</v>
      </c>
      <c r="B2581" s="174" t="s">
        <v>356</v>
      </c>
      <c r="C2581" s="174" t="s">
        <v>120</v>
      </c>
      <c r="D2581" s="174" t="s">
        <v>340</v>
      </c>
    </row>
    <row r="2582">
      <c r="A2582" s="173">
        <v>44099.0</v>
      </c>
      <c r="B2582" s="174" t="s">
        <v>356</v>
      </c>
      <c r="C2582" s="174" t="s">
        <v>120</v>
      </c>
      <c r="D2582" s="174" t="s">
        <v>340</v>
      </c>
    </row>
    <row r="2583">
      <c r="A2583" s="173">
        <v>44100.0</v>
      </c>
      <c r="B2583" s="174" t="s">
        <v>356</v>
      </c>
      <c r="C2583" s="174" t="s">
        <v>120</v>
      </c>
      <c r="D2583" s="174" t="s">
        <v>340</v>
      </c>
    </row>
    <row r="2584">
      <c r="A2584" s="173">
        <v>44101.0</v>
      </c>
      <c r="B2584" s="174" t="s">
        <v>356</v>
      </c>
      <c r="C2584" s="174" t="s">
        <v>120</v>
      </c>
      <c r="D2584" s="174" t="s">
        <v>340</v>
      </c>
    </row>
    <row r="2585">
      <c r="A2585" s="173">
        <v>44102.0</v>
      </c>
      <c r="B2585" s="174" t="s">
        <v>357</v>
      </c>
      <c r="C2585" s="174" t="s">
        <v>120</v>
      </c>
      <c r="D2585" s="174" t="s">
        <v>343</v>
      </c>
    </row>
    <row r="2586">
      <c r="A2586" s="173">
        <v>44103.0</v>
      </c>
      <c r="B2586" s="174" t="s">
        <v>357</v>
      </c>
      <c r="C2586" s="174" t="s">
        <v>120</v>
      </c>
      <c r="D2586" s="174" t="s">
        <v>343</v>
      </c>
    </row>
    <row r="2587">
      <c r="A2587" s="173">
        <v>44104.0</v>
      </c>
      <c r="B2587" s="174" t="s">
        <v>357</v>
      </c>
      <c r="C2587" s="174" t="s">
        <v>120</v>
      </c>
      <c r="D2587" s="174" t="s">
        <v>343</v>
      </c>
    </row>
    <row r="2588">
      <c r="A2588" s="173">
        <v>44105.0</v>
      </c>
      <c r="B2588" s="174" t="s">
        <v>357</v>
      </c>
      <c r="C2588" s="174" t="s">
        <v>120</v>
      </c>
      <c r="D2588" s="174" t="s">
        <v>343</v>
      </c>
    </row>
    <row r="2589">
      <c r="A2589" s="173">
        <v>44106.0</v>
      </c>
      <c r="B2589" s="174" t="s">
        <v>357</v>
      </c>
      <c r="C2589" s="174" t="s">
        <v>120</v>
      </c>
      <c r="D2589" s="174" t="s">
        <v>343</v>
      </c>
    </row>
    <row r="2590">
      <c r="A2590" s="173">
        <v>44107.0</v>
      </c>
      <c r="B2590" s="174" t="s">
        <v>357</v>
      </c>
      <c r="C2590" s="174" t="s">
        <v>120</v>
      </c>
      <c r="D2590" s="174" t="s">
        <v>343</v>
      </c>
    </row>
    <row r="2591">
      <c r="A2591" s="173">
        <v>44108.0</v>
      </c>
      <c r="B2591" s="174" t="s">
        <v>357</v>
      </c>
      <c r="C2591" s="174" t="s">
        <v>120</v>
      </c>
      <c r="D2591" s="174" t="s">
        <v>343</v>
      </c>
    </row>
    <row r="2592">
      <c r="A2592" s="173">
        <v>44109.0</v>
      </c>
      <c r="B2592" s="174" t="s">
        <v>358</v>
      </c>
      <c r="C2592" s="174" t="s">
        <v>120</v>
      </c>
      <c r="D2592" s="174" t="s">
        <v>343</v>
      </c>
    </row>
    <row r="2593">
      <c r="A2593" s="173">
        <v>44110.0</v>
      </c>
      <c r="B2593" s="174" t="s">
        <v>358</v>
      </c>
      <c r="C2593" s="174" t="s">
        <v>120</v>
      </c>
      <c r="D2593" s="174" t="s">
        <v>343</v>
      </c>
    </row>
    <row r="2594">
      <c r="A2594" s="173">
        <v>44111.0</v>
      </c>
      <c r="B2594" s="174" t="s">
        <v>358</v>
      </c>
      <c r="C2594" s="174" t="s">
        <v>120</v>
      </c>
      <c r="D2594" s="174" t="s">
        <v>343</v>
      </c>
    </row>
    <row r="2595">
      <c r="A2595" s="173">
        <v>44112.0</v>
      </c>
      <c r="B2595" s="174" t="s">
        <v>358</v>
      </c>
      <c r="C2595" s="174" t="s">
        <v>120</v>
      </c>
      <c r="D2595" s="174" t="s">
        <v>343</v>
      </c>
    </row>
    <row r="2596">
      <c r="A2596" s="173">
        <v>44113.0</v>
      </c>
      <c r="B2596" s="174" t="s">
        <v>358</v>
      </c>
      <c r="C2596" s="174" t="s">
        <v>120</v>
      </c>
      <c r="D2596" s="174" t="s">
        <v>343</v>
      </c>
    </row>
    <row r="2597">
      <c r="A2597" s="173">
        <v>44114.0</v>
      </c>
      <c r="B2597" s="174" t="s">
        <v>358</v>
      </c>
      <c r="C2597" s="174" t="s">
        <v>120</v>
      </c>
      <c r="D2597" s="174" t="s">
        <v>343</v>
      </c>
    </row>
    <row r="2598">
      <c r="A2598" s="173">
        <v>44115.0</v>
      </c>
      <c r="B2598" s="174" t="s">
        <v>358</v>
      </c>
      <c r="C2598" s="174" t="s">
        <v>120</v>
      </c>
      <c r="D2598" s="174" t="s">
        <v>343</v>
      </c>
    </row>
    <row r="2599">
      <c r="A2599" s="173">
        <v>44116.0</v>
      </c>
      <c r="B2599" s="174" t="s">
        <v>359</v>
      </c>
      <c r="C2599" s="174" t="s">
        <v>120</v>
      </c>
      <c r="D2599" s="174" t="s">
        <v>343</v>
      </c>
    </row>
    <row r="2600">
      <c r="A2600" s="173">
        <v>44117.0</v>
      </c>
      <c r="B2600" s="174" t="s">
        <v>359</v>
      </c>
      <c r="C2600" s="174" t="s">
        <v>120</v>
      </c>
      <c r="D2600" s="174" t="s">
        <v>343</v>
      </c>
    </row>
    <row r="2601">
      <c r="A2601" s="173">
        <v>44118.0</v>
      </c>
      <c r="B2601" s="174" t="s">
        <v>359</v>
      </c>
      <c r="C2601" s="174" t="s">
        <v>120</v>
      </c>
      <c r="D2601" s="174" t="s">
        <v>343</v>
      </c>
    </row>
    <row r="2602">
      <c r="A2602" s="173">
        <v>44119.0</v>
      </c>
      <c r="B2602" s="174" t="s">
        <v>359</v>
      </c>
      <c r="C2602" s="174" t="s">
        <v>120</v>
      </c>
      <c r="D2602" s="174" t="s">
        <v>343</v>
      </c>
    </row>
    <row r="2603">
      <c r="A2603" s="173">
        <v>44120.0</v>
      </c>
      <c r="B2603" s="174" t="s">
        <v>359</v>
      </c>
      <c r="C2603" s="174" t="s">
        <v>120</v>
      </c>
      <c r="D2603" s="174" t="s">
        <v>343</v>
      </c>
    </row>
    <row r="2604">
      <c r="A2604" s="173">
        <v>44121.0</v>
      </c>
      <c r="B2604" s="174" t="s">
        <v>359</v>
      </c>
      <c r="C2604" s="174" t="s">
        <v>120</v>
      </c>
      <c r="D2604" s="174" t="s">
        <v>343</v>
      </c>
    </row>
    <row r="2605">
      <c r="A2605" s="173">
        <v>44122.0</v>
      </c>
      <c r="B2605" s="174" t="s">
        <v>359</v>
      </c>
      <c r="C2605" s="174" t="s">
        <v>120</v>
      </c>
      <c r="D2605" s="174" t="s">
        <v>343</v>
      </c>
    </row>
    <row r="2606">
      <c r="A2606" s="173">
        <v>44123.0</v>
      </c>
      <c r="B2606" s="174" t="s">
        <v>360</v>
      </c>
      <c r="C2606" s="174" t="s">
        <v>120</v>
      </c>
      <c r="D2606" s="174" t="s">
        <v>343</v>
      </c>
    </row>
    <row r="2607">
      <c r="A2607" s="173">
        <v>44124.0</v>
      </c>
      <c r="B2607" s="174" t="s">
        <v>360</v>
      </c>
      <c r="C2607" s="174" t="s">
        <v>120</v>
      </c>
      <c r="D2607" s="174" t="s">
        <v>343</v>
      </c>
    </row>
    <row r="2608">
      <c r="A2608" s="173">
        <v>44125.0</v>
      </c>
      <c r="B2608" s="174" t="s">
        <v>360</v>
      </c>
      <c r="C2608" s="174" t="s">
        <v>120</v>
      </c>
      <c r="D2608" s="174" t="s">
        <v>343</v>
      </c>
    </row>
    <row r="2609">
      <c r="A2609" s="173">
        <v>44126.0</v>
      </c>
      <c r="B2609" s="174" t="s">
        <v>360</v>
      </c>
      <c r="C2609" s="174" t="s">
        <v>120</v>
      </c>
      <c r="D2609" s="174" t="s">
        <v>343</v>
      </c>
    </row>
    <row r="2610">
      <c r="A2610" s="173">
        <v>44127.0</v>
      </c>
      <c r="B2610" s="174" t="s">
        <v>360</v>
      </c>
      <c r="C2610" s="174" t="s">
        <v>120</v>
      </c>
      <c r="D2610" s="174" t="s">
        <v>343</v>
      </c>
    </row>
    <row r="2611">
      <c r="A2611" s="173">
        <v>44128.0</v>
      </c>
      <c r="B2611" s="174" t="s">
        <v>360</v>
      </c>
      <c r="C2611" s="174" t="s">
        <v>120</v>
      </c>
      <c r="D2611" s="174" t="s">
        <v>343</v>
      </c>
    </row>
    <row r="2612">
      <c r="A2612" s="173">
        <v>44129.0</v>
      </c>
      <c r="B2612" s="174" t="s">
        <v>360</v>
      </c>
      <c r="C2612" s="174" t="s">
        <v>120</v>
      </c>
      <c r="D2612" s="174" t="s">
        <v>343</v>
      </c>
    </row>
    <row r="2613">
      <c r="A2613" s="173">
        <v>44130.0</v>
      </c>
      <c r="B2613" s="174" t="s">
        <v>361</v>
      </c>
      <c r="C2613" s="174" t="s">
        <v>120</v>
      </c>
      <c r="D2613" s="174" t="s">
        <v>344</v>
      </c>
    </row>
    <row r="2614">
      <c r="A2614" s="173">
        <v>44131.0</v>
      </c>
      <c r="B2614" s="174" t="s">
        <v>361</v>
      </c>
      <c r="C2614" s="174" t="s">
        <v>120</v>
      </c>
      <c r="D2614" s="174" t="s">
        <v>344</v>
      </c>
    </row>
    <row r="2615">
      <c r="A2615" s="173">
        <v>44132.0</v>
      </c>
      <c r="B2615" s="174" t="s">
        <v>361</v>
      </c>
      <c r="C2615" s="174" t="s">
        <v>120</v>
      </c>
      <c r="D2615" s="174" t="s">
        <v>344</v>
      </c>
    </row>
    <row r="2616">
      <c r="A2616" s="173">
        <v>44133.0</v>
      </c>
      <c r="B2616" s="174" t="s">
        <v>361</v>
      </c>
      <c r="C2616" s="174" t="s">
        <v>120</v>
      </c>
      <c r="D2616" s="174" t="s">
        <v>344</v>
      </c>
    </row>
    <row r="2617">
      <c r="A2617" s="173">
        <v>44134.0</v>
      </c>
      <c r="B2617" s="174" t="s">
        <v>361</v>
      </c>
      <c r="C2617" s="174" t="s">
        <v>120</v>
      </c>
      <c r="D2617" s="174" t="s">
        <v>344</v>
      </c>
    </row>
    <row r="2618">
      <c r="A2618" s="173">
        <v>44135.0</v>
      </c>
      <c r="B2618" s="174" t="s">
        <v>361</v>
      </c>
      <c r="C2618" s="174" t="s">
        <v>120</v>
      </c>
      <c r="D2618" s="174" t="s">
        <v>344</v>
      </c>
    </row>
    <row r="2619">
      <c r="A2619" s="173">
        <v>44136.0</v>
      </c>
      <c r="B2619" s="174" t="s">
        <v>361</v>
      </c>
      <c r="C2619" s="174" t="s">
        <v>120</v>
      </c>
      <c r="D2619" s="174" t="s">
        <v>344</v>
      </c>
    </row>
    <row r="2620">
      <c r="A2620" s="173">
        <v>44137.0</v>
      </c>
      <c r="B2620" s="174" t="s">
        <v>362</v>
      </c>
      <c r="C2620" s="174" t="s">
        <v>120</v>
      </c>
      <c r="D2620" s="174" t="s">
        <v>344</v>
      </c>
    </row>
    <row r="2621">
      <c r="A2621" s="173">
        <v>44138.0</v>
      </c>
      <c r="B2621" s="174" t="s">
        <v>362</v>
      </c>
      <c r="C2621" s="174" t="s">
        <v>120</v>
      </c>
      <c r="D2621" s="174" t="s">
        <v>344</v>
      </c>
    </row>
    <row r="2622">
      <c r="A2622" s="173">
        <v>44139.0</v>
      </c>
      <c r="B2622" s="174" t="s">
        <v>362</v>
      </c>
      <c r="C2622" s="174" t="s">
        <v>120</v>
      </c>
      <c r="D2622" s="174" t="s">
        <v>344</v>
      </c>
    </row>
    <row r="2623">
      <c r="A2623" s="173">
        <v>44140.0</v>
      </c>
      <c r="B2623" s="174" t="s">
        <v>362</v>
      </c>
      <c r="C2623" s="174" t="s">
        <v>120</v>
      </c>
      <c r="D2623" s="174" t="s">
        <v>344</v>
      </c>
    </row>
    <row r="2624">
      <c r="A2624" s="173">
        <v>44141.0</v>
      </c>
      <c r="B2624" s="174" t="s">
        <v>362</v>
      </c>
      <c r="C2624" s="174" t="s">
        <v>120</v>
      </c>
      <c r="D2624" s="174" t="s">
        <v>344</v>
      </c>
    </row>
    <row r="2625">
      <c r="A2625" s="173">
        <v>44142.0</v>
      </c>
      <c r="B2625" s="174" t="s">
        <v>362</v>
      </c>
      <c r="C2625" s="174" t="s">
        <v>120</v>
      </c>
      <c r="D2625" s="174" t="s">
        <v>344</v>
      </c>
    </row>
    <row r="2626">
      <c r="A2626" s="173">
        <v>44143.0</v>
      </c>
      <c r="B2626" s="174" t="s">
        <v>362</v>
      </c>
      <c r="C2626" s="174" t="s">
        <v>120</v>
      </c>
      <c r="D2626" s="174" t="s">
        <v>344</v>
      </c>
    </row>
    <row r="2627">
      <c r="A2627" s="173">
        <v>44144.0</v>
      </c>
      <c r="B2627" s="174" t="s">
        <v>363</v>
      </c>
      <c r="C2627" s="174" t="s">
        <v>120</v>
      </c>
      <c r="D2627" s="174" t="s">
        <v>344</v>
      </c>
    </row>
    <row r="2628">
      <c r="A2628" s="173">
        <v>44145.0</v>
      </c>
      <c r="B2628" s="174" t="s">
        <v>363</v>
      </c>
      <c r="C2628" s="174" t="s">
        <v>120</v>
      </c>
      <c r="D2628" s="174" t="s">
        <v>344</v>
      </c>
    </row>
    <row r="2629">
      <c r="A2629" s="173">
        <v>44146.0</v>
      </c>
      <c r="B2629" s="174" t="s">
        <v>363</v>
      </c>
      <c r="C2629" s="174" t="s">
        <v>120</v>
      </c>
      <c r="D2629" s="174" t="s">
        <v>344</v>
      </c>
    </row>
    <row r="2630">
      <c r="A2630" s="173">
        <v>44147.0</v>
      </c>
      <c r="B2630" s="174" t="s">
        <v>363</v>
      </c>
      <c r="C2630" s="174" t="s">
        <v>120</v>
      </c>
      <c r="D2630" s="174" t="s">
        <v>344</v>
      </c>
    </row>
    <row r="2631">
      <c r="A2631" s="173">
        <v>44148.0</v>
      </c>
      <c r="B2631" s="174" t="s">
        <v>363</v>
      </c>
      <c r="C2631" s="174" t="s">
        <v>120</v>
      </c>
      <c r="D2631" s="174" t="s">
        <v>344</v>
      </c>
    </row>
    <row r="2632">
      <c r="A2632" s="173">
        <v>44149.0</v>
      </c>
      <c r="B2632" s="174" t="s">
        <v>363</v>
      </c>
      <c r="C2632" s="174" t="s">
        <v>120</v>
      </c>
      <c r="D2632" s="174" t="s">
        <v>344</v>
      </c>
    </row>
    <row r="2633">
      <c r="A2633" s="173">
        <v>44150.0</v>
      </c>
      <c r="B2633" s="174" t="s">
        <v>363</v>
      </c>
      <c r="C2633" s="174" t="s">
        <v>120</v>
      </c>
      <c r="D2633" s="174" t="s">
        <v>344</v>
      </c>
    </row>
    <row r="2634">
      <c r="A2634" s="173">
        <v>44151.0</v>
      </c>
      <c r="B2634" s="174" t="s">
        <v>364</v>
      </c>
      <c r="C2634" s="174" t="s">
        <v>120</v>
      </c>
      <c r="D2634" s="174" t="s">
        <v>344</v>
      </c>
    </row>
    <row r="2635">
      <c r="A2635" s="173">
        <v>44152.0</v>
      </c>
      <c r="B2635" s="174" t="s">
        <v>364</v>
      </c>
      <c r="C2635" s="174" t="s">
        <v>120</v>
      </c>
      <c r="D2635" s="174" t="s">
        <v>344</v>
      </c>
    </row>
    <row r="2636">
      <c r="A2636" s="173">
        <v>44153.0</v>
      </c>
      <c r="B2636" s="174" t="s">
        <v>364</v>
      </c>
      <c r="C2636" s="174" t="s">
        <v>120</v>
      </c>
      <c r="D2636" s="174" t="s">
        <v>344</v>
      </c>
    </row>
    <row r="2637">
      <c r="A2637" s="173">
        <v>44154.0</v>
      </c>
      <c r="B2637" s="174" t="s">
        <v>364</v>
      </c>
      <c r="C2637" s="174" t="s">
        <v>120</v>
      </c>
      <c r="D2637" s="174" t="s">
        <v>344</v>
      </c>
    </row>
    <row r="2638">
      <c r="A2638" s="173">
        <v>44155.0</v>
      </c>
      <c r="B2638" s="174" t="s">
        <v>364</v>
      </c>
      <c r="C2638" s="174" t="s">
        <v>120</v>
      </c>
      <c r="D2638" s="174" t="s">
        <v>344</v>
      </c>
    </row>
    <row r="2639">
      <c r="A2639" s="173">
        <v>44156.0</v>
      </c>
      <c r="B2639" s="174" t="s">
        <v>364</v>
      </c>
      <c r="C2639" s="174" t="s">
        <v>120</v>
      </c>
      <c r="D2639" s="174" t="s">
        <v>344</v>
      </c>
    </row>
    <row r="2640">
      <c r="A2640" s="173">
        <v>44157.0</v>
      </c>
      <c r="B2640" s="174" t="s">
        <v>364</v>
      </c>
      <c r="C2640" s="174" t="s">
        <v>120</v>
      </c>
      <c r="D2640" s="174" t="s">
        <v>344</v>
      </c>
    </row>
    <row r="2641">
      <c r="A2641" s="173">
        <v>44158.0</v>
      </c>
      <c r="B2641" s="174" t="s">
        <v>365</v>
      </c>
      <c r="C2641" s="174" t="s">
        <v>120</v>
      </c>
      <c r="D2641" s="174" t="s">
        <v>345</v>
      </c>
    </row>
    <row r="2642">
      <c r="A2642" s="173">
        <v>44159.0</v>
      </c>
      <c r="B2642" s="174" t="s">
        <v>365</v>
      </c>
      <c r="C2642" s="174" t="s">
        <v>120</v>
      </c>
      <c r="D2642" s="174" t="s">
        <v>345</v>
      </c>
    </row>
    <row r="2643">
      <c r="A2643" s="173">
        <v>44160.0</v>
      </c>
      <c r="B2643" s="174" t="s">
        <v>365</v>
      </c>
      <c r="C2643" s="174" t="s">
        <v>120</v>
      </c>
      <c r="D2643" s="174" t="s">
        <v>345</v>
      </c>
    </row>
    <row r="2644">
      <c r="A2644" s="173">
        <v>44161.0</v>
      </c>
      <c r="B2644" s="174" t="s">
        <v>365</v>
      </c>
      <c r="C2644" s="174" t="s">
        <v>120</v>
      </c>
      <c r="D2644" s="174" t="s">
        <v>345</v>
      </c>
    </row>
    <row r="2645">
      <c r="A2645" s="173">
        <v>44162.0</v>
      </c>
      <c r="B2645" s="174" t="s">
        <v>365</v>
      </c>
      <c r="C2645" s="174" t="s">
        <v>120</v>
      </c>
      <c r="D2645" s="174" t="s">
        <v>345</v>
      </c>
    </row>
    <row r="2646">
      <c r="A2646" s="173">
        <v>44163.0</v>
      </c>
      <c r="B2646" s="174" t="s">
        <v>365</v>
      </c>
      <c r="C2646" s="174" t="s">
        <v>120</v>
      </c>
      <c r="D2646" s="174" t="s">
        <v>345</v>
      </c>
    </row>
    <row r="2647">
      <c r="A2647" s="173">
        <v>44164.0</v>
      </c>
      <c r="B2647" s="174" t="s">
        <v>365</v>
      </c>
      <c r="C2647" s="174" t="s">
        <v>120</v>
      </c>
      <c r="D2647" s="174" t="s">
        <v>345</v>
      </c>
    </row>
    <row r="2648">
      <c r="A2648" s="173">
        <v>44165.0</v>
      </c>
      <c r="B2648" s="174" t="s">
        <v>366</v>
      </c>
      <c r="C2648" s="174" t="s">
        <v>120</v>
      </c>
      <c r="D2648" s="174" t="s">
        <v>345</v>
      </c>
    </row>
    <row r="2649">
      <c r="A2649" s="173">
        <v>44166.0</v>
      </c>
      <c r="B2649" s="174" t="s">
        <v>366</v>
      </c>
      <c r="C2649" s="174" t="s">
        <v>120</v>
      </c>
      <c r="D2649" s="174" t="s">
        <v>345</v>
      </c>
    </row>
    <row r="2650">
      <c r="A2650" s="173">
        <v>44167.0</v>
      </c>
      <c r="B2650" s="174" t="s">
        <v>366</v>
      </c>
      <c r="C2650" s="174" t="s">
        <v>120</v>
      </c>
      <c r="D2650" s="174" t="s">
        <v>345</v>
      </c>
    </row>
    <row r="2651">
      <c r="A2651" s="173">
        <v>44168.0</v>
      </c>
      <c r="B2651" s="174" t="s">
        <v>366</v>
      </c>
      <c r="C2651" s="174" t="s">
        <v>120</v>
      </c>
      <c r="D2651" s="174" t="s">
        <v>345</v>
      </c>
    </row>
    <row r="2652">
      <c r="A2652" s="173">
        <v>44169.0</v>
      </c>
      <c r="B2652" s="174" t="s">
        <v>366</v>
      </c>
      <c r="C2652" s="174" t="s">
        <v>120</v>
      </c>
      <c r="D2652" s="174" t="s">
        <v>345</v>
      </c>
    </row>
    <row r="2653">
      <c r="A2653" s="173">
        <v>44170.0</v>
      </c>
      <c r="B2653" s="174" t="s">
        <v>366</v>
      </c>
      <c r="C2653" s="174" t="s">
        <v>120</v>
      </c>
      <c r="D2653" s="174" t="s">
        <v>345</v>
      </c>
    </row>
    <row r="2654">
      <c r="A2654" s="173">
        <v>44171.0</v>
      </c>
      <c r="B2654" s="174" t="s">
        <v>366</v>
      </c>
      <c r="C2654" s="174" t="s">
        <v>120</v>
      </c>
      <c r="D2654" s="174" t="s">
        <v>345</v>
      </c>
    </row>
    <row r="2655">
      <c r="A2655" s="173">
        <v>44172.0</v>
      </c>
      <c r="B2655" s="174" t="s">
        <v>367</v>
      </c>
      <c r="C2655" s="174" t="s">
        <v>120</v>
      </c>
      <c r="D2655" s="174" t="s">
        <v>345</v>
      </c>
    </row>
    <row r="2656">
      <c r="A2656" s="173">
        <v>44173.0</v>
      </c>
      <c r="B2656" s="174" t="s">
        <v>367</v>
      </c>
      <c r="C2656" s="174" t="s">
        <v>120</v>
      </c>
      <c r="D2656" s="174" t="s">
        <v>345</v>
      </c>
    </row>
    <row r="2657">
      <c r="A2657" s="173">
        <v>44174.0</v>
      </c>
      <c r="B2657" s="174" t="s">
        <v>367</v>
      </c>
      <c r="C2657" s="174" t="s">
        <v>120</v>
      </c>
      <c r="D2657" s="174" t="s">
        <v>345</v>
      </c>
    </row>
    <row r="2658">
      <c r="A2658" s="173">
        <v>44175.0</v>
      </c>
      <c r="B2658" s="174" t="s">
        <v>367</v>
      </c>
      <c r="C2658" s="174" t="s">
        <v>120</v>
      </c>
      <c r="D2658" s="174" t="s">
        <v>345</v>
      </c>
    </row>
    <row r="2659">
      <c r="A2659" s="173">
        <v>44176.0</v>
      </c>
      <c r="B2659" s="174" t="s">
        <v>367</v>
      </c>
      <c r="C2659" s="174" t="s">
        <v>120</v>
      </c>
      <c r="D2659" s="174" t="s">
        <v>345</v>
      </c>
    </row>
    <row r="2660">
      <c r="A2660" s="173">
        <v>44177.0</v>
      </c>
      <c r="B2660" s="174" t="s">
        <v>367</v>
      </c>
      <c r="C2660" s="174" t="s">
        <v>120</v>
      </c>
      <c r="D2660" s="174" t="s">
        <v>345</v>
      </c>
    </row>
    <row r="2661">
      <c r="A2661" s="173">
        <v>44178.0</v>
      </c>
      <c r="B2661" s="174" t="s">
        <v>367</v>
      </c>
      <c r="C2661" s="174" t="s">
        <v>120</v>
      </c>
      <c r="D2661" s="174" t="s">
        <v>345</v>
      </c>
    </row>
    <row r="2662">
      <c r="A2662" s="173">
        <v>44179.0</v>
      </c>
      <c r="B2662" s="174" t="s">
        <v>368</v>
      </c>
      <c r="C2662" s="174" t="s">
        <v>120</v>
      </c>
      <c r="D2662" s="174" t="s">
        <v>345</v>
      </c>
    </row>
    <row r="2663">
      <c r="A2663" s="173">
        <v>44180.0</v>
      </c>
      <c r="B2663" s="174" t="s">
        <v>368</v>
      </c>
      <c r="C2663" s="174" t="s">
        <v>120</v>
      </c>
      <c r="D2663" s="174" t="s">
        <v>345</v>
      </c>
    </row>
    <row r="2664">
      <c r="A2664" s="173">
        <v>44181.0</v>
      </c>
      <c r="B2664" s="174" t="s">
        <v>368</v>
      </c>
      <c r="C2664" s="174" t="s">
        <v>120</v>
      </c>
      <c r="D2664" s="174" t="s">
        <v>345</v>
      </c>
    </row>
    <row r="2665">
      <c r="A2665" s="173">
        <v>44182.0</v>
      </c>
      <c r="B2665" s="174" t="s">
        <v>368</v>
      </c>
      <c r="C2665" s="174" t="s">
        <v>120</v>
      </c>
      <c r="D2665" s="174" t="s">
        <v>345</v>
      </c>
    </row>
    <row r="2666">
      <c r="A2666" s="173">
        <v>44183.0</v>
      </c>
      <c r="B2666" s="174" t="s">
        <v>368</v>
      </c>
      <c r="C2666" s="174" t="s">
        <v>120</v>
      </c>
      <c r="D2666" s="174" t="s">
        <v>345</v>
      </c>
    </row>
    <row r="2667">
      <c r="A2667" s="173">
        <v>44184.0</v>
      </c>
      <c r="B2667" s="174" t="s">
        <v>368</v>
      </c>
      <c r="C2667" s="174" t="s">
        <v>120</v>
      </c>
      <c r="D2667" s="174" t="s">
        <v>345</v>
      </c>
    </row>
    <row r="2668">
      <c r="A2668" s="173">
        <v>44185.0</v>
      </c>
      <c r="B2668" s="174" t="s">
        <v>368</v>
      </c>
      <c r="C2668" s="174" t="s">
        <v>120</v>
      </c>
      <c r="D2668" s="174" t="s">
        <v>345</v>
      </c>
    </row>
    <row r="2669">
      <c r="A2669" s="173">
        <v>44186.0</v>
      </c>
      <c r="B2669" s="174" t="s">
        <v>369</v>
      </c>
      <c r="C2669" s="174" t="s">
        <v>120</v>
      </c>
      <c r="D2669" s="174" t="s">
        <v>346</v>
      </c>
    </row>
    <row r="2670">
      <c r="A2670" s="173">
        <v>44187.0</v>
      </c>
      <c r="B2670" s="174" t="s">
        <v>369</v>
      </c>
      <c r="C2670" s="174" t="s">
        <v>120</v>
      </c>
      <c r="D2670" s="174" t="s">
        <v>346</v>
      </c>
    </row>
    <row r="2671">
      <c r="A2671" s="173">
        <v>44188.0</v>
      </c>
      <c r="B2671" s="174" t="s">
        <v>369</v>
      </c>
      <c r="C2671" s="174" t="s">
        <v>120</v>
      </c>
      <c r="D2671" s="174" t="s">
        <v>346</v>
      </c>
    </row>
    <row r="2672">
      <c r="A2672" s="173">
        <v>44189.0</v>
      </c>
      <c r="B2672" s="174" t="s">
        <v>369</v>
      </c>
      <c r="C2672" s="174" t="s">
        <v>120</v>
      </c>
      <c r="D2672" s="174" t="s">
        <v>346</v>
      </c>
    </row>
    <row r="2673">
      <c r="A2673" s="173">
        <v>44190.0</v>
      </c>
      <c r="B2673" s="174" t="s">
        <v>369</v>
      </c>
      <c r="C2673" s="174" t="s">
        <v>120</v>
      </c>
      <c r="D2673" s="174" t="s">
        <v>346</v>
      </c>
    </row>
    <row r="2674">
      <c r="A2674" s="173">
        <v>44191.0</v>
      </c>
      <c r="B2674" s="174" t="s">
        <v>369</v>
      </c>
      <c r="C2674" s="174" t="s">
        <v>120</v>
      </c>
      <c r="D2674" s="174" t="s">
        <v>346</v>
      </c>
    </row>
    <row r="2675">
      <c r="A2675" s="173">
        <v>44192.0</v>
      </c>
      <c r="B2675" s="174" t="s">
        <v>369</v>
      </c>
      <c r="C2675" s="174" t="s">
        <v>120</v>
      </c>
      <c r="D2675" s="174" t="s">
        <v>346</v>
      </c>
    </row>
    <row r="2676">
      <c r="A2676" s="173">
        <v>44193.0</v>
      </c>
      <c r="B2676" s="174" t="s">
        <v>370</v>
      </c>
      <c r="C2676" s="174" t="s">
        <v>120</v>
      </c>
      <c r="D2676" s="174" t="s">
        <v>346</v>
      </c>
    </row>
    <row r="2677">
      <c r="A2677" s="173">
        <v>44194.0</v>
      </c>
      <c r="B2677" s="174" t="s">
        <v>370</v>
      </c>
      <c r="C2677" s="174" t="s">
        <v>120</v>
      </c>
      <c r="D2677" s="174" t="s">
        <v>346</v>
      </c>
    </row>
    <row r="2678">
      <c r="A2678" s="173">
        <v>44195.0</v>
      </c>
      <c r="B2678" s="174" t="s">
        <v>370</v>
      </c>
      <c r="C2678" s="174" t="s">
        <v>120</v>
      </c>
      <c r="D2678" s="174" t="s">
        <v>346</v>
      </c>
    </row>
    <row r="2679">
      <c r="A2679" s="173">
        <v>44196.0</v>
      </c>
      <c r="B2679" s="174" t="s">
        <v>370</v>
      </c>
      <c r="C2679" s="174" t="s">
        <v>120</v>
      </c>
      <c r="D2679" s="174" t="s">
        <v>346</v>
      </c>
    </row>
    <row r="2680">
      <c r="A2680" s="173">
        <v>44197.0</v>
      </c>
      <c r="B2680" s="174" t="s">
        <v>370</v>
      </c>
      <c r="C2680" s="174" t="s">
        <v>120</v>
      </c>
      <c r="D2680" s="174" t="s">
        <v>346</v>
      </c>
    </row>
    <row r="2681">
      <c r="A2681" s="173">
        <v>44198.0</v>
      </c>
      <c r="B2681" s="174" t="s">
        <v>370</v>
      </c>
      <c r="C2681" s="174" t="s">
        <v>120</v>
      </c>
      <c r="D2681" s="174" t="s">
        <v>346</v>
      </c>
    </row>
    <row r="2682">
      <c r="A2682" s="173">
        <v>44199.0</v>
      </c>
      <c r="B2682" s="174" t="s">
        <v>370</v>
      </c>
      <c r="C2682" s="174" t="s">
        <v>120</v>
      </c>
      <c r="D2682" s="174" t="s">
        <v>346</v>
      </c>
    </row>
    <row r="2683">
      <c r="A2683" s="173">
        <v>44200.0</v>
      </c>
      <c r="B2683" s="174" t="s">
        <v>371</v>
      </c>
      <c r="C2683" s="174" t="s">
        <v>120</v>
      </c>
      <c r="D2683" s="174" t="s">
        <v>346</v>
      </c>
    </row>
    <row r="2684">
      <c r="A2684" s="173">
        <v>44201.0</v>
      </c>
      <c r="B2684" s="174" t="s">
        <v>371</v>
      </c>
      <c r="C2684" s="174" t="s">
        <v>120</v>
      </c>
      <c r="D2684" s="174" t="s">
        <v>346</v>
      </c>
    </row>
    <row r="2685">
      <c r="A2685" s="173">
        <v>44202.0</v>
      </c>
      <c r="B2685" s="174" t="s">
        <v>371</v>
      </c>
      <c r="C2685" s="174" t="s">
        <v>120</v>
      </c>
      <c r="D2685" s="174" t="s">
        <v>346</v>
      </c>
    </row>
    <row r="2686">
      <c r="A2686" s="173">
        <v>44203.0</v>
      </c>
      <c r="B2686" s="174" t="s">
        <v>371</v>
      </c>
      <c r="C2686" s="174" t="s">
        <v>120</v>
      </c>
      <c r="D2686" s="174" t="s">
        <v>346</v>
      </c>
    </row>
    <row r="2687">
      <c r="A2687" s="173">
        <v>44204.0</v>
      </c>
      <c r="B2687" s="174" t="s">
        <v>371</v>
      </c>
      <c r="C2687" s="174" t="s">
        <v>120</v>
      </c>
      <c r="D2687" s="174" t="s">
        <v>346</v>
      </c>
    </row>
    <row r="2688">
      <c r="A2688" s="173">
        <v>44205.0</v>
      </c>
      <c r="B2688" s="174" t="s">
        <v>371</v>
      </c>
      <c r="C2688" s="174" t="s">
        <v>120</v>
      </c>
      <c r="D2688" s="174" t="s">
        <v>346</v>
      </c>
    </row>
    <row r="2689">
      <c r="A2689" s="173">
        <v>44206.0</v>
      </c>
      <c r="B2689" s="174" t="s">
        <v>371</v>
      </c>
      <c r="C2689" s="174" t="s">
        <v>120</v>
      </c>
      <c r="D2689" s="174" t="s">
        <v>346</v>
      </c>
    </row>
    <row r="2690">
      <c r="A2690" s="173">
        <v>44207.0</v>
      </c>
      <c r="B2690" s="174" t="s">
        <v>372</v>
      </c>
      <c r="C2690" s="174" t="s">
        <v>120</v>
      </c>
      <c r="D2690" s="174" t="s">
        <v>346</v>
      </c>
    </row>
    <row r="2691">
      <c r="A2691" s="173">
        <v>44208.0</v>
      </c>
      <c r="B2691" s="174" t="s">
        <v>372</v>
      </c>
      <c r="C2691" s="174" t="s">
        <v>120</v>
      </c>
      <c r="D2691" s="174" t="s">
        <v>346</v>
      </c>
    </row>
    <row r="2692">
      <c r="A2692" s="173">
        <v>44209.0</v>
      </c>
      <c r="B2692" s="174" t="s">
        <v>372</v>
      </c>
      <c r="C2692" s="174" t="s">
        <v>120</v>
      </c>
      <c r="D2692" s="174" t="s">
        <v>346</v>
      </c>
    </row>
    <row r="2693">
      <c r="A2693" s="173">
        <v>44210.0</v>
      </c>
      <c r="B2693" s="174" t="s">
        <v>372</v>
      </c>
      <c r="C2693" s="174" t="s">
        <v>120</v>
      </c>
      <c r="D2693" s="174" t="s">
        <v>346</v>
      </c>
    </row>
    <row r="2694">
      <c r="A2694" s="173">
        <v>44211.0</v>
      </c>
      <c r="B2694" s="174" t="s">
        <v>372</v>
      </c>
      <c r="C2694" s="174" t="s">
        <v>120</v>
      </c>
      <c r="D2694" s="174" t="s">
        <v>346</v>
      </c>
    </row>
    <row r="2695">
      <c r="A2695" s="173">
        <v>44212.0</v>
      </c>
      <c r="B2695" s="174" t="s">
        <v>372</v>
      </c>
      <c r="C2695" s="174" t="s">
        <v>120</v>
      </c>
      <c r="D2695" s="174" t="s">
        <v>346</v>
      </c>
    </row>
    <row r="2696">
      <c r="A2696" s="173">
        <v>44213.0</v>
      </c>
      <c r="B2696" s="174" t="s">
        <v>372</v>
      </c>
      <c r="C2696" s="174" t="s">
        <v>120</v>
      </c>
      <c r="D2696" s="174" t="s">
        <v>346</v>
      </c>
    </row>
    <row r="2697">
      <c r="A2697" s="173">
        <v>44214.0</v>
      </c>
      <c r="B2697" s="174" t="s">
        <v>373</v>
      </c>
      <c r="C2697" s="174" t="s">
        <v>120</v>
      </c>
      <c r="D2697" s="174" t="s">
        <v>347</v>
      </c>
    </row>
    <row r="2698">
      <c r="A2698" s="173">
        <v>44215.0</v>
      </c>
      <c r="B2698" s="174" t="s">
        <v>373</v>
      </c>
      <c r="C2698" s="174" t="s">
        <v>120</v>
      </c>
      <c r="D2698" s="174" t="s">
        <v>347</v>
      </c>
    </row>
    <row r="2699">
      <c r="A2699" s="173">
        <v>44216.0</v>
      </c>
      <c r="B2699" s="174" t="s">
        <v>373</v>
      </c>
      <c r="C2699" s="174" t="s">
        <v>120</v>
      </c>
      <c r="D2699" s="174" t="s">
        <v>347</v>
      </c>
    </row>
    <row r="2700">
      <c r="A2700" s="173">
        <v>44217.0</v>
      </c>
      <c r="B2700" s="174" t="s">
        <v>373</v>
      </c>
      <c r="C2700" s="174" t="s">
        <v>120</v>
      </c>
      <c r="D2700" s="174" t="s">
        <v>347</v>
      </c>
    </row>
    <row r="2701">
      <c r="A2701" s="173">
        <v>44218.0</v>
      </c>
      <c r="B2701" s="174" t="s">
        <v>373</v>
      </c>
      <c r="C2701" s="174" t="s">
        <v>120</v>
      </c>
      <c r="D2701" s="174" t="s">
        <v>347</v>
      </c>
    </row>
    <row r="2702">
      <c r="A2702" s="173">
        <v>44219.0</v>
      </c>
      <c r="B2702" s="174" t="s">
        <v>373</v>
      </c>
      <c r="C2702" s="174" t="s">
        <v>120</v>
      </c>
      <c r="D2702" s="174" t="s">
        <v>347</v>
      </c>
    </row>
    <row r="2703">
      <c r="A2703" s="173">
        <v>44220.0</v>
      </c>
      <c r="B2703" s="174" t="s">
        <v>373</v>
      </c>
      <c r="C2703" s="174" t="s">
        <v>120</v>
      </c>
      <c r="D2703" s="174" t="s">
        <v>347</v>
      </c>
    </row>
    <row r="2704">
      <c r="A2704" s="173">
        <v>44221.0</v>
      </c>
      <c r="B2704" s="174" t="s">
        <v>374</v>
      </c>
      <c r="C2704" s="174" t="s">
        <v>120</v>
      </c>
      <c r="D2704" s="174" t="s">
        <v>347</v>
      </c>
    </row>
    <row r="2705">
      <c r="A2705" s="173">
        <v>44222.0</v>
      </c>
      <c r="B2705" s="174" t="s">
        <v>374</v>
      </c>
      <c r="C2705" s="174" t="s">
        <v>120</v>
      </c>
      <c r="D2705" s="174" t="s">
        <v>347</v>
      </c>
    </row>
    <row r="2706">
      <c r="A2706" s="173">
        <v>44223.0</v>
      </c>
      <c r="B2706" s="174" t="s">
        <v>374</v>
      </c>
      <c r="C2706" s="174" t="s">
        <v>120</v>
      </c>
      <c r="D2706" s="174" t="s">
        <v>347</v>
      </c>
    </row>
    <row r="2707">
      <c r="A2707" s="173">
        <v>44224.0</v>
      </c>
      <c r="B2707" s="174" t="s">
        <v>374</v>
      </c>
      <c r="C2707" s="174" t="s">
        <v>120</v>
      </c>
      <c r="D2707" s="174" t="s">
        <v>347</v>
      </c>
    </row>
    <row r="2708">
      <c r="A2708" s="173">
        <v>44225.0</v>
      </c>
      <c r="B2708" s="174" t="s">
        <v>374</v>
      </c>
      <c r="C2708" s="174" t="s">
        <v>120</v>
      </c>
      <c r="D2708" s="174" t="s">
        <v>347</v>
      </c>
    </row>
    <row r="2709">
      <c r="A2709" s="173">
        <v>44226.0</v>
      </c>
      <c r="B2709" s="174" t="s">
        <v>374</v>
      </c>
      <c r="C2709" s="174" t="s">
        <v>120</v>
      </c>
      <c r="D2709" s="174" t="s">
        <v>347</v>
      </c>
    </row>
    <row r="2710">
      <c r="A2710" s="173">
        <v>44227.0</v>
      </c>
      <c r="B2710" s="174" t="s">
        <v>374</v>
      </c>
      <c r="C2710" s="174" t="s">
        <v>120</v>
      </c>
      <c r="D2710" s="174" t="s">
        <v>347</v>
      </c>
    </row>
    <row r="2711">
      <c r="A2711" s="173">
        <v>44228.0</v>
      </c>
      <c r="B2711" s="174" t="s">
        <v>375</v>
      </c>
      <c r="C2711" s="174" t="s">
        <v>120</v>
      </c>
      <c r="D2711" s="174" t="s">
        <v>347</v>
      </c>
    </row>
    <row r="2712">
      <c r="A2712" s="173">
        <v>44229.0</v>
      </c>
      <c r="B2712" s="174" t="s">
        <v>375</v>
      </c>
      <c r="C2712" s="174" t="s">
        <v>120</v>
      </c>
      <c r="D2712" s="174" t="s">
        <v>347</v>
      </c>
    </row>
    <row r="2713">
      <c r="A2713" s="173">
        <v>44230.0</v>
      </c>
      <c r="B2713" s="174" t="s">
        <v>375</v>
      </c>
      <c r="C2713" s="174" t="s">
        <v>120</v>
      </c>
      <c r="D2713" s="174" t="s">
        <v>347</v>
      </c>
    </row>
    <row r="2714">
      <c r="A2714" s="173">
        <v>44231.0</v>
      </c>
      <c r="B2714" s="174" t="s">
        <v>375</v>
      </c>
      <c r="C2714" s="174" t="s">
        <v>120</v>
      </c>
      <c r="D2714" s="174" t="s">
        <v>347</v>
      </c>
    </row>
    <row r="2715">
      <c r="A2715" s="173">
        <v>44232.0</v>
      </c>
      <c r="B2715" s="174" t="s">
        <v>375</v>
      </c>
      <c r="C2715" s="174" t="s">
        <v>120</v>
      </c>
      <c r="D2715" s="174" t="s">
        <v>347</v>
      </c>
    </row>
    <row r="2716">
      <c r="A2716" s="173">
        <v>44233.0</v>
      </c>
      <c r="B2716" s="174" t="s">
        <v>375</v>
      </c>
      <c r="C2716" s="174" t="s">
        <v>120</v>
      </c>
      <c r="D2716" s="174" t="s">
        <v>347</v>
      </c>
    </row>
    <row r="2717">
      <c r="A2717" s="173">
        <v>44234.0</v>
      </c>
      <c r="B2717" s="174" t="s">
        <v>375</v>
      </c>
      <c r="C2717" s="174" t="s">
        <v>120</v>
      </c>
      <c r="D2717" s="174" t="s">
        <v>347</v>
      </c>
    </row>
    <row r="2718">
      <c r="A2718" s="173">
        <v>44235.0</v>
      </c>
      <c r="B2718" s="174" t="s">
        <v>376</v>
      </c>
      <c r="C2718" s="174" t="s">
        <v>120</v>
      </c>
      <c r="D2718" s="174" t="s">
        <v>347</v>
      </c>
    </row>
    <row r="2719">
      <c r="A2719" s="173">
        <v>44236.0</v>
      </c>
      <c r="B2719" s="174" t="s">
        <v>376</v>
      </c>
      <c r="C2719" s="174" t="s">
        <v>120</v>
      </c>
      <c r="D2719" s="174" t="s">
        <v>347</v>
      </c>
    </row>
    <row r="2720">
      <c r="A2720" s="173">
        <v>44237.0</v>
      </c>
      <c r="B2720" s="174" t="s">
        <v>376</v>
      </c>
      <c r="C2720" s="174" t="s">
        <v>120</v>
      </c>
      <c r="D2720" s="174" t="s">
        <v>347</v>
      </c>
    </row>
    <row r="2721">
      <c r="A2721" s="173">
        <v>44238.0</v>
      </c>
      <c r="B2721" s="174" t="s">
        <v>376</v>
      </c>
      <c r="C2721" s="174" t="s">
        <v>120</v>
      </c>
      <c r="D2721" s="174" t="s">
        <v>347</v>
      </c>
    </row>
    <row r="2722">
      <c r="A2722" s="173">
        <v>44239.0</v>
      </c>
      <c r="B2722" s="174" t="s">
        <v>376</v>
      </c>
      <c r="C2722" s="174" t="s">
        <v>120</v>
      </c>
      <c r="D2722" s="174" t="s">
        <v>347</v>
      </c>
    </row>
    <row r="2723">
      <c r="A2723" s="173">
        <v>44240.0</v>
      </c>
      <c r="B2723" s="174" t="s">
        <v>376</v>
      </c>
      <c r="C2723" s="174" t="s">
        <v>120</v>
      </c>
      <c r="D2723" s="174" t="s">
        <v>347</v>
      </c>
    </row>
    <row r="2724">
      <c r="A2724" s="173">
        <v>44241.0</v>
      </c>
      <c r="B2724" s="174" t="s">
        <v>376</v>
      </c>
      <c r="C2724" s="174" t="s">
        <v>120</v>
      </c>
      <c r="D2724" s="174" t="s">
        <v>347</v>
      </c>
    </row>
    <row r="2725">
      <c r="A2725" s="173">
        <v>44242.0</v>
      </c>
      <c r="B2725" s="174" t="s">
        <v>377</v>
      </c>
      <c r="C2725" s="174" t="s">
        <v>120</v>
      </c>
      <c r="D2725" s="174" t="s">
        <v>348</v>
      </c>
    </row>
    <row r="2726">
      <c r="A2726" s="173">
        <v>44243.0</v>
      </c>
      <c r="B2726" s="174" t="s">
        <v>377</v>
      </c>
      <c r="C2726" s="174" t="s">
        <v>120</v>
      </c>
      <c r="D2726" s="174" t="s">
        <v>348</v>
      </c>
    </row>
    <row r="2727">
      <c r="A2727" s="173">
        <v>44244.0</v>
      </c>
      <c r="B2727" s="174" t="s">
        <v>377</v>
      </c>
      <c r="C2727" s="174" t="s">
        <v>120</v>
      </c>
      <c r="D2727" s="174" t="s">
        <v>348</v>
      </c>
    </row>
    <row r="2728">
      <c r="A2728" s="173">
        <v>44245.0</v>
      </c>
      <c r="B2728" s="174" t="s">
        <v>377</v>
      </c>
      <c r="C2728" s="174" t="s">
        <v>120</v>
      </c>
      <c r="D2728" s="174" t="s">
        <v>348</v>
      </c>
    </row>
    <row r="2729">
      <c r="A2729" s="173">
        <v>44246.0</v>
      </c>
      <c r="B2729" s="174" t="s">
        <v>377</v>
      </c>
      <c r="C2729" s="174" t="s">
        <v>120</v>
      </c>
      <c r="D2729" s="174" t="s">
        <v>348</v>
      </c>
    </row>
    <row r="2730">
      <c r="A2730" s="173">
        <v>44247.0</v>
      </c>
      <c r="B2730" s="174" t="s">
        <v>377</v>
      </c>
      <c r="C2730" s="174" t="s">
        <v>120</v>
      </c>
      <c r="D2730" s="174" t="s">
        <v>348</v>
      </c>
    </row>
    <row r="2731">
      <c r="A2731" s="173">
        <v>44248.0</v>
      </c>
      <c r="B2731" s="174" t="s">
        <v>377</v>
      </c>
      <c r="C2731" s="174" t="s">
        <v>120</v>
      </c>
      <c r="D2731" s="174" t="s">
        <v>348</v>
      </c>
    </row>
    <row r="2732">
      <c r="A2732" s="173">
        <v>44249.0</v>
      </c>
      <c r="B2732" s="174" t="s">
        <v>378</v>
      </c>
      <c r="C2732" s="174" t="s">
        <v>120</v>
      </c>
      <c r="D2732" s="174" t="s">
        <v>348</v>
      </c>
    </row>
    <row r="2733">
      <c r="A2733" s="173">
        <v>44250.0</v>
      </c>
      <c r="B2733" s="174" t="s">
        <v>378</v>
      </c>
      <c r="C2733" s="174" t="s">
        <v>120</v>
      </c>
      <c r="D2733" s="174" t="s">
        <v>348</v>
      </c>
    </row>
    <row r="2734">
      <c r="A2734" s="173">
        <v>44251.0</v>
      </c>
      <c r="B2734" s="174" t="s">
        <v>378</v>
      </c>
      <c r="C2734" s="174" t="s">
        <v>120</v>
      </c>
      <c r="D2734" s="174" t="s">
        <v>348</v>
      </c>
    </row>
    <row r="2735">
      <c r="A2735" s="173">
        <v>44252.0</v>
      </c>
      <c r="B2735" s="174" t="s">
        <v>378</v>
      </c>
      <c r="C2735" s="174" t="s">
        <v>120</v>
      </c>
      <c r="D2735" s="174" t="s">
        <v>348</v>
      </c>
    </row>
    <row r="2736">
      <c r="A2736" s="173">
        <v>44253.0</v>
      </c>
      <c r="B2736" s="174" t="s">
        <v>378</v>
      </c>
      <c r="C2736" s="174" t="s">
        <v>120</v>
      </c>
      <c r="D2736" s="174" t="s">
        <v>348</v>
      </c>
    </row>
    <row r="2737">
      <c r="A2737" s="173">
        <v>44254.0</v>
      </c>
      <c r="B2737" s="174" t="s">
        <v>378</v>
      </c>
      <c r="C2737" s="174" t="s">
        <v>120</v>
      </c>
      <c r="D2737" s="174" t="s">
        <v>348</v>
      </c>
    </row>
    <row r="2738">
      <c r="A2738" s="173">
        <v>44255.0</v>
      </c>
      <c r="B2738" s="174" t="s">
        <v>378</v>
      </c>
      <c r="C2738" s="174" t="s">
        <v>120</v>
      </c>
      <c r="D2738" s="174" t="s">
        <v>348</v>
      </c>
    </row>
    <row r="2739">
      <c r="A2739" s="173">
        <v>44256.0</v>
      </c>
      <c r="B2739" s="174" t="s">
        <v>379</v>
      </c>
      <c r="C2739" s="174" t="s">
        <v>120</v>
      </c>
      <c r="D2739" s="174" t="s">
        <v>348</v>
      </c>
    </row>
    <row r="2740">
      <c r="A2740" s="173">
        <v>44257.0</v>
      </c>
      <c r="B2740" s="174" t="s">
        <v>379</v>
      </c>
      <c r="C2740" s="174" t="s">
        <v>120</v>
      </c>
      <c r="D2740" s="174" t="s">
        <v>348</v>
      </c>
    </row>
    <row r="2741">
      <c r="A2741" s="173">
        <v>44258.0</v>
      </c>
      <c r="B2741" s="174" t="s">
        <v>379</v>
      </c>
      <c r="C2741" s="174" t="s">
        <v>120</v>
      </c>
      <c r="D2741" s="174" t="s">
        <v>348</v>
      </c>
    </row>
    <row r="2742">
      <c r="A2742" s="173">
        <v>44259.0</v>
      </c>
      <c r="B2742" s="174" t="s">
        <v>379</v>
      </c>
      <c r="C2742" s="174" t="s">
        <v>120</v>
      </c>
      <c r="D2742" s="174" t="s">
        <v>348</v>
      </c>
    </row>
    <row r="2743">
      <c r="A2743" s="173">
        <v>44260.0</v>
      </c>
      <c r="B2743" s="174" t="s">
        <v>379</v>
      </c>
      <c r="C2743" s="174" t="s">
        <v>120</v>
      </c>
      <c r="D2743" s="174" t="s">
        <v>348</v>
      </c>
    </row>
    <row r="2744">
      <c r="A2744" s="173">
        <v>44261.0</v>
      </c>
      <c r="B2744" s="174" t="s">
        <v>379</v>
      </c>
      <c r="C2744" s="174" t="s">
        <v>120</v>
      </c>
      <c r="D2744" s="174" t="s">
        <v>348</v>
      </c>
    </row>
    <row r="2745">
      <c r="A2745" s="173">
        <v>44262.0</v>
      </c>
      <c r="B2745" s="174" t="s">
        <v>379</v>
      </c>
      <c r="C2745" s="174" t="s">
        <v>120</v>
      </c>
      <c r="D2745" s="174" t="s">
        <v>348</v>
      </c>
    </row>
    <row r="2746">
      <c r="A2746" s="173">
        <v>44263.0</v>
      </c>
      <c r="B2746" s="174" t="s">
        <v>380</v>
      </c>
      <c r="C2746" s="174" t="s">
        <v>120</v>
      </c>
      <c r="D2746" s="174" t="s">
        <v>348</v>
      </c>
    </row>
    <row r="2747">
      <c r="A2747" s="173">
        <v>44264.0</v>
      </c>
      <c r="B2747" s="174" t="s">
        <v>380</v>
      </c>
      <c r="C2747" s="174" t="s">
        <v>120</v>
      </c>
      <c r="D2747" s="174" t="s">
        <v>348</v>
      </c>
    </row>
    <row r="2748">
      <c r="A2748" s="173">
        <v>44265.0</v>
      </c>
      <c r="B2748" s="174" t="s">
        <v>380</v>
      </c>
      <c r="C2748" s="174" t="s">
        <v>120</v>
      </c>
      <c r="D2748" s="174" t="s">
        <v>348</v>
      </c>
    </row>
    <row r="2749">
      <c r="A2749" s="173">
        <v>44266.0</v>
      </c>
      <c r="B2749" s="174" t="s">
        <v>380</v>
      </c>
      <c r="C2749" s="174" t="s">
        <v>120</v>
      </c>
      <c r="D2749" s="174" t="s">
        <v>348</v>
      </c>
    </row>
    <row r="2750">
      <c r="A2750" s="173">
        <v>44267.0</v>
      </c>
      <c r="B2750" s="174" t="s">
        <v>380</v>
      </c>
      <c r="C2750" s="174" t="s">
        <v>120</v>
      </c>
      <c r="D2750" s="174" t="s">
        <v>348</v>
      </c>
    </row>
    <row r="2751">
      <c r="A2751" s="173">
        <v>44268.0</v>
      </c>
      <c r="B2751" s="174" t="s">
        <v>380</v>
      </c>
      <c r="C2751" s="174" t="s">
        <v>120</v>
      </c>
      <c r="D2751" s="174" t="s">
        <v>348</v>
      </c>
    </row>
    <row r="2752">
      <c r="A2752" s="173">
        <v>44269.0</v>
      </c>
      <c r="B2752" s="174" t="s">
        <v>380</v>
      </c>
      <c r="C2752" s="174" t="s">
        <v>120</v>
      </c>
      <c r="D2752" s="174" t="s">
        <v>348</v>
      </c>
    </row>
    <row r="2753">
      <c r="A2753" s="173">
        <v>44270.0</v>
      </c>
      <c r="B2753" s="174" t="s">
        <v>381</v>
      </c>
      <c r="C2753" s="174" t="s">
        <v>120</v>
      </c>
      <c r="D2753" s="174" t="s">
        <v>349</v>
      </c>
    </row>
    <row r="2754">
      <c r="A2754" s="173">
        <v>44271.0</v>
      </c>
      <c r="B2754" s="174" t="s">
        <v>381</v>
      </c>
      <c r="C2754" s="174" t="s">
        <v>120</v>
      </c>
      <c r="D2754" s="174" t="s">
        <v>349</v>
      </c>
    </row>
    <row r="2755">
      <c r="A2755" s="173">
        <v>44272.0</v>
      </c>
      <c r="B2755" s="174" t="s">
        <v>381</v>
      </c>
      <c r="C2755" s="174" t="s">
        <v>120</v>
      </c>
      <c r="D2755" s="174" t="s">
        <v>349</v>
      </c>
    </row>
    <row r="2756">
      <c r="A2756" s="173">
        <v>44273.0</v>
      </c>
      <c r="B2756" s="174" t="s">
        <v>381</v>
      </c>
      <c r="C2756" s="174" t="s">
        <v>120</v>
      </c>
      <c r="D2756" s="174" t="s">
        <v>349</v>
      </c>
    </row>
    <row r="2757">
      <c r="A2757" s="173">
        <v>44274.0</v>
      </c>
      <c r="B2757" s="174" t="s">
        <v>381</v>
      </c>
      <c r="C2757" s="174" t="s">
        <v>120</v>
      </c>
      <c r="D2757" s="174" t="s">
        <v>349</v>
      </c>
    </row>
    <row r="2758">
      <c r="A2758" s="173">
        <v>44275.0</v>
      </c>
      <c r="B2758" s="174" t="s">
        <v>381</v>
      </c>
      <c r="C2758" s="174" t="s">
        <v>120</v>
      </c>
      <c r="D2758" s="174" t="s">
        <v>349</v>
      </c>
    </row>
    <row r="2759">
      <c r="A2759" s="173">
        <v>44276.0</v>
      </c>
      <c r="B2759" s="174" t="s">
        <v>381</v>
      </c>
      <c r="C2759" s="174" t="s">
        <v>120</v>
      </c>
      <c r="D2759" s="174" t="s">
        <v>349</v>
      </c>
    </row>
    <row r="2760">
      <c r="A2760" s="173">
        <v>44277.0</v>
      </c>
      <c r="B2760" s="174" t="s">
        <v>382</v>
      </c>
      <c r="C2760" s="174" t="s">
        <v>120</v>
      </c>
      <c r="D2760" s="174" t="s">
        <v>349</v>
      </c>
    </row>
    <row r="2761">
      <c r="A2761" s="173">
        <v>44278.0</v>
      </c>
      <c r="B2761" s="174" t="s">
        <v>382</v>
      </c>
      <c r="C2761" s="174" t="s">
        <v>120</v>
      </c>
      <c r="D2761" s="174" t="s">
        <v>349</v>
      </c>
    </row>
    <row r="2762">
      <c r="A2762" s="173">
        <v>44279.0</v>
      </c>
      <c r="B2762" s="174" t="s">
        <v>382</v>
      </c>
      <c r="C2762" s="174" t="s">
        <v>120</v>
      </c>
      <c r="D2762" s="174" t="s">
        <v>349</v>
      </c>
    </row>
    <row r="2763">
      <c r="A2763" s="173">
        <v>44280.0</v>
      </c>
      <c r="B2763" s="174" t="s">
        <v>382</v>
      </c>
      <c r="C2763" s="174" t="s">
        <v>120</v>
      </c>
      <c r="D2763" s="174" t="s">
        <v>349</v>
      </c>
    </row>
    <row r="2764">
      <c r="A2764" s="173">
        <v>44281.0</v>
      </c>
      <c r="B2764" s="174" t="s">
        <v>382</v>
      </c>
      <c r="C2764" s="174" t="s">
        <v>120</v>
      </c>
      <c r="D2764" s="174" t="s">
        <v>349</v>
      </c>
    </row>
    <row r="2765">
      <c r="A2765" s="173">
        <v>44282.0</v>
      </c>
      <c r="B2765" s="174" t="s">
        <v>382</v>
      </c>
      <c r="C2765" s="174" t="s">
        <v>120</v>
      </c>
      <c r="D2765" s="174" t="s">
        <v>349</v>
      </c>
    </row>
    <row r="2766">
      <c r="A2766" s="173">
        <v>44283.0</v>
      </c>
      <c r="B2766" s="174" t="s">
        <v>382</v>
      </c>
      <c r="C2766" s="174" t="s">
        <v>120</v>
      </c>
      <c r="D2766" s="174" t="s">
        <v>349</v>
      </c>
    </row>
    <row r="2767">
      <c r="A2767" s="173">
        <v>44284.0</v>
      </c>
      <c r="B2767" s="174" t="s">
        <v>383</v>
      </c>
      <c r="C2767" s="174" t="s">
        <v>120</v>
      </c>
      <c r="D2767" s="174" t="s">
        <v>349</v>
      </c>
    </row>
    <row r="2768">
      <c r="A2768" s="173">
        <v>44285.0</v>
      </c>
      <c r="B2768" s="174" t="s">
        <v>383</v>
      </c>
      <c r="C2768" s="174" t="s">
        <v>120</v>
      </c>
      <c r="D2768" s="174" t="s">
        <v>349</v>
      </c>
    </row>
    <row r="2769">
      <c r="A2769" s="173">
        <v>44286.0</v>
      </c>
      <c r="B2769" s="174" t="s">
        <v>383</v>
      </c>
      <c r="C2769" s="174" t="s">
        <v>120</v>
      </c>
      <c r="D2769" s="174" t="s">
        <v>349</v>
      </c>
    </row>
    <row r="2770">
      <c r="A2770" s="173">
        <v>44287.0</v>
      </c>
      <c r="B2770" s="174" t="s">
        <v>383</v>
      </c>
      <c r="C2770" s="174" t="s">
        <v>120</v>
      </c>
      <c r="D2770" s="174" t="s">
        <v>349</v>
      </c>
    </row>
    <row r="2771">
      <c r="A2771" s="173">
        <v>44288.0</v>
      </c>
      <c r="B2771" s="174" t="s">
        <v>383</v>
      </c>
      <c r="C2771" s="174" t="s">
        <v>120</v>
      </c>
      <c r="D2771" s="174" t="s">
        <v>349</v>
      </c>
    </row>
    <row r="2772">
      <c r="A2772" s="173">
        <v>44289.0</v>
      </c>
      <c r="B2772" s="174" t="s">
        <v>383</v>
      </c>
      <c r="C2772" s="174" t="s">
        <v>120</v>
      </c>
      <c r="D2772" s="174" t="s">
        <v>349</v>
      </c>
    </row>
    <row r="2773">
      <c r="A2773" s="173">
        <v>44290.0</v>
      </c>
      <c r="B2773" s="174" t="s">
        <v>383</v>
      </c>
      <c r="C2773" s="174" t="s">
        <v>120</v>
      </c>
      <c r="D2773" s="174" t="s">
        <v>349</v>
      </c>
    </row>
    <row r="2774">
      <c r="A2774" s="173">
        <v>44291.0</v>
      </c>
      <c r="B2774" s="174" t="s">
        <v>384</v>
      </c>
      <c r="C2774" s="174" t="s">
        <v>120</v>
      </c>
      <c r="D2774" s="174" t="s">
        <v>349</v>
      </c>
    </row>
    <row r="2775">
      <c r="A2775" s="173">
        <v>44292.0</v>
      </c>
      <c r="B2775" s="174" t="s">
        <v>384</v>
      </c>
      <c r="C2775" s="174" t="s">
        <v>120</v>
      </c>
      <c r="D2775" s="174" t="s">
        <v>349</v>
      </c>
    </row>
    <row r="2776">
      <c r="A2776" s="173">
        <v>44293.0</v>
      </c>
      <c r="B2776" s="174" t="s">
        <v>384</v>
      </c>
      <c r="C2776" s="174" t="s">
        <v>120</v>
      </c>
      <c r="D2776" s="174" t="s">
        <v>349</v>
      </c>
    </row>
    <row r="2777">
      <c r="A2777" s="173">
        <v>44294.0</v>
      </c>
      <c r="B2777" s="174" t="s">
        <v>384</v>
      </c>
      <c r="C2777" s="174" t="s">
        <v>120</v>
      </c>
      <c r="D2777" s="174" t="s">
        <v>349</v>
      </c>
    </row>
    <row r="2778">
      <c r="A2778" s="173">
        <v>44295.0</v>
      </c>
      <c r="B2778" s="174" t="s">
        <v>384</v>
      </c>
      <c r="C2778" s="174" t="s">
        <v>120</v>
      </c>
      <c r="D2778" s="174" t="s">
        <v>349</v>
      </c>
    </row>
    <row r="2779">
      <c r="A2779" s="173">
        <v>44296.0</v>
      </c>
      <c r="B2779" s="174" t="s">
        <v>384</v>
      </c>
      <c r="C2779" s="174" t="s">
        <v>120</v>
      </c>
      <c r="D2779" s="174" t="s">
        <v>349</v>
      </c>
    </row>
    <row r="2780">
      <c r="A2780" s="173">
        <v>44297.0</v>
      </c>
      <c r="B2780" s="174" t="s">
        <v>384</v>
      </c>
      <c r="C2780" s="174" t="s">
        <v>120</v>
      </c>
      <c r="D2780" s="174" t="s">
        <v>349</v>
      </c>
    </row>
    <row r="2781">
      <c r="A2781" s="173">
        <v>44298.0</v>
      </c>
      <c r="B2781" s="174" t="s">
        <v>385</v>
      </c>
      <c r="C2781" s="174" t="s">
        <v>120</v>
      </c>
      <c r="D2781" s="174" t="s">
        <v>351</v>
      </c>
    </row>
    <row r="2782">
      <c r="A2782" s="173">
        <v>44299.0</v>
      </c>
      <c r="B2782" s="174" t="s">
        <v>385</v>
      </c>
      <c r="C2782" s="174" t="s">
        <v>120</v>
      </c>
      <c r="D2782" s="174" t="s">
        <v>351</v>
      </c>
    </row>
    <row r="2783">
      <c r="A2783" s="173">
        <v>44300.0</v>
      </c>
      <c r="B2783" s="174" t="s">
        <v>385</v>
      </c>
      <c r="C2783" s="174" t="s">
        <v>120</v>
      </c>
      <c r="D2783" s="174" t="s">
        <v>351</v>
      </c>
    </row>
    <row r="2784">
      <c r="A2784" s="173">
        <v>44301.0</v>
      </c>
      <c r="B2784" s="174" t="s">
        <v>385</v>
      </c>
      <c r="C2784" s="174" t="s">
        <v>120</v>
      </c>
      <c r="D2784" s="174" t="s">
        <v>351</v>
      </c>
    </row>
    <row r="2785">
      <c r="A2785" s="173">
        <v>44302.0</v>
      </c>
      <c r="B2785" s="174" t="s">
        <v>385</v>
      </c>
      <c r="C2785" s="174" t="s">
        <v>120</v>
      </c>
      <c r="D2785" s="174" t="s">
        <v>351</v>
      </c>
    </row>
    <row r="2786">
      <c r="A2786" s="173">
        <v>44303.0</v>
      </c>
      <c r="B2786" s="174" t="s">
        <v>385</v>
      </c>
      <c r="C2786" s="174" t="s">
        <v>120</v>
      </c>
      <c r="D2786" s="174" t="s">
        <v>351</v>
      </c>
    </row>
    <row r="2787">
      <c r="A2787" s="173">
        <v>44304.0</v>
      </c>
      <c r="B2787" s="174" t="s">
        <v>385</v>
      </c>
      <c r="C2787" s="174" t="s">
        <v>120</v>
      </c>
      <c r="D2787" s="174" t="s">
        <v>351</v>
      </c>
    </row>
    <row r="2788">
      <c r="A2788" s="173">
        <v>44305.0</v>
      </c>
      <c r="B2788" s="174" t="s">
        <v>386</v>
      </c>
      <c r="C2788" s="174" t="s">
        <v>120</v>
      </c>
      <c r="D2788" s="174" t="s">
        <v>351</v>
      </c>
    </row>
    <row r="2789">
      <c r="A2789" s="173">
        <v>44306.0</v>
      </c>
      <c r="B2789" s="174" t="s">
        <v>386</v>
      </c>
      <c r="C2789" s="174" t="s">
        <v>120</v>
      </c>
      <c r="D2789" s="174" t="s">
        <v>351</v>
      </c>
    </row>
    <row r="2790">
      <c r="A2790" s="173">
        <v>44307.0</v>
      </c>
      <c r="B2790" s="174" t="s">
        <v>386</v>
      </c>
      <c r="C2790" s="174" t="s">
        <v>120</v>
      </c>
      <c r="D2790" s="174" t="s">
        <v>351</v>
      </c>
    </row>
    <row r="2791">
      <c r="A2791" s="173">
        <v>44308.0</v>
      </c>
      <c r="B2791" s="174" t="s">
        <v>386</v>
      </c>
      <c r="C2791" s="174" t="s">
        <v>120</v>
      </c>
      <c r="D2791" s="174" t="s">
        <v>351</v>
      </c>
    </row>
    <row r="2792">
      <c r="A2792" s="173">
        <v>44309.0</v>
      </c>
      <c r="B2792" s="174" t="s">
        <v>386</v>
      </c>
      <c r="C2792" s="174" t="s">
        <v>120</v>
      </c>
      <c r="D2792" s="174" t="s">
        <v>351</v>
      </c>
    </row>
    <row r="2793">
      <c r="A2793" s="173">
        <v>44310.0</v>
      </c>
      <c r="B2793" s="174" t="s">
        <v>386</v>
      </c>
      <c r="C2793" s="174" t="s">
        <v>120</v>
      </c>
      <c r="D2793" s="174" t="s">
        <v>351</v>
      </c>
    </row>
    <row r="2794">
      <c r="A2794" s="173">
        <v>44311.0</v>
      </c>
      <c r="B2794" s="174" t="s">
        <v>386</v>
      </c>
      <c r="C2794" s="174" t="s">
        <v>120</v>
      </c>
      <c r="D2794" s="174" t="s">
        <v>351</v>
      </c>
    </row>
    <row r="2795">
      <c r="A2795" s="173">
        <v>44312.0</v>
      </c>
      <c r="B2795" s="174" t="s">
        <v>387</v>
      </c>
      <c r="C2795" s="174" t="s">
        <v>120</v>
      </c>
      <c r="D2795" s="174" t="s">
        <v>351</v>
      </c>
    </row>
    <row r="2796">
      <c r="A2796" s="173">
        <v>44313.0</v>
      </c>
      <c r="B2796" s="174" t="s">
        <v>387</v>
      </c>
      <c r="C2796" s="174" t="s">
        <v>120</v>
      </c>
      <c r="D2796" s="174" t="s">
        <v>351</v>
      </c>
    </row>
    <row r="2797">
      <c r="A2797" s="173">
        <v>44314.0</v>
      </c>
      <c r="B2797" s="174" t="s">
        <v>387</v>
      </c>
      <c r="C2797" s="174" t="s">
        <v>120</v>
      </c>
      <c r="D2797" s="174" t="s">
        <v>351</v>
      </c>
    </row>
    <row r="2798">
      <c r="A2798" s="173">
        <v>44315.0</v>
      </c>
      <c r="B2798" s="174" t="s">
        <v>387</v>
      </c>
      <c r="C2798" s="174" t="s">
        <v>120</v>
      </c>
      <c r="D2798" s="174" t="s">
        <v>351</v>
      </c>
    </row>
    <row r="2799">
      <c r="A2799" s="173">
        <v>44316.0</v>
      </c>
      <c r="B2799" s="174" t="s">
        <v>387</v>
      </c>
      <c r="C2799" s="174" t="s">
        <v>120</v>
      </c>
      <c r="D2799" s="174" t="s">
        <v>351</v>
      </c>
    </row>
    <row r="2800">
      <c r="A2800" s="173">
        <v>44317.0</v>
      </c>
      <c r="B2800" s="174" t="s">
        <v>387</v>
      </c>
      <c r="C2800" s="174" t="s">
        <v>120</v>
      </c>
      <c r="D2800" s="174" t="s">
        <v>351</v>
      </c>
    </row>
    <row r="2801">
      <c r="A2801" s="173">
        <v>44318.0</v>
      </c>
      <c r="B2801" s="174" t="s">
        <v>387</v>
      </c>
      <c r="C2801" s="174" t="s">
        <v>120</v>
      </c>
      <c r="D2801" s="174" t="s">
        <v>351</v>
      </c>
    </row>
    <row r="2802">
      <c r="A2802" s="173">
        <v>44319.0</v>
      </c>
      <c r="B2802" s="174" t="s">
        <v>388</v>
      </c>
      <c r="C2802" s="174" t="s">
        <v>120</v>
      </c>
      <c r="D2802" s="174" t="s">
        <v>351</v>
      </c>
    </row>
    <row r="2803">
      <c r="A2803" s="173">
        <v>44320.0</v>
      </c>
      <c r="B2803" s="174" t="s">
        <v>388</v>
      </c>
      <c r="C2803" s="174" t="s">
        <v>120</v>
      </c>
      <c r="D2803" s="174" t="s">
        <v>351</v>
      </c>
    </row>
    <row r="2804">
      <c r="A2804" s="173">
        <v>44321.0</v>
      </c>
      <c r="B2804" s="174" t="s">
        <v>388</v>
      </c>
      <c r="C2804" s="174" t="s">
        <v>120</v>
      </c>
      <c r="D2804" s="174" t="s">
        <v>351</v>
      </c>
    </row>
    <row r="2805">
      <c r="A2805" s="173">
        <v>44322.0</v>
      </c>
      <c r="B2805" s="174" t="s">
        <v>388</v>
      </c>
      <c r="C2805" s="174" t="s">
        <v>120</v>
      </c>
      <c r="D2805" s="174" t="s">
        <v>351</v>
      </c>
    </row>
    <row r="2806">
      <c r="A2806" s="173">
        <v>44323.0</v>
      </c>
      <c r="B2806" s="174" t="s">
        <v>388</v>
      </c>
      <c r="C2806" s="174" t="s">
        <v>120</v>
      </c>
      <c r="D2806" s="174" t="s">
        <v>351</v>
      </c>
    </row>
    <row r="2807">
      <c r="A2807" s="173">
        <v>44324.0</v>
      </c>
      <c r="B2807" s="174" t="s">
        <v>388</v>
      </c>
      <c r="C2807" s="174" t="s">
        <v>120</v>
      </c>
      <c r="D2807" s="174" t="s">
        <v>351</v>
      </c>
    </row>
    <row r="2808">
      <c r="A2808" s="173">
        <v>44325.0</v>
      </c>
      <c r="B2808" s="174" t="s">
        <v>388</v>
      </c>
      <c r="C2808" s="174" t="s">
        <v>120</v>
      </c>
      <c r="D2808" s="174" t="s">
        <v>351</v>
      </c>
    </row>
    <row r="2809">
      <c r="A2809" s="173">
        <v>44326.0</v>
      </c>
      <c r="B2809" s="174" t="s">
        <v>389</v>
      </c>
      <c r="C2809" s="174" t="s">
        <v>120</v>
      </c>
      <c r="D2809" s="174" t="s">
        <v>352</v>
      </c>
    </row>
    <row r="2810">
      <c r="A2810" s="173">
        <v>44327.0</v>
      </c>
      <c r="B2810" s="174" t="s">
        <v>389</v>
      </c>
      <c r="C2810" s="174" t="s">
        <v>120</v>
      </c>
      <c r="D2810" s="174" t="s">
        <v>352</v>
      </c>
    </row>
    <row r="2811">
      <c r="A2811" s="173">
        <v>44328.0</v>
      </c>
      <c r="B2811" s="174" t="s">
        <v>389</v>
      </c>
      <c r="C2811" s="174" t="s">
        <v>120</v>
      </c>
      <c r="D2811" s="174" t="s">
        <v>352</v>
      </c>
    </row>
    <row r="2812">
      <c r="A2812" s="173">
        <v>44329.0</v>
      </c>
      <c r="B2812" s="174" t="s">
        <v>389</v>
      </c>
      <c r="C2812" s="174" t="s">
        <v>120</v>
      </c>
      <c r="D2812" s="174" t="s">
        <v>352</v>
      </c>
    </row>
    <row r="2813">
      <c r="A2813" s="173">
        <v>44330.0</v>
      </c>
      <c r="B2813" s="174" t="s">
        <v>389</v>
      </c>
      <c r="C2813" s="174" t="s">
        <v>120</v>
      </c>
      <c r="D2813" s="174" t="s">
        <v>352</v>
      </c>
    </row>
    <row r="2814">
      <c r="A2814" s="173">
        <v>44331.0</v>
      </c>
      <c r="B2814" s="174" t="s">
        <v>389</v>
      </c>
      <c r="C2814" s="174" t="s">
        <v>120</v>
      </c>
      <c r="D2814" s="174" t="s">
        <v>352</v>
      </c>
    </row>
    <row r="2815">
      <c r="A2815" s="173">
        <v>44332.0</v>
      </c>
      <c r="B2815" s="174" t="s">
        <v>389</v>
      </c>
      <c r="C2815" s="174" t="s">
        <v>120</v>
      </c>
      <c r="D2815" s="174" t="s">
        <v>352</v>
      </c>
    </row>
    <row r="2816">
      <c r="A2816" s="173">
        <v>44333.0</v>
      </c>
      <c r="B2816" s="174" t="s">
        <v>390</v>
      </c>
      <c r="C2816" s="174" t="s">
        <v>120</v>
      </c>
      <c r="D2816" s="174" t="s">
        <v>352</v>
      </c>
    </row>
    <row r="2817">
      <c r="A2817" s="173">
        <v>44334.0</v>
      </c>
      <c r="B2817" s="174" t="s">
        <v>390</v>
      </c>
      <c r="C2817" s="174" t="s">
        <v>120</v>
      </c>
      <c r="D2817" s="174" t="s">
        <v>352</v>
      </c>
    </row>
    <row r="2818">
      <c r="A2818" s="173">
        <v>44335.0</v>
      </c>
      <c r="B2818" s="174" t="s">
        <v>390</v>
      </c>
      <c r="C2818" s="174" t="s">
        <v>120</v>
      </c>
      <c r="D2818" s="174" t="s">
        <v>352</v>
      </c>
    </row>
    <row r="2819">
      <c r="A2819" s="173">
        <v>44336.0</v>
      </c>
      <c r="B2819" s="174" t="s">
        <v>390</v>
      </c>
      <c r="C2819" s="174" t="s">
        <v>120</v>
      </c>
      <c r="D2819" s="174" t="s">
        <v>352</v>
      </c>
    </row>
    <row r="2820">
      <c r="A2820" s="173">
        <v>44337.0</v>
      </c>
      <c r="B2820" s="174" t="s">
        <v>390</v>
      </c>
      <c r="C2820" s="174" t="s">
        <v>120</v>
      </c>
      <c r="D2820" s="174" t="s">
        <v>352</v>
      </c>
    </row>
    <row r="2821">
      <c r="A2821" s="173">
        <v>44338.0</v>
      </c>
      <c r="B2821" s="174" t="s">
        <v>390</v>
      </c>
      <c r="C2821" s="174" t="s">
        <v>120</v>
      </c>
      <c r="D2821" s="174" t="s">
        <v>352</v>
      </c>
    </row>
    <row r="2822">
      <c r="A2822" s="173">
        <v>44339.0</v>
      </c>
      <c r="B2822" s="174" t="s">
        <v>390</v>
      </c>
      <c r="C2822" s="174" t="s">
        <v>120</v>
      </c>
      <c r="D2822" s="174" t="s">
        <v>352</v>
      </c>
    </row>
    <row r="2823">
      <c r="A2823" s="173">
        <v>44340.0</v>
      </c>
      <c r="B2823" s="174" t="s">
        <v>391</v>
      </c>
      <c r="C2823" s="174" t="s">
        <v>120</v>
      </c>
      <c r="D2823" s="174" t="s">
        <v>352</v>
      </c>
    </row>
    <row r="2824">
      <c r="A2824" s="173">
        <v>44341.0</v>
      </c>
      <c r="B2824" s="174" t="s">
        <v>391</v>
      </c>
      <c r="C2824" s="174" t="s">
        <v>120</v>
      </c>
      <c r="D2824" s="174" t="s">
        <v>352</v>
      </c>
    </row>
    <row r="2825">
      <c r="A2825" s="173">
        <v>44342.0</v>
      </c>
      <c r="B2825" s="174" t="s">
        <v>391</v>
      </c>
      <c r="C2825" s="174" t="s">
        <v>120</v>
      </c>
      <c r="D2825" s="174" t="s">
        <v>352</v>
      </c>
    </row>
    <row r="2826">
      <c r="A2826" s="173">
        <v>44343.0</v>
      </c>
      <c r="B2826" s="174" t="s">
        <v>391</v>
      </c>
      <c r="C2826" s="174" t="s">
        <v>120</v>
      </c>
      <c r="D2826" s="174" t="s">
        <v>352</v>
      </c>
    </row>
    <row r="2827">
      <c r="A2827" s="173">
        <v>44344.0</v>
      </c>
      <c r="B2827" s="174" t="s">
        <v>391</v>
      </c>
      <c r="C2827" s="174" t="s">
        <v>120</v>
      </c>
      <c r="D2827" s="174" t="s">
        <v>352</v>
      </c>
    </row>
    <row r="2828">
      <c r="A2828" s="173">
        <v>44345.0</v>
      </c>
      <c r="B2828" s="174" t="s">
        <v>391</v>
      </c>
      <c r="C2828" s="174" t="s">
        <v>120</v>
      </c>
      <c r="D2828" s="174" t="s">
        <v>352</v>
      </c>
    </row>
    <row r="2829">
      <c r="A2829" s="173">
        <v>44346.0</v>
      </c>
      <c r="B2829" s="174" t="s">
        <v>391</v>
      </c>
      <c r="C2829" s="174" t="s">
        <v>120</v>
      </c>
      <c r="D2829" s="174" t="s">
        <v>352</v>
      </c>
    </row>
    <row r="2830">
      <c r="A2830" s="173">
        <v>44347.0</v>
      </c>
      <c r="B2830" s="174" t="s">
        <v>392</v>
      </c>
      <c r="C2830" s="174" t="s">
        <v>120</v>
      </c>
      <c r="D2830" s="174" t="s">
        <v>352</v>
      </c>
    </row>
    <row r="2831">
      <c r="A2831" s="173">
        <v>44348.0</v>
      </c>
      <c r="B2831" s="174" t="s">
        <v>392</v>
      </c>
      <c r="C2831" s="174" t="s">
        <v>120</v>
      </c>
      <c r="D2831" s="174" t="s">
        <v>352</v>
      </c>
    </row>
    <row r="2832">
      <c r="A2832" s="173">
        <v>44349.0</v>
      </c>
      <c r="B2832" s="174" t="s">
        <v>392</v>
      </c>
      <c r="C2832" s="174" t="s">
        <v>120</v>
      </c>
      <c r="D2832" s="174" t="s">
        <v>352</v>
      </c>
    </row>
    <row r="2833">
      <c r="A2833" s="173">
        <v>44350.0</v>
      </c>
      <c r="B2833" s="174" t="s">
        <v>392</v>
      </c>
      <c r="C2833" s="174" t="s">
        <v>120</v>
      </c>
      <c r="D2833" s="174" t="s">
        <v>352</v>
      </c>
    </row>
    <row r="2834">
      <c r="A2834" s="173">
        <v>44351.0</v>
      </c>
      <c r="B2834" s="174" t="s">
        <v>392</v>
      </c>
      <c r="C2834" s="174" t="s">
        <v>120</v>
      </c>
      <c r="D2834" s="174" t="s">
        <v>352</v>
      </c>
    </row>
    <row r="2835">
      <c r="A2835" s="173">
        <v>44352.0</v>
      </c>
      <c r="B2835" s="174" t="s">
        <v>392</v>
      </c>
      <c r="C2835" s="174" t="s">
        <v>120</v>
      </c>
      <c r="D2835" s="174" t="s">
        <v>352</v>
      </c>
    </row>
    <row r="2836">
      <c r="A2836" s="173">
        <v>44353.0</v>
      </c>
      <c r="B2836" s="174" t="s">
        <v>392</v>
      </c>
      <c r="C2836" s="174" t="s">
        <v>120</v>
      </c>
      <c r="D2836" s="174" t="s">
        <v>352</v>
      </c>
    </row>
    <row r="2837">
      <c r="A2837" s="173">
        <v>44354.0</v>
      </c>
      <c r="B2837" s="174" t="s">
        <v>393</v>
      </c>
      <c r="C2837" s="174" t="s">
        <v>120</v>
      </c>
      <c r="D2837" s="174" t="s">
        <v>353</v>
      </c>
    </row>
    <row r="2838">
      <c r="A2838" s="173">
        <v>44355.0</v>
      </c>
      <c r="B2838" s="174" t="s">
        <v>393</v>
      </c>
      <c r="C2838" s="174" t="s">
        <v>120</v>
      </c>
      <c r="D2838" s="174" t="s">
        <v>353</v>
      </c>
    </row>
    <row r="2839">
      <c r="A2839" s="173">
        <v>44356.0</v>
      </c>
      <c r="B2839" s="174" t="s">
        <v>393</v>
      </c>
      <c r="C2839" s="174" t="s">
        <v>120</v>
      </c>
      <c r="D2839" s="174" t="s">
        <v>353</v>
      </c>
    </row>
    <row r="2840">
      <c r="A2840" s="173">
        <v>44357.0</v>
      </c>
      <c r="B2840" s="174" t="s">
        <v>393</v>
      </c>
      <c r="C2840" s="174" t="s">
        <v>120</v>
      </c>
      <c r="D2840" s="174" t="s">
        <v>353</v>
      </c>
    </row>
    <row r="2841">
      <c r="A2841" s="173">
        <v>44358.0</v>
      </c>
      <c r="B2841" s="174" t="s">
        <v>393</v>
      </c>
      <c r="C2841" s="174" t="s">
        <v>120</v>
      </c>
      <c r="D2841" s="174" t="s">
        <v>353</v>
      </c>
    </row>
    <row r="2842">
      <c r="A2842" s="173">
        <v>44359.0</v>
      </c>
      <c r="B2842" s="174" t="s">
        <v>393</v>
      </c>
      <c r="C2842" s="174" t="s">
        <v>120</v>
      </c>
      <c r="D2842" s="174" t="s">
        <v>353</v>
      </c>
    </row>
    <row r="2843">
      <c r="A2843" s="173">
        <v>44360.0</v>
      </c>
      <c r="B2843" s="174" t="s">
        <v>393</v>
      </c>
      <c r="C2843" s="174" t="s">
        <v>120</v>
      </c>
      <c r="D2843" s="174" t="s">
        <v>353</v>
      </c>
    </row>
    <row r="2844">
      <c r="A2844" s="173">
        <v>44361.0</v>
      </c>
      <c r="B2844" s="174" t="s">
        <v>394</v>
      </c>
      <c r="C2844" s="174" t="s">
        <v>120</v>
      </c>
      <c r="D2844" s="174" t="s">
        <v>353</v>
      </c>
    </row>
    <row r="2845">
      <c r="A2845" s="173">
        <v>44362.0</v>
      </c>
      <c r="B2845" s="174" t="s">
        <v>394</v>
      </c>
      <c r="C2845" s="174" t="s">
        <v>120</v>
      </c>
      <c r="D2845" s="174" t="s">
        <v>353</v>
      </c>
    </row>
    <row r="2846">
      <c r="A2846" s="173">
        <v>44363.0</v>
      </c>
      <c r="B2846" s="174" t="s">
        <v>394</v>
      </c>
      <c r="C2846" s="174" t="s">
        <v>120</v>
      </c>
      <c r="D2846" s="174" t="s">
        <v>353</v>
      </c>
    </row>
    <row r="2847">
      <c r="A2847" s="173">
        <v>44364.0</v>
      </c>
      <c r="B2847" s="174" t="s">
        <v>394</v>
      </c>
      <c r="C2847" s="174" t="s">
        <v>120</v>
      </c>
      <c r="D2847" s="174" t="s">
        <v>353</v>
      </c>
    </row>
    <row r="2848">
      <c r="A2848" s="173">
        <v>44365.0</v>
      </c>
      <c r="B2848" s="174" t="s">
        <v>394</v>
      </c>
      <c r="C2848" s="174" t="s">
        <v>120</v>
      </c>
      <c r="D2848" s="174" t="s">
        <v>353</v>
      </c>
    </row>
    <row r="2849">
      <c r="A2849" s="173">
        <v>44366.0</v>
      </c>
      <c r="B2849" s="174" t="s">
        <v>394</v>
      </c>
      <c r="C2849" s="174" t="s">
        <v>120</v>
      </c>
      <c r="D2849" s="174" t="s">
        <v>353</v>
      </c>
    </row>
    <row r="2850">
      <c r="A2850" s="173">
        <v>44367.0</v>
      </c>
      <c r="B2850" s="174" t="s">
        <v>394</v>
      </c>
      <c r="C2850" s="174" t="s">
        <v>120</v>
      </c>
      <c r="D2850" s="174" t="s">
        <v>353</v>
      </c>
    </row>
    <row r="2851">
      <c r="A2851" s="173">
        <v>44368.0</v>
      </c>
      <c r="B2851" s="174" t="s">
        <v>395</v>
      </c>
      <c r="C2851" s="174" t="s">
        <v>120</v>
      </c>
      <c r="D2851" s="174" t="s">
        <v>353</v>
      </c>
    </row>
    <row r="2852">
      <c r="A2852" s="173">
        <v>44369.0</v>
      </c>
      <c r="B2852" s="174" t="s">
        <v>395</v>
      </c>
      <c r="C2852" s="174" t="s">
        <v>120</v>
      </c>
      <c r="D2852" s="174" t="s">
        <v>353</v>
      </c>
    </row>
    <row r="2853">
      <c r="A2853" s="173">
        <v>44370.0</v>
      </c>
      <c r="B2853" s="174" t="s">
        <v>395</v>
      </c>
      <c r="C2853" s="174" t="s">
        <v>120</v>
      </c>
      <c r="D2853" s="174" t="s">
        <v>353</v>
      </c>
    </row>
    <row r="2854">
      <c r="A2854" s="173">
        <v>44371.0</v>
      </c>
      <c r="B2854" s="174" t="s">
        <v>395</v>
      </c>
      <c r="C2854" s="174" t="s">
        <v>120</v>
      </c>
      <c r="D2854" s="174" t="s">
        <v>353</v>
      </c>
    </row>
    <row r="2855">
      <c r="A2855" s="173">
        <v>44372.0</v>
      </c>
      <c r="B2855" s="174" t="s">
        <v>395</v>
      </c>
      <c r="C2855" s="174" t="s">
        <v>120</v>
      </c>
      <c r="D2855" s="174" t="s">
        <v>353</v>
      </c>
    </row>
    <row r="2856">
      <c r="A2856" s="173">
        <v>44373.0</v>
      </c>
      <c r="B2856" s="174" t="s">
        <v>395</v>
      </c>
      <c r="C2856" s="174" t="s">
        <v>120</v>
      </c>
      <c r="D2856" s="174" t="s">
        <v>353</v>
      </c>
    </row>
    <row r="2857">
      <c r="A2857" s="173">
        <v>44374.0</v>
      </c>
      <c r="B2857" s="174" t="s">
        <v>395</v>
      </c>
      <c r="C2857" s="174" t="s">
        <v>120</v>
      </c>
      <c r="D2857" s="174" t="s">
        <v>353</v>
      </c>
    </row>
    <row r="2858">
      <c r="A2858" s="173">
        <v>44375.0</v>
      </c>
      <c r="B2858" s="174" t="s">
        <v>396</v>
      </c>
      <c r="C2858" s="174" t="s">
        <v>120</v>
      </c>
      <c r="D2858" s="174" t="s">
        <v>353</v>
      </c>
    </row>
    <row r="2859">
      <c r="A2859" s="173">
        <v>44376.0</v>
      </c>
      <c r="B2859" s="174" t="s">
        <v>396</v>
      </c>
      <c r="C2859" s="174" t="s">
        <v>120</v>
      </c>
      <c r="D2859" s="174" t="s">
        <v>353</v>
      </c>
    </row>
    <row r="2860">
      <c r="A2860" s="173">
        <v>44377.0</v>
      </c>
      <c r="B2860" s="174" t="s">
        <v>396</v>
      </c>
      <c r="C2860" s="174" t="s">
        <v>120</v>
      </c>
      <c r="D2860" s="174" t="s">
        <v>353</v>
      </c>
    </row>
    <row r="2861">
      <c r="A2861" s="173">
        <v>44378.0</v>
      </c>
      <c r="B2861" s="174" t="s">
        <v>396</v>
      </c>
      <c r="C2861" s="174" t="s">
        <v>120</v>
      </c>
      <c r="D2861" s="174" t="s">
        <v>353</v>
      </c>
    </row>
    <row r="2862">
      <c r="A2862" s="173">
        <v>44379.0</v>
      </c>
      <c r="B2862" s="174" t="s">
        <v>396</v>
      </c>
      <c r="C2862" s="174" t="s">
        <v>120</v>
      </c>
      <c r="D2862" s="174" t="s">
        <v>353</v>
      </c>
    </row>
    <row r="2863">
      <c r="A2863" s="173">
        <v>44380.0</v>
      </c>
      <c r="B2863" s="174" t="s">
        <v>396</v>
      </c>
      <c r="C2863" s="174" t="s">
        <v>120</v>
      </c>
      <c r="D2863" s="174" t="s">
        <v>353</v>
      </c>
    </row>
    <row r="2864">
      <c r="A2864" s="173">
        <v>44381.0</v>
      </c>
      <c r="B2864" s="174" t="s">
        <v>396</v>
      </c>
      <c r="C2864" s="174" t="s">
        <v>120</v>
      </c>
      <c r="D2864" s="174" t="s">
        <v>353</v>
      </c>
    </row>
    <row r="2865">
      <c r="A2865" s="173">
        <v>44382.0</v>
      </c>
      <c r="B2865" s="174" t="s">
        <v>397</v>
      </c>
      <c r="C2865" s="174" t="s">
        <v>120</v>
      </c>
      <c r="D2865" s="174" t="s">
        <v>354</v>
      </c>
    </row>
    <row r="2866">
      <c r="A2866" s="173">
        <v>44383.0</v>
      </c>
      <c r="B2866" s="174" t="s">
        <v>397</v>
      </c>
      <c r="C2866" s="174" t="s">
        <v>120</v>
      </c>
      <c r="D2866" s="174" t="s">
        <v>354</v>
      </c>
    </row>
    <row r="2867">
      <c r="A2867" s="173">
        <v>44384.0</v>
      </c>
      <c r="B2867" s="174" t="s">
        <v>397</v>
      </c>
      <c r="C2867" s="174" t="s">
        <v>120</v>
      </c>
      <c r="D2867" s="174" t="s">
        <v>354</v>
      </c>
    </row>
    <row r="2868">
      <c r="A2868" s="173">
        <v>44385.0</v>
      </c>
      <c r="B2868" s="174" t="s">
        <v>397</v>
      </c>
      <c r="C2868" s="174" t="s">
        <v>120</v>
      </c>
      <c r="D2868" s="174" t="s">
        <v>354</v>
      </c>
    </row>
    <row r="2869">
      <c r="A2869" s="173">
        <v>44386.0</v>
      </c>
      <c r="B2869" s="174" t="s">
        <v>397</v>
      </c>
      <c r="C2869" s="174" t="s">
        <v>120</v>
      </c>
      <c r="D2869" s="174" t="s">
        <v>354</v>
      </c>
    </row>
    <row r="2870">
      <c r="A2870" s="173">
        <v>44387.0</v>
      </c>
      <c r="B2870" s="174" t="s">
        <v>397</v>
      </c>
      <c r="C2870" s="174" t="s">
        <v>120</v>
      </c>
      <c r="D2870" s="174" t="s">
        <v>354</v>
      </c>
    </row>
    <row r="2871">
      <c r="A2871" s="173">
        <v>44388.0</v>
      </c>
      <c r="B2871" s="174" t="s">
        <v>397</v>
      </c>
      <c r="C2871" s="174" t="s">
        <v>120</v>
      </c>
      <c r="D2871" s="174" t="s">
        <v>354</v>
      </c>
    </row>
    <row r="2872">
      <c r="A2872" s="173">
        <v>44389.0</v>
      </c>
      <c r="B2872" s="174" t="s">
        <v>398</v>
      </c>
      <c r="C2872" s="174" t="s">
        <v>120</v>
      </c>
      <c r="D2872" s="174" t="s">
        <v>354</v>
      </c>
    </row>
    <row r="2873">
      <c r="A2873" s="173">
        <v>44390.0</v>
      </c>
      <c r="B2873" s="174" t="s">
        <v>398</v>
      </c>
      <c r="C2873" s="174" t="s">
        <v>120</v>
      </c>
      <c r="D2873" s="174" t="s">
        <v>354</v>
      </c>
    </row>
    <row r="2874">
      <c r="A2874" s="173">
        <v>44391.0</v>
      </c>
      <c r="B2874" s="174" t="s">
        <v>398</v>
      </c>
      <c r="C2874" s="174" t="s">
        <v>120</v>
      </c>
      <c r="D2874" s="174" t="s">
        <v>354</v>
      </c>
    </row>
    <row r="2875">
      <c r="A2875" s="173">
        <v>44392.0</v>
      </c>
      <c r="B2875" s="174" t="s">
        <v>398</v>
      </c>
      <c r="C2875" s="174" t="s">
        <v>120</v>
      </c>
      <c r="D2875" s="174" t="s">
        <v>354</v>
      </c>
    </row>
    <row r="2876">
      <c r="A2876" s="173">
        <v>44393.0</v>
      </c>
      <c r="B2876" s="174" t="s">
        <v>398</v>
      </c>
      <c r="C2876" s="174" t="s">
        <v>120</v>
      </c>
      <c r="D2876" s="174" t="s">
        <v>354</v>
      </c>
    </row>
    <row r="2877">
      <c r="A2877" s="173">
        <v>44394.0</v>
      </c>
      <c r="B2877" s="174" t="s">
        <v>398</v>
      </c>
      <c r="C2877" s="174" t="s">
        <v>120</v>
      </c>
      <c r="D2877" s="174" t="s">
        <v>354</v>
      </c>
    </row>
    <row r="2878">
      <c r="A2878" s="173">
        <v>44395.0</v>
      </c>
      <c r="B2878" s="174" t="s">
        <v>398</v>
      </c>
      <c r="C2878" s="174" t="s">
        <v>120</v>
      </c>
      <c r="D2878" s="174" t="s">
        <v>354</v>
      </c>
    </row>
    <row r="2879">
      <c r="A2879" s="173">
        <v>44396.0</v>
      </c>
      <c r="B2879" s="174" t="s">
        <v>399</v>
      </c>
      <c r="C2879" s="174" t="s">
        <v>120</v>
      </c>
      <c r="D2879" s="174" t="s">
        <v>354</v>
      </c>
    </row>
    <row r="2880">
      <c r="A2880" s="173">
        <v>44397.0</v>
      </c>
      <c r="B2880" s="174" t="s">
        <v>399</v>
      </c>
      <c r="C2880" s="174" t="s">
        <v>120</v>
      </c>
      <c r="D2880" s="174" t="s">
        <v>354</v>
      </c>
    </row>
    <row r="2881">
      <c r="A2881" s="173">
        <v>44398.0</v>
      </c>
      <c r="B2881" s="174" t="s">
        <v>399</v>
      </c>
      <c r="C2881" s="174" t="s">
        <v>120</v>
      </c>
      <c r="D2881" s="174" t="s">
        <v>354</v>
      </c>
    </row>
    <row r="2882">
      <c r="A2882" s="173">
        <v>44399.0</v>
      </c>
      <c r="B2882" s="174" t="s">
        <v>399</v>
      </c>
      <c r="C2882" s="174" t="s">
        <v>120</v>
      </c>
      <c r="D2882" s="174" t="s">
        <v>354</v>
      </c>
    </row>
    <row r="2883">
      <c r="A2883" s="173">
        <v>44400.0</v>
      </c>
      <c r="B2883" s="174" t="s">
        <v>399</v>
      </c>
      <c r="C2883" s="174" t="s">
        <v>120</v>
      </c>
      <c r="D2883" s="174" t="s">
        <v>354</v>
      </c>
    </row>
    <row r="2884">
      <c r="A2884" s="173">
        <v>44401.0</v>
      </c>
      <c r="B2884" s="174" t="s">
        <v>399</v>
      </c>
      <c r="C2884" s="174" t="s">
        <v>120</v>
      </c>
      <c r="D2884" s="174" t="s">
        <v>354</v>
      </c>
    </row>
    <row r="2885">
      <c r="A2885" s="173">
        <v>44402.0</v>
      </c>
      <c r="B2885" s="174" t="s">
        <v>399</v>
      </c>
      <c r="C2885" s="174" t="s">
        <v>120</v>
      </c>
      <c r="D2885" s="174" t="s">
        <v>354</v>
      </c>
    </row>
    <row r="2886">
      <c r="A2886" s="173">
        <v>44403.0</v>
      </c>
      <c r="B2886" s="174" t="s">
        <v>400</v>
      </c>
      <c r="C2886" s="174" t="s">
        <v>120</v>
      </c>
      <c r="D2886" s="174" t="s">
        <v>354</v>
      </c>
    </row>
    <row r="2887">
      <c r="A2887" s="173">
        <v>44404.0</v>
      </c>
      <c r="B2887" s="174" t="s">
        <v>400</v>
      </c>
      <c r="C2887" s="174" t="s">
        <v>120</v>
      </c>
      <c r="D2887" s="174" t="s">
        <v>354</v>
      </c>
    </row>
    <row r="2888">
      <c r="A2888" s="173">
        <v>44405.0</v>
      </c>
      <c r="B2888" s="174" t="s">
        <v>400</v>
      </c>
      <c r="C2888" s="174" t="s">
        <v>120</v>
      </c>
      <c r="D2888" s="174" t="s">
        <v>354</v>
      </c>
    </row>
    <row r="2889">
      <c r="A2889" s="173">
        <v>44406.0</v>
      </c>
      <c r="B2889" s="174" t="s">
        <v>400</v>
      </c>
      <c r="C2889" s="174" t="s">
        <v>120</v>
      </c>
      <c r="D2889" s="174" t="s">
        <v>354</v>
      </c>
    </row>
    <row r="2890">
      <c r="A2890" s="173">
        <v>44407.0</v>
      </c>
      <c r="B2890" s="174" t="s">
        <v>400</v>
      </c>
      <c r="C2890" s="174" t="s">
        <v>120</v>
      </c>
      <c r="D2890" s="174" t="s">
        <v>354</v>
      </c>
    </row>
    <row r="2891">
      <c r="A2891" s="173">
        <v>44408.0</v>
      </c>
      <c r="B2891" s="174" t="s">
        <v>400</v>
      </c>
      <c r="C2891" s="174" t="s">
        <v>120</v>
      </c>
      <c r="D2891" s="174" t="s">
        <v>354</v>
      </c>
    </row>
    <row r="2892">
      <c r="A2892" s="173">
        <v>44409.0</v>
      </c>
      <c r="B2892" s="174" t="s">
        <v>400</v>
      </c>
      <c r="C2892" s="174" t="s">
        <v>120</v>
      </c>
      <c r="D2892" s="174" t="s">
        <v>354</v>
      </c>
    </row>
    <row r="2893">
      <c r="A2893" s="173">
        <v>44410.0</v>
      </c>
      <c r="B2893" s="174" t="s">
        <v>401</v>
      </c>
      <c r="C2893" s="174" t="s">
        <v>120</v>
      </c>
      <c r="D2893" s="174" t="s">
        <v>134</v>
      </c>
    </row>
    <row r="2894">
      <c r="A2894" s="173">
        <v>44411.0</v>
      </c>
      <c r="B2894" s="174" t="s">
        <v>401</v>
      </c>
      <c r="C2894" s="174" t="s">
        <v>120</v>
      </c>
      <c r="D2894" s="174" t="s">
        <v>134</v>
      </c>
    </row>
    <row r="2895">
      <c r="A2895" s="173">
        <v>44412.0</v>
      </c>
      <c r="B2895" s="174" t="s">
        <v>401</v>
      </c>
      <c r="C2895" s="174" t="s">
        <v>120</v>
      </c>
      <c r="D2895" s="174" t="s">
        <v>134</v>
      </c>
    </row>
    <row r="2896">
      <c r="A2896" s="173">
        <v>44413.0</v>
      </c>
      <c r="B2896" s="174" t="s">
        <v>401</v>
      </c>
      <c r="C2896" s="174" t="s">
        <v>120</v>
      </c>
      <c r="D2896" s="174" t="s">
        <v>134</v>
      </c>
    </row>
    <row r="2897">
      <c r="A2897" s="173">
        <v>44414.0</v>
      </c>
      <c r="B2897" s="174" t="s">
        <v>401</v>
      </c>
      <c r="C2897" s="174" t="s">
        <v>120</v>
      </c>
      <c r="D2897" s="174" t="s">
        <v>134</v>
      </c>
    </row>
    <row r="2898">
      <c r="A2898" s="173">
        <v>44415.0</v>
      </c>
      <c r="B2898" s="174" t="s">
        <v>401</v>
      </c>
      <c r="C2898" s="174" t="s">
        <v>120</v>
      </c>
      <c r="D2898" s="174" t="s">
        <v>134</v>
      </c>
    </row>
    <row r="2899">
      <c r="A2899" s="173">
        <v>44416.0</v>
      </c>
      <c r="B2899" s="174" t="s">
        <v>401</v>
      </c>
      <c r="C2899" s="174" t="s">
        <v>120</v>
      </c>
      <c r="D2899" s="174" t="s">
        <v>134</v>
      </c>
    </row>
    <row r="2900">
      <c r="A2900" s="173">
        <v>44417.0</v>
      </c>
      <c r="B2900" s="174" t="s">
        <v>402</v>
      </c>
      <c r="C2900" s="174" t="s">
        <v>120</v>
      </c>
      <c r="D2900" s="174" t="s">
        <v>134</v>
      </c>
    </row>
    <row r="2901">
      <c r="A2901" s="173">
        <v>44418.0</v>
      </c>
      <c r="B2901" s="174" t="s">
        <v>402</v>
      </c>
      <c r="C2901" s="174" t="s">
        <v>120</v>
      </c>
      <c r="D2901" s="174" t="s">
        <v>134</v>
      </c>
    </row>
    <row r="2902">
      <c r="A2902" s="173">
        <v>44419.0</v>
      </c>
      <c r="B2902" s="174" t="s">
        <v>402</v>
      </c>
      <c r="C2902" s="174" t="s">
        <v>120</v>
      </c>
      <c r="D2902" s="174" t="s">
        <v>134</v>
      </c>
    </row>
    <row r="2903">
      <c r="A2903" s="173">
        <v>44420.0</v>
      </c>
      <c r="B2903" s="174" t="s">
        <v>402</v>
      </c>
      <c r="C2903" s="174" t="s">
        <v>120</v>
      </c>
      <c r="D2903" s="174" t="s">
        <v>134</v>
      </c>
    </row>
    <row r="2904">
      <c r="A2904" s="173">
        <v>44421.0</v>
      </c>
      <c r="B2904" s="174" t="s">
        <v>402</v>
      </c>
      <c r="C2904" s="174" t="s">
        <v>120</v>
      </c>
      <c r="D2904" s="174" t="s">
        <v>134</v>
      </c>
    </row>
    <row r="2905">
      <c r="A2905" s="173">
        <v>44422.0</v>
      </c>
      <c r="B2905" s="174" t="s">
        <v>402</v>
      </c>
      <c r="C2905" s="174" t="s">
        <v>120</v>
      </c>
      <c r="D2905" s="174" t="s">
        <v>134</v>
      </c>
    </row>
    <row r="2906">
      <c r="A2906" s="173">
        <v>44423.0</v>
      </c>
      <c r="B2906" s="174" t="s">
        <v>402</v>
      </c>
      <c r="C2906" s="174" t="s">
        <v>120</v>
      </c>
      <c r="D2906" s="174" t="s">
        <v>134</v>
      </c>
    </row>
    <row r="2907">
      <c r="A2907" s="173">
        <v>44424.0</v>
      </c>
      <c r="B2907" s="174" t="s">
        <v>403</v>
      </c>
      <c r="C2907" s="174" t="s">
        <v>120</v>
      </c>
      <c r="D2907" s="174" t="s">
        <v>134</v>
      </c>
    </row>
    <row r="2908">
      <c r="A2908" s="173">
        <v>44425.0</v>
      </c>
      <c r="B2908" s="174" t="s">
        <v>403</v>
      </c>
      <c r="C2908" s="174" t="s">
        <v>120</v>
      </c>
      <c r="D2908" s="174" t="s">
        <v>134</v>
      </c>
    </row>
    <row r="2909">
      <c r="A2909" s="173">
        <v>44426.0</v>
      </c>
      <c r="B2909" s="174" t="s">
        <v>403</v>
      </c>
      <c r="C2909" s="174" t="s">
        <v>120</v>
      </c>
      <c r="D2909" s="174" t="s">
        <v>134</v>
      </c>
    </row>
    <row r="2910">
      <c r="A2910" s="173">
        <v>44427.0</v>
      </c>
      <c r="B2910" s="174" t="s">
        <v>403</v>
      </c>
      <c r="C2910" s="174" t="s">
        <v>120</v>
      </c>
      <c r="D2910" s="174" t="s">
        <v>134</v>
      </c>
    </row>
    <row r="2911">
      <c r="A2911" s="173">
        <v>44428.0</v>
      </c>
      <c r="B2911" s="174" t="s">
        <v>403</v>
      </c>
      <c r="C2911" s="174" t="s">
        <v>120</v>
      </c>
      <c r="D2911" s="174" t="s">
        <v>134</v>
      </c>
    </row>
    <row r="2912">
      <c r="A2912" s="173">
        <v>44429.0</v>
      </c>
      <c r="B2912" s="174" t="s">
        <v>403</v>
      </c>
      <c r="C2912" s="174" t="s">
        <v>120</v>
      </c>
      <c r="D2912" s="174" t="s">
        <v>134</v>
      </c>
    </row>
    <row r="2913">
      <c r="A2913" s="173">
        <v>44430.0</v>
      </c>
      <c r="B2913" s="174" t="s">
        <v>403</v>
      </c>
      <c r="C2913" s="174" t="s">
        <v>120</v>
      </c>
      <c r="D2913" s="174" t="s">
        <v>134</v>
      </c>
    </row>
    <row r="2914">
      <c r="A2914" s="173">
        <v>44431.0</v>
      </c>
      <c r="B2914" s="174" t="s">
        <v>404</v>
      </c>
      <c r="C2914" s="174" t="s">
        <v>120</v>
      </c>
      <c r="D2914" s="174" t="s">
        <v>134</v>
      </c>
    </row>
    <row r="2915">
      <c r="A2915" s="173">
        <v>44432.0</v>
      </c>
      <c r="B2915" s="174" t="s">
        <v>404</v>
      </c>
      <c r="C2915" s="174" t="s">
        <v>120</v>
      </c>
      <c r="D2915" s="174" t="s">
        <v>134</v>
      </c>
    </row>
    <row r="2916">
      <c r="A2916" s="173">
        <v>44433.0</v>
      </c>
      <c r="B2916" s="174" t="s">
        <v>404</v>
      </c>
      <c r="C2916" s="174" t="s">
        <v>120</v>
      </c>
      <c r="D2916" s="174" t="s">
        <v>134</v>
      </c>
    </row>
    <row r="2917">
      <c r="A2917" s="173">
        <v>44434.0</v>
      </c>
      <c r="B2917" s="174" t="s">
        <v>404</v>
      </c>
      <c r="C2917" s="174" t="s">
        <v>120</v>
      </c>
      <c r="D2917" s="174" t="s">
        <v>134</v>
      </c>
    </row>
    <row r="2918">
      <c r="A2918" s="173">
        <v>44435.0</v>
      </c>
      <c r="B2918" s="174" t="s">
        <v>404</v>
      </c>
      <c r="C2918" s="174" t="s">
        <v>120</v>
      </c>
      <c r="D2918" s="174" t="s">
        <v>134</v>
      </c>
    </row>
    <row r="2919">
      <c r="A2919" s="173">
        <v>44436.0</v>
      </c>
      <c r="B2919" s="174" t="s">
        <v>404</v>
      </c>
      <c r="C2919" s="174" t="s">
        <v>120</v>
      </c>
      <c r="D2919" s="174" t="s">
        <v>134</v>
      </c>
    </row>
    <row r="2920">
      <c r="A2920" s="173">
        <v>44437.0</v>
      </c>
      <c r="B2920" s="174" t="s">
        <v>404</v>
      </c>
      <c r="C2920" s="174" t="s">
        <v>120</v>
      </c>
      <c r="D2920" s="174" t="s">
        <v>134</v>
      </c>
    </row>
    <row r="2921">
      <c r="A2921" s="173">
        <v>44438.0</v>
      </c>
      <c r="B2921" s="174" t="s">
        <v>341</v>
      </c>
      <c r="C2921" s="174" t="s">
        <v>409</v>
      </c>
      <c r="D2921" s="174" t="s">
        <v>340</v>
      </c>
    </row>
    <row r="2922">
      <c r="A2922" s="173">
        <v>44439.0</v>
      </c>
      <c r="B2922" s="174" t="s">
        <v>341</v>
      </c>
      <c r="C2922" s="174" t="s">
        <v>409</v>
      </c>
      <c r="D2922" s="174" t="s">
        <v>340</v>
      </c>
    </row>
    <row r="2923">
      <c r="A2923" s="173">
        <v>44440.0</v>
      </c>
      <c r="B2923" s="174" t="s">
        <v>341</v>
      </c>
      <c r="C2923" s="174" t="s">
        <v>409</v>
      </c>
      <c r="D2923" s="174" t="s">
        <v>340</v>
      </c>
    </row>
    <row r="2924">
      <c r="A2924" s="173">
        <v>44441.0</v>
      </c>
      <c r="B2924" s="174" t="s">
        <v>341</v>
      </c>
      <c r="C2924" s="174" t="s">
        <v>409</v>
      </c>
      <c r="D2924" s="174" t="s">
        <v>340</v>
      </c>
    </row>
    <row r="2925">
      <c r="A2925" s="173">
        <v>44442.0</v>
      </c>
      <c r="B2925" s="174" t="s">
        <v>341</v>
      </c>
      <c r="C2925" s="174" t="s">
        <v>409</v>
      </c>
      <c r="D2925" s="174" t="s">
        <v>340</v>
      </c>
    </row>
    <row r="2926">
      <c r="A2926" s="173">
        <v>44443.0</v>
      </c>
      <c r="B2926" s="174" t="s">
        <v>341</v>
      </c>
      <c r="C2926" s="174" t="s">
        <v>409</v>
      </c>
      <c r="D2926" s="174" t="s">
        <v>340</v>
      </c>
    </row>
    <row r="2927">
      <c r="A2927" s="173">
        <v>44444.0</v>
      </c>
      <c r="B2927" s="174" t="s">
        <v>341</v>
      </c>
      <c r="C2927" s="174" t="s">
        <v>409</v>
      </c>
      <c r="D2927" s="174" t="s">
        <v>340</v>
      </c>
    </row>
    <row r="2928">
      <c r="A2928" s="173">
        <v>44445.0</v>
      </c>
      <c r="B2928" s="174" t="s">
        <v>350</v>
      </c>
      <c r="C2928" s="174" t="s">
        <v>409</v>
      </c>
      <c r="D2928" s="174" t="s">
        <v>340</v>
      </c>
    </row>
    <row r="2929">
      <c r="A2929" s="173">
        <v>44446.0</v>
      </c>
      <c r="B2929" s="174" t="s">
        <v>350</v>
      </c>
      <c r="C2929" s="174" t="s">
        <v>409</v>
      </c>
      <c r="D2929" s="174" t="s">
        <v>340</v>
      </c>
    </row>
    <row r="2930">
      <c r="A2930" s="173">
        <v>44447.0</v>
      </c>
      <c r="B2930" s="174" t="s">
        <v>350</v>
      </c>
      <c r="C2930" s="174" t="s">
        <v>409</v>
      </c>
      <c r="D2930" s="174" t="s">
        <v>340</v>
      </c>
    </row>
    <row r="2931">
      <c r="A2931" s="173">
        <v>44448.0</v>
      </c>
      <c r="B2931" s="174" t="s">
        <v>350</v>
      </c>
      <c r="C2931" s="174" t="s">
        <v>409</v>
      </c>
      <c r="D2931" s="174" t="s">
        <v>340</v>
      </c>
    </row>
    <row r="2932">
      <c r="A2932" s="173">
        <v>44449.0</v>
      </c>
      <c r="B2932" s="174" t="s">
        <v>350</v>
      </c>
      <c r="C2932" s="174" t="s">
        <v>409</v>
      </c>
      <c r="D2932" s="174" t="s">
        <v>340</v>
      </c>
    </row>
    <row r="2933">
      <c r="A2933" s="173">
        <v>44450.0</v>
      </c>
      <c r="B2933" s="174" t="s">
        <v>350</v>
      </c>
      <c r="C2933" s="174" t="s">
        <v>409</v>
      </c>
      <c r="D2933" s="174" t="s">
        <v>340</v>
      </c>
    </row>
    <row r="2934">
      <c r="A2934" s="173">
        <v>44451.0</v>
      </c>
      <c r="B2934" s="174" t="s">
        <v>350</v>
      </c>
      <c r="C2934" s="174" t="s">
        <v>409</v>
      </c>
      <c r="D2934" s="174" t="s">
        <v>340</v>
      </c>
    </row>
    <row r="2935">
      <c r="A2935" s="173">
        <v>44452.0</v>
      </c>
      <c r="B2935" s="174" t="s">
        <v>355</v>
      </c>
      <c r="C2935" s="174" t="s">
        <v>409</v>
      </c>
      <c r="D2935" s="174" t="s">
        <v>340</v>
      </c>
    </row>
    <row r="2936">
      <c r="A2936" s="173">
        <v>44453.0</v>
      </c>
      <c r="B2936" s="174" t="s">
        <v>355</v>
      </c>
      <c r="C2936" s="174" t="s">
        <v>409</v>
      </c>
      <c r="D2936" s="174" t="s">
        <v>340</v>
      </c>
    </row>
    <row r="2937">
      <c r="A2937" s="173">
        <v>44454.0</v>
      </c>
      <c r="B2937" s="174" t="s">
        <v>355</v>
      </c>
      <c r="C2937" s="174" t="s">
        <v>409</v>
      </c>
      <c r="D2937" s="174" t="s">
        <v>340</v>
      </c>
    </row>
    <row r="2938">
      <c r="A2938" s="173">
        <v>44455.0</v>
      </c>
      <c r="B2938" s="174" t="s">
        <v>355</v>
      </c>
      <c r="C2938" s="174" t="s">
        <v>409</v>
      </c>
      <c r="D2938" s="174" t="s">
        <v>340</v>
      </c>
    </row>
    <row r="2939">
      <c r="A2939" s="173">
        <v>44456.0</v>
      </c>
      <c r="B2939" s="174" t="s">
        <v>355</v>
      </c>
      <c r="C2939" s="174" t="s">
        <v>409</v>
      </c>
      <c r="D2939" s="174" t="s">
        <v>340</v>
      </c>
    </row>
    <row r="2940">
      <c r="A2940" s="173">
        <v>44457.0</v>
      </c>
      <c r="B2940" s="174" t="s">
        <v>355</v>
      </c>
      <c r="C2940" s="174" t="s">
        <v>409</v>
      </c>
      <c r="D2940" s="174" t="s">
        <v>340</v>
      </c>
    </row>
    <row r="2941">
      <c r="A2941" s="173">
        <v>44458.0</v>
      </c>
      <c r="B2941" s="174" t="s">
        <v>355</v>
      </c>
      <c r="C2941" s="174" t="s">
        <v>409</v>
      </c>
      <c r="D2941" s="174" t="s">
        <v>340</v>
      </c>
    </row>
    <row r="2942">
      <c r="A2942" s="173">
        <v>44459.0</v>
      </c>
      <c r="B2942" s="174" t="s">
        <v>356</v>
      </c>
      <c r="C2942" s="174" t="s">
        <v>409</v>
      </c>
      <c r="D2942" s="174" t="s">
        <v>340</v>
      </c>
    </row>
    <row r="2943">
      <c r="A2943" s="173">
        <v>44460.0</v>
      </c>
      <c r="B2943" s="174" t="s">
        <v>356</v>
      </c>
      <c r="C2943" s="174" t="s">
        <v>409</v>
      </c>
      <c r="D2943" s="174" t="s">
        <v>340</v>
      </c>
    </row>
    <row r="2944">
      <c r="A2944" s="173">
        <v>44461.0</v>
      </c>
      <c r="B2944" s="174" t="s">
        <v>356</v>
      </c>
      <c r="C2944" s="174" t="s">
        <v>409</v>
      </c>
      <c r="D2944" s="174" t="s">
        <v>340</v>
      </c>
    </row>
    <row r="2945">
      <c r="A2945" s="173">
        <v>44462.0</v>
      </c>
      <c r="B2945" s="174" t="s">
        <v>356</v>
      </c>
      <c r="C2945" s="174" t="s">
        <v>409</v>
      </c>
      <c r="D2945" s="174" t="s">
        <v>340</v>
      </c>
    </row>
    <row r="2946">
      <c r="A2946" s="173">
        <v>44463.0</v>
      </c>
      <c r="B2946" s="174" t="s">
        <v>356</v>
      </c>
      <c r="C2946" s="174" t="s">
        <v>409</v>
      </c>
      <c r="D2946" s="174" t="s">
        <v>340</v>
      </c>
    </row>
    <row r="2947">
      <c r="A2947" s="173">
        <v>44464.0</v>
      </c>
      <c r="B2947" s="174" t="s">
        <v>356</v>
      </c>
      <c r="C2947" s="174" t="s">
        <v>409</v>
      </c>
      <c r="D2947" s="174" t="s">
        <v>340</v>
      </c>
    </row>
    <row r="2948">
      <c r="A2948" s="173">
        <v>44465.0</v>
      </c>
      <c r="B2948" s="174" t="s">
        <v>356</v>
      </c>
      <c r="C2948" s="174" t="s">
        <v>409</v>
      </c>
      <c r="D2948" s="174" t="s">
        <v>340</v>
      </c>
    </row>
    <row r="2949">
      <c r="A2949" s="173">
        <v>44466.0</v>
      </c>
      <c r="B2949" s="174" t="s">
        <v>357</v>
      </c>
      <c r="C2949" s="174" t="s">
        <v>409</v>
      </c>
      <c r="D2949" s="174" t="s">
        <v>343</v>
      </c>
    </row>
    <row r="2950">
      <c r="A2950" s="173">
        <v>44467.0</v>
      </c>
      <c r="B2950" s="174" t="s">
        <v>357</v>
      </c>
      <c r="C2950" s="174" t="s">
        <v>409</v>
      </c>
      <c r="D2950" s="174" t="s">
        <v>343</v>
      </c>
    </row>
    <row r="2951">
      <c r="A2951" s="173">
        <v>44468.0</v>
      </c>
      <c r="B2951" s="174" t="s">
        <v>357</v>
      </c>
      <c r="C2951" s="174" t="s">
        <v>409</v>
      </c>
      <c r="D2951" s="174" t="s">
        <v>343</v>
      </c>
    </row>
    <row r="2952">
      <c r="A2952" s="173">
        <v>44469.0</v>
      </c>
      <c r="B2952" s="174" t="s">
        <v>357</v>
      </c>
      <c r="C2952" s="174" t="s">
        <v>409</v>
      </c>
      <c r="D2952" s="174" t="s">
        <v>343</v>
      </c>
    </row>
    <row r="2953">
      <c r="A2953" s="173">
        <v>44470.0</v>
      </c>
      <c r="B2953" s="174" t="s">
        <v>357</v>
      </c>
      <c r="C2953" s="174" t="s">
        <v>409</v>
      </c>
      <c r="D2953" s="174" t="s">
        <v>343</v>
      </c>
    </row>
    <row r="2954">
      <c r="A2954" s="173">
        <v>44471.0</v>
      </c>
      <c r="B2954" s="174" t="s">
        <v>357</v>
      </c>
      <c r="C2954" s="174" t="s">
        <v>409</v>
      </c>
      <c r="D2954" s="174" t="s">
        <v>343</v>
      </c>
    </row>
    <row r="2955">
      <c r="A2955" s="173">
        <v>44472.0</v>
      </c>
      <c r="B2955" s="174" t="s">
        <v>357</v>
      </c>
      <c r="C2955" s="174" t="s">
        <v>409</v>
      </c>
      <c r="D2955" s="174" t="s">
        <v>343</v>
      </c>
    </row>
    <row r="2956">
      <c r="A2956" s="173">
        <v>44473.0</v>
      </c>
      <c r="B2956" s="174" t="s">
        <v>358</v>
      </c>
      <c r="C2956" s="174" t="s">
        <v>409</v>
      </c>
      <c r="D2956" s="174" t="s">
        <v>343</v>
      </c>
    </row>
    <row r="2957">
      <c r="A2957" s="173">
        <v>44474.0</v>
      </c>
      <c r="B2957" s="174" t="s">
        <v>358</v>
      </c>
      <c r="C2957" s="174" t="s">
        <v>409</v>
      </c>
      <c r="D2957" s="174" t="s">
        <v>343</v>
      </c>
    </row>
    <row r="2958">
      <c r="A2958" s="173">
        <v>44475.0</v>
      </c>
      <c r="B2958" s="174" t="s">
        <v>358</v>
      </c>
      <c r="C2958" s="174" t="s">
        <v>409</v>
      </c>
      <c r="D2958" s="174" t="s">
        <v>343</v>
      </c>
    </row>
    <row r="2959">
      <c r="A2959" s="173">
        <v>44476.0</v>
      </c>
      <c r="B2959" s="174" t="s">
        <v>358</v>
      </c>
      <c r="C2959" s="174" t="s">
        <v>409</v>
      </c>
      <c r="D2959" s="174" t="s">
        <v>343</v>
      </c>
    </row>
    <row r="2960">
      <c r="A2960" s="173">
        <v>44477.0</v>
      </c>
      <c r="B2960" s="174" t="s">
        <v>358</v>
      </c>
      <c r="C2960" s="174" t="s">
        <v>409</v>
      </c>
      <c r="D2960" s="174" t="s">
        <v>343</v>
      </c>
    </row>
    <row r="2961">
      <c r="A2961" s="173">
        <v>44478.0</v>
      </c>
      <c r="B2961" s="174" t="s">
        <v>358</v>
      </c>
      <c r="C2961" s="174" t="s">
        <v>409</v>
      </c>
      <c r="D2961" s="174" t="s">
        <v>343</v>
      </c>
    </row>
    <row r="2962">
      <c r="A2962" s="173">
        <v>44479.0</v>
      </c>
      <c r="B2962" s="174" t="s">
        <v>358</v>
      </c>
      <c r="C2962" s="174" t="s">
        <v>409</v>
      </c>
      <c r="D2962" s="174" t="s">
        <v>343</v>
      </c>
    </row>
    <row r="2963">
      <c r="A2963" s="173">
        <v>44480.0</v>
      </c>
      <c r="B2963" s="174" t="s">
        <v>359</v>
      </c>
      <c r="C2963" s="174" t="s">
        <v>409</v>
      </c>
      <c r="D2963" s="174" t="s">
        <v>343</v>
      </c>
    </row>
    <row r="2964">
      <c r="A2964" s="173">
        <v>44481.0</v>
      </c>
      <c r="B2964" s="174" t="s">
        <v>359</v>
      </c>
      <c r="C2964" s="174" t="s">
        <v>409</v>
      </c>
      <c r="D2964" s="174" t="s">
        <v>343</v>
      </c>
    </row>
    <row r="2965">
      <c r="A2965" s="173">
        <v>44482.0</v>
      </c>
      <c r="B2965" s="174" t="s">
        <v>359</v>
      </c>
      <c r="C2965" s="174" t="s">
        <v>409</v>
      </c>
      <c r="D2965" s="174" t="s">
        <v>343</v>
      </c>
    </row>
    <row r="2966">
      <c r="A2966" s="173">
        <v>44483.0</v>
      </c>
      <c r="B2966" s="174" t="s">
        <v>359</v>
      </c>
      <c r="C2966" s="174" t="s">
        <v>409</v>
      </c>
      <c r="D2966" s="174" t="s">
        <v>343</v>
      </c>
    </row>
    <row r="2967">
      <c r="A2967" s="173">
        <v>44484.0</v>
      </c>
      <c r="B2967" s="174" t="s">
        <v>359</v>
      </c>
      <c r="C2967" s="174" t="s">
        <v>409</v>
      </c>
      <c r="D2967" s="174" t="s">
        <v>343</v>
      </c>
    </row>
    <row r="2968">
      <c r="A2968" s="173">
        <v>44485.0</v>
      </c>
      <c r="B2968" s="174" t="s">
        <v>359</v>
      </c>
      <c r="C2968" s="174" t="s">
        <v>409</v>
      </c>
      <c r="D2968" s="174" t="s">
        <v>343</v>
      </c>
    </row>
    <row r="2969">
      <c r="A2969" s="173">
        <v>44486.0</v>
      </c>
      <c r="B2969" s="174" t="s">
        <v>359</v>
      </c>
      <c r="C2969" s="174" t="s">
        <v>409</v>
      </c>
      <c r="D2969" s="174" t="s">
        <v>343</v>
      </c>
    </row>
    <row r="2970">
      <c r="A2970" s="173">
        <v>44487.0</v>
      </c>
      <c r="B2970" s="174" t="s">
        <v>360</v>
      </c>
      <c r="C2970" s="174" t="s">
        <v>409</v>
      </c>
      <c r="D2970" s="174" t="s">
        <v>343</v>
      </c>
    </row>
    <row r="2971">
      <c r="A2971" s="173">
        <v>44488.0</v>
      </c>
      <c r="B2971" s="174" t="s">
        <v>360</v>
      </c>
      <c r="C2971" s="174" t="s">
        <v>409</v>
      </c>
      <c r="D2971" s="174" t="s">
        <v>343</v>
      </c>
    </row>
    <row r="2972">
      <c r="A2972" s="173">
        <v>44489.0</v>
      </c>
      <c r="B2972" s="174" t="s">
        <v>360</v>
      </c>
      <c r="C2972" s="174" t="s">
        <v>409</v>
      </c>
      <c r="D2972" s="174" t="s">
        <v>343</v>
      </c>
    </row>
    <row r="2973">
      <c r="A2973" s="173">
        <v>44490.0</v>
      </c>
      <c r="B2973" s="174" t="s">
        <v>360</v>
      </c>
      <c r="C2973" s="174" t="s">
        <v>409</v>
      </c>
      <c r="D2973" s="174" t="s">
        <v>343</v>
      </c>
    </row>
    <row r="2974">
      <c r="A2974" s="173">
        <v>44491.0</v>
      </c>
      <c r="B2974" s="174" t="s">
        <v>360</v>
      </c>
      <c r="C2974" s="174" t="s">
        <v>409</v>
      </c>
      <c r="D2974" s="174" t="s">
        <v>343</v>
      </c>
    </row>
    <row r="2975">
      <c r="A2975" s="173">
        <v>44492.0</v>
      </c>
      <c r="B2975" s="174" t="s">
        <v>360</v>
      </c>
      <c r="C2975" s="174" t="s">
        <v>409</v>
      </c>
      <c r="D2975" s="174" t="s">
        <v>343</v>
      </c>
    </row>
    <row r="2976">
      <c r="A2976" s="173">
        <v>44493.0</v>
      </c>
      <c r="B2976" s="174" t="s">
        <v>360</v>
      </c>
      <c r="C2976" s="174" t="s">
        <v>409</v>
      </c>
      <c r="D2976" s="174" t="s">
        <v>343</v>
      </c>
    </row>
    <row r="2977">
      <c r="A2977" s="173">
        <v>44494.0</v>
      </c>
      <c r="B2977" s="174" t="s">
        <v>361</v>
      </c>
      <c r="C2977" s="174" t="s">
        <v>409</v>
      </c>
      <c r="D2977" s="174" t="s">
        <v>344</v>
      </c>
    </row>
    <row r="2978">
      <c r="A2978" s="173">
        <v>44495.0</v>
      </c>
      <c r="B2978" s="174" t="s">
        <v>361</v>
      </c>
      <c r="C2978" s="174" t="s">
        <v>409</v>
      </c>
      <c r="D2978" s="174" t="s">
        <v>344</v>
      </c>
    </row>
    <row r="2979">
      <c r="A2979" s="173">
        <v>44496.0</v>
      </c>
      <c r="B2979" s="174" t="s">
        <v>361</v>
      </c>
      <c r="C2979" s="174" t="s">
        <v>409</v>
      </c>
      <c r="D2979" s="174" t="s">
        <v>344</v>
      </c>
    </row>
    <row r="2980">
      <c r="A2980" s="173">
        <v>44497.0</v>
      </c>
      <c r="B2980" s="174" t="s">
        <v>361</v>
      </c>
      <c r="C2980" s="174" t="s">
        <v>409</v>
      </c>
      <c r="D2980" s="174" t="s">
        <v>344</v>
      </c>
    </row>
    <row r="2981">
      <c r="A2981" s="173">
        <v>44498.0</v>
      </c>
      <c r="B2981" s="174" t="s">
        <v>361</v>
      </c>
      <c r="C2981" s="174" t="s">
        <v>409</v>
      </c>
      <c r="D2981" s="174" t="s">
        <v>344</v>
      </c>
    </row>
    <row r="2982">
      <c r="A2982" s="173">
        <v>44499.0</v>
      </c>
      <c r="B2982" s="174" t="s">
        <v>361</v>
      </c>
      <c r="C2982" s="174" t="s">
        <v>409</v>
      </c>
      <c r="D2982" s="174" t="s">
        <v>344</v>
      </c>
    </row>
    <row r="2983">
      <c r="A2983" s="173">
        <v>44500.0</v>
      </c>
      <c r="B2983" s="174" t="s">
        <v>361</v>
      </c>
      <c r="C2983" s="174" t="s">
        <v>409</v>
      </c>
      <c r="D2983" s="174" t="s">
        <v>344</v>
      </c>
    </row>
    <row r="2984">
      <c r="A2984" s="173">
        <v>44501.0</v>
      </c>
      <c r="B2984" s="174" t="s">
        <v>362</v>
      </c>
      <c r="C2984" s="174" t="s">
        <v>409</v>
      </c>
      <c r="D2984" s="174" t="s">
        <v>344</v>
      </c>
    </row>
    <row r="2985">
      <c r="A2985" s="173">
        <v>44502.0</v>
      </c>
      <c r="B2985" s="174" t="s">
        <v>362</v>
      </c>
      <c r="C2985" s="174" t="s">
        <v>409</v>
      </c>
      <c r="D2985" s="174" t="s">
        <v>344</v>
      </c>
    </row>
    <row r="2986">
      <c r="A2986" s="173">
        <v>44503.0</v>
      </c>
      <c r="B2986" s="174" t="s">
        <v>362</v>
      </c>
      <c r="C2986" s="174" t="s">
        <v>409</v>
      </c>
      <c r="D2986" s="174" t="s">
        <v>344</v>
      </c>
    </row>
    <row r="2987">
      <c r="A2987" s="173">
        <v>44504.0</v>
      </c>
      <c r="B2987" s="174" t="s">
        <v>362</v>
      </c>
      <c r="C2987" s="174" t="s">
        <v>409</v>
      </c>
      <c r="D2987" s="174" t="s">
        <v>344</v>
      </c>
    </row>
    <row r="2988">
      <c r="A2988" s="173">
        <v>44505.0</v>
      </c>
      <c r="B2988" s="174" t="s">
        <v>362</v>
      </c>
      <c r="C2988" s="174" t="s">
        <v>409</v>
      </c>
      <c r="D2988" s="174" t="s">
        <v>344</v>
      </c>
    </row>
    <row r="2989">
      <c r="A2989" s="173">
        <v>44506.0</v>
      </c>
      <c r="B2989" s="174" t="s">
        <v>362</v>
      </c>
      <c r="C2989" s="174" t="s">
        <v>409</v>
      </c>
      <c r="D2989" s="174" t="s">
        <v>344</v>
      </c>
    </row>
    <row r="2990">
      <c r="A2990" s="173">
        <v>44507.0</v>
      </c>
      <c r="B2990" s="174" t="s">
        <v>362</v>
      </c>
      <c r="C2990" s="174" t="s">
        <v>409</v>
      </c>
      <c r="D2990" s="174" t="s">
        <v>344</v>
      </c>
    </row>
    <row r="2991">
      <c r="A2991" s="173">
        <v>44508.0</v>
      </c>
      <c r="B2991" s="174" t="s">
        <v>363</v>
      </c>
      <c r="C2991" s="174" t="s">
        <v>409</v>
      </c>
      <c r="D2991" s="174" t="s">
        <v>344</v>
      </c>
    </row>
    <row r="2992">
      <c r="A2992" s="173">
        <v>44509.0</v>
      </c>
      <c r="B2992" s="174" t="s">
        <v>363</v>
      </c>
      <c r="C2992" s="174" t="s">
        <v>409</v>
      </c>
      <c r="D2992" s="174" t="s">
        <v>344</v>
      </c>
    </row>
    <row r="2993">
      <c r="A2993" s="173">
        <v>44510.0</v>
      </c>
      <c r="B2993" s="174" t="s">
        <v>363</v>
      </c>
      <c r="C2993" s="174" t="s">
        <v>409</v>
      </c>
      <c r="D2993" s="174" t="s">
        <v>344</v>
      </c>
    </row>
    <row r="2994">
      <c r="A2994" s="173">
        <v>44511.0</v>
      </c>
      <c r="B2994" s="174" t="s">
        <v>363</v>
      </c>
      <c r="C2994" s="174" t="s">
        <v>409</v>
      </c>
      <c r="D2994" s="174" t="s">
        <v>344</v>
      </c>
    </row>
    <row r="2995">
      <c r="A2995" s="173">
        <v>44512.0</v>
      </c>
      <c r="B2995" s="174" t="s">
        <v>363</v>
      </c>
      <c r="C2995" s="174" t="s">
        <v>409</v>
      </c>
      <c r="D2995" s="174" t="s">
        <v>344</v>
      </c>
    </row>
    <row r="2996">
      <c r="A2996" s="173">
        <v>44513.0</v>
      </c>
      <c r="B2996" s="174" t="s">
        <v>363</v>
      </c>
      <c r="C2996" s="174" t="s">
        <v>409</v>
      </c>
      <c r="D2996" s="174" t="s">
        <v>344</v>
      </c>
    </row>
    <row r="2997">
      <c r="A2997" s="173">
        <v>44514.0</v>
      </c>
      <c r="B2997" s="174" t="s">
        <v>363</v>
      </c>
      <c r="C2997" s="174" t="s">
        <v>409</v>
      </c>
      <c r="D2997" s="174" t="s">
        <v>344</v>
      </c>
    </row>
    <row r="2998">
      <c r="A2998" s="173">
        <v>44515.0</v>
      </c>
      <c r="B2998" s="174" t="s">
        <v>364</v>
      </c>
      <c r="C2998" s="174" t="s">
        <v>409</v>
      </c>
      <c r="D2998" s="174" t="s">
        <v>344</v>
      </c>
    </row>
    <row r="2999">
      <c r="A2999" s="173">
        <v>44516.0</v>
      </c>
      <c r="B2999" s="174" t="s">
        <v>364</v>
      </c>
      <c r="C2999" s="174" t="s">
        <v>409</v>
      </c>
      <c r="D2999" s="174" t="s">
        <v>344</v>
      </c>
    </row>
    <row r="3000">
      <c r="A3000" s="173">
        <v>44517.0</v>
      </c>
      <c r="B3000" s="174" t="s">
        <v>364</v>
      </c>
      <c r="C3000" s="174" t="s">
        <v>409</v>
      </c>
      <c r="D3000" s="174" t="s">
        <v>344</v>
      </c>
    </row>
    <row r="3001">
      <c r="A3001" s="173">
        <v>44518.0</v>
      </c>
      <c r="B3001" s="174" t="s">
        <v>364</v>
      </c>
      <c r="C3001" s="174" t="s">
        <v>409</v>
      </c>
      <c r="D3001" s="174" t="s">
        <v>344</v>
      </c>
    </row>
    <row r="3002">
      <c r="A3002" s="173">
        <v>44519.0</v>
      </c>
      <c r="B3002" s="174" t="s">
        <v>364</v>
      </c>
      <c r="C3002" s="174" t="s">
        <v>409</v>
      </c>
      <c r="D3002" s="174" t="s">
        <v>344</v>
      </c>
    </row>
    <row r="3003">
      <c r="A3003" s="173">
        <v>44520.0</v>
      </c>
      <c r="B3003" s="174" t="s">
        <v>364</v>
      </c>
      <c r="C3003" s="174" t="s">
        <v>409</v>
      </c>
      <c r="D3003" s="174" t="s">
        <v>344</v>
      </c>
    </row>
    <row r="3004">
      <c r="A3004" s="173">
        <v>44521.0</v>
      </c>
      <c r="B3004" s="174" t="s">
        <v>364</v>
      </c>
      <c r="C3004" s="174" t="s">
        <v>409</v>
      </c>
      <c r="D3004" s="174" t="s">
        <v>344</v>
      </c>
    </row>
    <row r="3005">
      <c r="A3005" s="173">
        <v>44522.0</v>
      </c>
      <c r="B3005" s="174" t="s">
        <v>365</v>
      </c>
      <c r="C3005" s="174" t="s">
        <v>409</v>
      </c>
      <c r="D3005" s="174" t="s">
        <v>345</v>
      </c>
    </row>
    <row r="3006">
      <c r="A3006" s="173">
        <v>44523.0</v>
      </c>
      <c r="B3006" s="174" t="s">
        <v>365</v>
      </c>
      <c r="C3006" s="174" t="s">
        <v>409</v>
      </c>
      <c r="D3006" s="174" t="s">
        <v>345</v>
      </c>
    </row>
    <row r="3007">
      <c r="A3007" s="173">
        <v>44524.0</v>
      </c>
      <c r="B3007" s="174" t="s">
        <v>365</v>
      </c>
      <c r="C3007" s="174" t="s">
        <v>409</v>
      </c>
      <c r="D3007" s="174" t="s">
        <v>345</v>
      </c>
    </row>
    <row r="3008">
      <c r="A3008" s="173">
        <v>44525.0</v>
      </c>
      <c r="B3008" s="174" t="s">
        <v>365</v>
      </c>
      <c r="C3008" s="174" t="s">
        <v>409</v>
      </c>
      <c r="D3008" s="174" t="s">
        <v>345</v>
      </c>
    </row>
    <row r="3009">
      <c r="A3009" s="173">
        <v>44526.0</v>
      </c>
      <c r="B3009" s="174" t="s">
        <v>365</v>
      </c>
      <c r="C3009" s="174" t="s">
        <v>409</v>
      </c>
      <c r="D3009" s="174" t="s">
        <v>345</v>
      </c>
    </row>
    <row r="3010">
      <c r="A3010" s="173">
        <v>44527.0</v>
      </c>
      <c r="B3010" s="174" t="s">
        <v>365</v>
      </c>
      <c r="C3010" s="174" t="s">
        <v>409</v>
      </c>
      <c r="D3010" s="174" t="s">
        <v>345</v>
      </c>
    </row>
    <row r="3011">
      <c r="A3011" s="173">
        <v>44528.0</v>
      </c>
      <c r="B3011" s="174" t="s">
        <v>365</v>
      </c>
      <c r="C3011" s="174" t="s">
        <v>409</v>
      </c>
      <c r="D3011" s="174" t="s">
        <v>345</v>
      </c>
    </row>
    <row r="3012">
      <c r="A3012" s="173">
        <v>44529.0</v>
      </c>
      <c r="B3012" s="174" t="s">
        <v>366</v>
      </c>
      <c r="C3012" s="174" t="s">
        <v>409</v>
      </c>
      <c r="D3012" s="174" t="s">
        <v>345</v>
      </c>
    </row>
    <row r="3013">
      <c r="A3013" s="173">
        <v>44530.0</v>
      </c>
      <c r="B3013" s="174" t="s">
        <v>366</v>
      </c>
      <c r="C3013" s="174" t="s">
        <v>409</v>
      </c>
      <c r="D3013" s="174" t="s">
        <v>345</v>
      </c>
    </row>
    <row r="3014">
      <c r="A3014" s="173">
        <v>44531.0</v>
      </c>
      <c r="B3014" s="174" t="s">
        <v>366</v>
      </c>
      <c r="C3014" s="174" t="s">
        <v>409</v>
      </c>
      <c r="D3014" s="174" t="s">
        <v>345</v>
      </c>
    </row>
    <row r="3015">
      <c r="A3015" s="173">
        <v>44532.0</v>
      </c>
      <c r="B3015" s="174" t="s">
        <v>366</v>
      </c>
      <c r="C3015" s="174" t="s">
        <v>409</v>
      </c>
      <c r="D3015" s="174" t="s">
        <v>345</v>
      </c>
    </row>
    <row r="3016">
      <c r="A3016" s="173">
        <v>44533.0</v>
      </c>
      <c r="B3016" s="174" t="s">
        <v>366</v>
      </c>
      <c r="C3016" s="174" t="s">
        <v>409</v>
      </c>
      <c r="D3016" s="174" t="s">
        <v>345</v>
      </c>
    </row>
    <row r="3017">
      <c r="A3017" s="173">
        <v>44534.0</v>
      </c>
      <c r="B3017" s="174" t="s">
        <v>366</v>
      </c>
      <c r="C3017" s="174" t="s">
        <v>409</v>
      </c>
      <c r="D3017" s="174" t="s">
        <v>345</v>
      </c>
    </row>
    <row r="3018">
      <c r="A3018" s="173">
        <v>44535.0</v>
      </c>
      <c r="B3018" s="174" t="s">
        <v>366</v>
      </c>
      <c r="C3018" s="174" t="s">
        <v>409</v>
      </c>
      <c r="D3018" s="174" t="s">
        <v>345</v>
      </c>
    </row>
    <row r="3019">
      <c r="A3019" s="173">
        <v>44536.0</v>
      </c>
      <c r="B3019" s="174" t="s">
        <v>367</v>
      </c>
      <c r="C3019" s="174" t="s">
        <v>409</v>
      </c>
      <c r="D3019" s="174" t="s">
        <v>345</v>
      </c>
    </row>
    <row r="3020">
      <c r="A3020" s="173">
        <v>44537.0</v>
      </c>
      <c r="B3020" s="174" t="s">
        <v>367</v>
      </c>
      <c r="C3020" s="174" t="s">
        <v>409</v>
      </c>
      <c r="D3020" s="174" t="s">
        <v>345</v>
      </c>
    </row>
    <row r="3021">
      <c r="A3021" s="173">
        <v>44538.0</v>
      </c>
      <c r="B3021" s="174" t="s">
        <v>367</v>
      </c>
      <c r="C3021" s="174" t="s">
        <v>409</v>
      </c>
      <c r="D3021" s="174" t="s">
        <v>345</v>
      </c>
    </row>
    <row r="3022">
      <c r="A3022" s="173">
        <v>44539.0</v>
      </c>
      <c r="B3022" s="174" t="s">
        <v>367</v>
      </c>
      <c r="C3022" s="174" t="s">
        <v>409</v>
      </c>
      <c r="D3022" s="174" t="s">
        <v>345</v>
      </c>
    </row>
    <row r="3023">
      <c r="A3023" s="173">
        <v>44540.0</v>
      </c>
      <c r="B3023" s="174" t="s">
        <v>367</v>
      </c>
      <c r="C3023" s="174" t="s">
        <v>409</v>
      </c>
      <c r="D3023" s="174" t="s">
        <v>345</v>
      </c>
    </row>
    <row r="3024">
      <c r="A3024" s="173">
        <v>44541.0</v>
      </c>
      <c r="B3024" s="174" t="s">
        <v>367</v>
      </c>
      <c r="C3024" s="174" t="s">
        <v>409</v>
      </c>
      <c r="D3024" s="174" t="s">
        <v>345</v>
      </c>
    </row>
    <row r="3025">
      <c r="A3025" s="173">
        <v>44542.0</v>
      </c>
      <c r="B3025" s="174" t="s">
        <v>367</v>
      </c>
      <c r="C3025" s="174" t="s">
        <v>409</v>
      </c>
      <c r="D3025" s="174" t="s">
        <v>345</v>
      </c>
    </row>
    <row r="3026">
      <c r="A3026" s="173">
        <v>44543.0</v>
      </c>
      <c r="B3026" s="174" t="s">
        <v>368</v>
      </c>
      <c r="C3026" s="174" t="s">
        <v>409</v>
      </c>
      <c r="D3026" s="174" t="s">
        <v>345</v>
      </c>
    </row>
    <row r="3027">
      <c r="A3027" s="173">
        <v>44544.0</v>
      </c>
      <c r="B3027" s="174" t="s">
        <v>368</v>
      </c>
      <c r="C3027" s="174" t="s">
        <v>409</v>
      </c>
      <c r="D3027" s="174" t="s">
        <v>345</v>
      </c>
    </row>
    <row r="3028">
      <c r="A3028" s="173">
        <v>44545.0</v>
      </c>
      <c r="B3028" s="174" t="s">
        <v>368</v>
      </c>
      <c r="C3028" s="174" t="s">
        <v>409</v>
      </c>
      <c r="D3028" s="174" t="s">
        <v>345</v>
      </c>
    </row>
    <row r="3029">
      <c r="A3029" s="173">
        <v>44546.0</v>
      </c>
      <c r="B3029" s="174" t="s">
        <v>368</v>
      </c>
      <c r="C3029" s="174" t="s">
        <v>409</v>
      </c>
      <c r="D3029" s="174" t="s">
        <v>345</v>
      </c>
    </row>
    <row r="3030">
      <c r="A3030" s="173">
        <v>44547.0</v>
      </c>
      <c r="B3030" s="174" t="s">
        <v>368</v>
      </c>
      <c r="C3030" s="174" t="s">
        <v>409</v>
      </c>
      <c r="D3030" s="174" t="s">
        <v>345</v>
      </c>
    </row>
    <row r="3031">
      <c r="A3031" s="173">
        <v>44548.0</v>
      </c>
      <c r="B3031" s="174" t="s">
        <v>368</v>
      </c>
      <c r="C3031" s="174" t="s">
        <v>409</v>
      </c>
      <c r="D3031" s="174" t="s">
        <v>345</v>
      </c>
    </row>
    <row r="3032">
      <c r="A3032" s="173">
        <v>44549.0</v>
      </c>
      <c r="B3032" s="174" t="s">
        <v>368</v>
      </c>
      <c r="C3032" s="174" t="s">
        <v>409</v>
      </c>
      <c r="D3032" s="174" t="s">
        <v>345</v>
      </c>
    </row>
    <row r="3033">
      <c r="A3033" s="173">
        <v>44550.0</v>
      </c>
      <c r="B3033" s="174" t="s">
        <v>369</v>
      </c>
      <c r="C3033" s="174" t="s">
        <v>409</v>
      </c>
      <c r="D3033" s="174" t="s">
        <v>346</v>
      </c>
    </row>
    <row r="3034">
      <c r="A3034" s="173">
        <v>44551.0</v>
      </c>
      <c r="B3034" s="174" t="s">
        <v>369</v>
      </c>
      <c r="C3034" s="174" t="s">
        <v>409</v>
      </c>
      <c r="D3034" s="174" t="s">
        <v>346</v>
      </c>
    </row>
    <row r="3035">
      <c r="A3035" s="173">
        <v>44552.0</v>
      </c>
      <c r="B3035" s="174" t="s">
        <v>369</v>
      </c>
      <c r="C3035" s="174" t="s">
        <v>409</v>
      </c>
      <c r="D3035" s="174" t="s">
        <v>346</v>
      </c>
    </row>
    <row r="3036">
      <c r="A3036" s="173">
        <v>44553.0</v>
      </c>
      <c r="B3036" s="174" t="s">
        <v>369</v>
      </c>
      <c r="C3036" s="174" t="s">
        <v>409</v>
      </c>
      <c r="D3036" s="174" t="s">
        <v>346</v>
      </c>
    </row>
    <row r="3037">
      <c r="A3037" s="173">
        <v>44554.0</v>
      </c>
      <c r="B3037" s="174" t="s">
        <v>369</v>
      </c>
      <c r="C3037" s="174" t="s">
        <v>409</v>
      </c>
      <c r="D3037" s="174" t="s">
        <v>346</v>
      </c>
    </row>
    <row r="3038">
      <c r="A3038" s="173">
        <v>44555.0</v>
      </c>
      <c r="B3038" s="174" t="s">
        <v>369</v>
      </c>
      <c r="C3038" s="174" t="s">
        <v>409</v>
      </c>
      <c r="D3038" s="174" t="s">
        <v>346</v>
      </c>
    </row>
    <row r="3039">
      <c r="A3039" s="173">
        <v>44556.0</v>
      </c>
      <c r="B3039" s="174" t="s">
        <v>369</v>
      </c>
      <c r="C3039" s="174" t="s">
        <v>409</v>
      </c>
      <c r="D3039" s="174" t="s">
        <v>346</v>
      </c>
    </row>
    <row r="3040">
      <c r="A3040" s="173">
        <v>44557.0</v>
      </c>
      <c r="B3040" s="174" t="s">
        <v>370</v>
      </c>
      <c r="C3040" s="174" t="s">
        <v>409</v>
      </c>
      <c r="D3040" s="174" t="s">
        <v>346</v>
      </c>
    </row>
    <row r="3041">
      <c r="A3041" s="173">
        <v>44558.0</v>
      </c>
      <c r="B3041" s="174" t="s">
        <v>370</v>
      </c>
      <c r="C3041" s="174" t="s">
        <v>409</v>
      </c>
      <c r="D3041" s="174" t="s">
        <v>346</v>
      </c>
    </row>
    <row r="3042">
      <c r="A3042" s="173">
        <v>44559.0</v>
      </c>
      <c r="B3042" s="174" t="s">
        <v>370</v>
      </c>
      <c r="C3042" s="174" t="s">
        <v>409</v>
      </c>
      <c r="D3042" s="174" t="s">
        <v>346</v>
      </c>
    </row>
    <row r="3043">
      <c r="A3043" s="173">
        <v>44560.0</v>
      </c>
      <c r="B3043" s="174" t="s">
        <v>370</v>
      </c>
      <c r="C3043" s="174" t="s">
        <v>409</v>
      </c>
      <c r="D3043" s="174" t="s">
        <v>346</v>
      </c>
    </row>
    <row r="3044">
      <c r="A3044" s="173">
        <v>44561.0</v>
      </c>
      <c r="B3044" s="174" t="s">
        <v>370</v>
      </c>
      <c r="C3044" s="174" t="s">
        <v>409</v>
      </c>
      <c r="D3044" s="174" t="s">
        <v>346</v>
      </c>
    </row>
    <row r="3045">
      <c r="A3045" s="173">
        <v>44562.0</v>
      </c>
      <c r="B3045" s="174" t="s">
        <v>370</v>
      </c>
      <c r="C3045" s="174" t="s">
        <v>409</v>
      </c>
      <c r="D3045" s="174" t="s">
        <v>346</v>
      </c>
    </row>
    <row r="3046">
      <c r="A3046" s="173">
        <v>44563.0</v>
      </c>
      <c r="B3046" s="174" t="s">
        <v>370</v>
      </c>
      <c r="C3046" s="174" t="s">
        <v>409</v>
      </c>
      <c r="D3046" s="174" t="s">
        <v>346</v>
      </c>
    </row>
    <row r="3047">
      <c r="A3047" s="173">
        <v>44564.0</v>
      </c>
      <c r="B3047" s="174" t="s">
        <v>371</v>
      </c>
      <c r="C3047" s="174" t="s">
        <v>409</v>
      </c>
      <c r="D3047" s="174" t="s">
        <v>346</v>
      </c>
    </row>
    <row r="3048">
      <c r="A3048" s="173">
        <v>44565.0</v>
      </c>
      <c r="B3048" s="174" t="s">
        <v>371</v>
      </c>
      <c r="C3048" s="174" t="s">
        <v>409</v>
      </c>
      <c r="D3048" s="174" t="s">
        <v>346</v>
      </c>
    </row>
    <row r="3049">
      <c r="A3049" s="173">
        <v>44566.0</v>
      </c>
      <c r="B3049" s="174" t="s">
        <v>371</v>
      </c>
      <c r="C3049" s="174" t="s">
        <v>409</v>
      </c>
      <c r="D3049" s="174" t="s">
        <v>346</v>
      </c>
    </row>
    <row r="3050">
      <c r="A3050" s="173">
        <v>44567.0</v>
      </c>
      <c r="B3050" s="174" t="s">
        <v>371</v>
      </c>
      <c r="C3050" s="174" t="s">
        <v>409</v>
      </c>
      <c r="D3050" s="174" t="s">
        <v>346</v>
      </c>
    </row>
    <row r="3051">
      <c r="A3051" s="173">
        <v>44568.0</v>
      </c>
      <c r="B3051" s="174" t="s">
        <v>371</v>
      </c>
      <c r="C3051" s="174" t="s">
        <v>409</v>
      </c>
      <c r="D3051" s="174" t="s">
        <v>346</v>
      </c>
    </row>
    <row r="3052">
      <c r="A3052" s="173">
        <v>44569.0</v>
      </c>
      <c r="B3052" s="174" t="s">
        <v>371</v>
      </c>
      <c r="C3052" s="174" t="s">
        <v>409</v>
      </c>
      <c r="D3052" s="174" t="s">
        <v>346</v>
      </c>
    </row>
    <row r="3053">
      <c r="A3053" s="173">
        <v>44570.0</v>
      </c>
      <c r="B3053" s="174" t="s">
        <v>371</v>
      </c>
      <c r="C3053" s="174" t="s">
        <v>409</v>
      </c>
      <c r="D3053" s="174" t="s">
        <v>346</v>
      </c>
    </row>
    <row r="3054">
      <c r="A3054" s="173">
        <v>44571.0</v>
      </c>
      <c r="B3054" s="174" t="s">
        <v>372</v>
      </c>
      <c r="C3054" s="174" t="s">
        <v>409</v>
      </c>
      <c r="D3054" s="174" t="s">
        <v>346</v>
      </c>
    </row>
    <row r="3055">
      <c r="A3055" s="173">
        <v>44572.0</v>
      </c>
      <c r="B3055" s="174" t="s">
        <v>372</v>
      </c>
      <c r="C3055" s="174" t="s">
        <v>409</v>
      </c>
      <c r="D3055" s="174" t="s">
        <v>346</v>
      </c>
    </row>
    <row r="3056">
      <c r="A3056" s="173">
        <v>44573.0</v>
      </c>
      <c r="B3056" s="174" t="s">
        <v>372</v>
      </c>
      <c r="C3056" s="174" t="s">
        <v>409</v>
      </c>
      <c r="D3056" s="174" t="s">
        <v>346</v>
      </c>
    </row>
    <row r="3057">
      <c r="A3057" s="173">
        <v>44574.0</v>
      </c>
      <c r="B3057" s="174" t="s">
        <v>372</v>
      </c>
      <c r="C3057" s="174" t="s">
        <v>409</v>
      </c>
      <c r="D3057" s="174" t="s">
        <v>346</v>
      </c>
    </row>
    <row r="3058">
      <c r="A3058" s="173">
        <v>44575.0</v>
      </c>
      <c r="B3058" s="174" t="s">
        <v>372</v>
      </c>
      <c r="C3058" s="174" t="s">
        <v>409</v>
      </c>
      <c r="D3058" s="174" t="s">
        <v>346</v>
      </c>
    </row>
    <row r="3059">
      <c r="A3059" s="173">
        <v>44576.0</v>
      </c>
      <c r="B3059" s="174" t="s">
        <v>372</v>
      </c>
      <c r="C3059" s="174" t="s">
        <v>409</v>
      </c>
      <c r="D3059" s="174" t="s">
        <v>346</v>
      </c>
    </row>
    <row r="3060">
      <c r="A3060" s="173">
        <v>44577.0</v>
      </c>
      <c r="B3060" s="174" t="s">
        <v>372</v>
      </c>
      <c r="C3060" s="174" t="s">
        <v>409</v>
      </c>
      <c r="D3060" s="174" t="s">
        <v>346</v>
      </c>
    </row>
    <row r="3061">
      <c r="A3061" s="173">
        <v>44578.0</v>
      </c>
      <c r="B3061" s="174" t="s">
        <v>373</v>
      </c>
      <c r="C3061" s="174" t="s">
        <v>409</v>
      </c>
      <c r="D3061" s="174" t="s">
        <v>347</v>
      </c>
    </row>
    <row r="3062">
      <c r="A3062" s="173">
        <v>44579.0</v>
      </c>
      <c r="B3062" s="174" t="s">
        <v>373</v>
      </c>
      <c r="C3062" s="174" t="s">
        <v>409</v>
      </c>
      <c r="D3062" s="174" t="s">
        <v>347</v>
      </c>
    </row>
    <row r="3063">
      <c r="A3063" s="173">
        <v>44580.0</v>
      </c>
      <c r="B3063" s="174" t="s">
        <v>373</v>
      </c>
      <c r="C3063" s="174" t="s">
        <v>409</v>
      </c>
      <c r="D3063" s="174" t="s">
        <v>347</v>
      </c>
    </row>
    <row r="3064">
      <c r="A3064" s="173">
        <v>44581.0</v>
      </c>
      <c r="B3064" s="174" t="s">
        <v>373</v>
      </c>
      <c r="C3064" s="174" t="s">
        <v>409</v>
      </c>
      <c r="D3064" s="174" t="s">
        <v>347</v>
      </c>
    </row>
    <row r="3065">
      <c r="A3065" s="173">
        <v>44582.0</v>
      </c>
      <c r="B3065" s="174" t="s">
        <v>373</v>
      </c>
      <c r="C3065" s="174" t="s">
        <v>409</v>
      </c>
      <c r="D3065" s="174" t="s">
        <v>347</v>
      </c>
    </row>
    <row r="3066">
      <c r="A3066" s="173">
        <v>44583.0</v>
      </c>
      <c r="B3066" s="174" t="s">
        <v>373</v>
      </c>
      <c r="C3066" s="174" t="s">
        <v>409</v>
      </c>
      <c r="D3066" s="174" t="s">
        <v>347</v>
      </c>
    </row>
    <row r="3067">
      <c r="A3067" s="173">
        <v>44584.0</v>
      </c>
      <c r="B3067" s="174" t="s">
        <v>373</v>
      </c>
      <c r="C3067" s="174" t="s">
        <v>409</v>
      </c>
      <c r="D3067" s="174" t="s">
        <v>347</v>
      </c>
    </row>
    <row r="3068">
      <c r="A3068" s="173">
        <v>44585.0</v>
      </c>
      <c r="B3068" s="174" t="s">
        <v>374</v>
      </c>
      <c r="C3068" s="174" t="s">
        <v>409</v>
      </c>
      <c r="D3068" s="174" t="s">
        <v>347</v>
      </c>
    </row>
    <row r="3069">
      <c r="A3069" s="173">
        <v>44586.0</v>
      </c>
      <c r="B3069" s="174" t="s">
        <v>374</v>
      </c>
      <c r="C3069" s="174" t="s">
        <v>409</v>
      </c>
      <c r="D3069" s="174" t="s">
        <v>347</v>
      </c>
    </row>
    <row r="3070">
      <c r="A3070" s="173">
        <v>44587.0</v>
      </c>
      <c r="B3070" s="174" t="s">
        <v>374</v>
      </c>
      <c r="C3070" s="174" t="s">
        <v>409</v>
      </c>
      <c r="D3070" s="174" t="s">
        <v>347</v>
      </c>
    </row>
    <row r="3071">
      <c r="A3071" s="173">
        <v>44588.0</v>
      </c>
      <c r="B3071" s="174" t="s">
        <v>374</v>
      </c>
      <c r="C3071" s="174" t="s">
        <v>409</v>
      </c>
      <c r="D3071" s="174" t="s">
        <v>347</v>
      </c>
    </row>
    <row r="3072">
      <c r="A3072" s="173">
        <v>44589.0</v>
      </c>
      <c r="B3072" s="174" t="s">
        <v>374</v>
      </c>
      <c r="C3072" s="174" t="s">
        <v>409</v>
      </c>
      <c r="D3072" s="174" t="s">
        <v>347</v>
      </c>
    </row>
    <row r="3073">
      <c r="A3073" s="173">
        <v>44590.0</v>
      </c>
      <c r="B3073" s="174" t="s">
        <v>374</v>
      </c>
      <c r="C3073" s="174" t="s">
        <v>409</v>
      </c>
      <c r="D3073" s="174" t="s">
        <v>347</v>
      </c>
    </row>
    <row r="3074">
      <c r="A3074" s="173">
        <v>44591.0</v>
      </c>
      <c r="B3074" s="174" t="s">
        <v>374</v>
      </c>
      <c r="C3074" s="174" t="s">
        <v>409</v>
      </c>
      <c r="D3074" s="174" t="s">
        <v>347</v>
      </c>
    </row>
    <row r="3075">
      <c r="A3075" s="173">
        <v>44592.0</v>
      </c>
      <c r="B3075" s="174" t="s">
        <v>375</v>
      </c>
      <c r="C3075" s="174" t="s">
        <v>409</v>
      </c>
      <c r="D3075" s="174" t="s">
        <v>347</v>
      </c>
    </row>
    <row r="3076">
      <c r="A3076" s="173">
        <v>44593.0</v>
      </c>
      <c r="B3076" s="174" t="s">
        <v>375</v>
      </c>
      <c r="C3076" s="174" t="s">
        <v>409</v>
      </c>
      <c r="D3076" s="174" t="s">
        <v>347</v>
      </c>
    </row>
    <row r="3077">
      <c r="A3077" s="173">
        <v>44594.0</v>
      </c>
      <c r="B3077" s="174" t="s">
        <v>375</v>
      </c>
      <c r="C3077" s="174" t="s">
        <v>409</v>
      </c>
      <c r="D3077" s="174" t="s">
        <v>347</v>
      </c>
    </row>
    <row r="3078">
      <c r="A3078" s="173">
        <v>44595.0</v>
      </c>
      <c r="B3078" s="174" t="s">
        <v>375</v>
      </c>
      <c r="C3078" s="174" t="s">
        <v>409</v>
      </c>
      <c r="D3078" s="174" t="s">
        <v>347</v>
      </c>
    </row>
    <row r="3079">
      <c r="A3079" s="173">
        <v>44596.0</v>
      </c>
      <c r="B3079" s="174" t="s">
        <v>375</v>
      </c>
      <c r="C3079" s="174" t="s">
        <v>409</v>
      </c>
      <c r="D3079" s="174" t="s">
        <v>347</v>
      </c>
    </row>
    <row r="3080">
      <c r="A3080" s="173">
        <v>44597.0</v>
      </c>
      <c r="B3080" s="174" t="s">
        <v>375</v>
      </c>
      <c r="C3080" s="174" t="s">
        <v>409</v>
      </c>
      <c r="D3080" s="174" t="s">
        <v>347</v>
      </c>
    </row>
    <row r="3081">
      <c r="A3081" s="173">
        <v>44598.0</v>
      </c>
      <c r="B3081" s="174" t="s">
        <v>375</v>
      </c>
      <c r="C3081" s="174" t="s">
        <v>409</v>
      </c>
      <c r="D3081" s="174" t="s">
        <v>347</v>
      </c>
    </row>
    <row r="3082">
      <c r="A3082" s="173">
        <v>44599.0</v>
      </c>
      <c r="B3082" s="174" t="s">
        <v>376</v>
      </c>
      <c r="C3082" s="174" t="s">
        <v>409</v>
      </c>
      <c r="D3082" s="174" t="s">
        <v>347</v>
      </c>
    </row>
    <row r="3083">
      <c r="A3083" s="173">
        <v>44600.0</v>
      </c>
      <c r="B3083" s="174" t="s">
        <v>376</v>
      </c>
      <c r="C3083" s="174" t="s">
        <v>409</v>
      </c>
      <c r="D3083" s="174" t="s">
        <v>347</v>
      </c>
    </row>
    <row r="3084">
      <c r="A3084" s="173">
        <v>44601.0</v>
      </c>
      <c r="B3084" s="174" t="s">
        <v>376</v>
      </c>
      <c r="C3084" s="174" t="s">
        <v>409</v>
      </c>
      <c r="D3084" s="174" t="s">
        <v>347</v>
      </c>
    </row>
    <row r="3085">
      <c r="A3085" s="173">
        <v>44602.0</v>
      </c>
      <c r="B3085" s="174" t="s">
        <v>376</v>
      </c>
      <c r="C3085" s="174" t="s">
        <v>409</v>
      </c>
      <c r="D3085" s="174" t="s">
        <v>347</v>
      </c>
    </row>
    <row r="3086">
      <c r="A3086" s="173">
        <v>44603.0</v>
      </c>
      <c r="B3086" s="174" t="s">
        <v>376</v>
      </c>
      <c r="C3086" s="174" t="s">
        <v>409</v>
      </c>
      <c r="D3086" s="174" t="s">
        <v>347</v>
      </c>
    </row>
    <row r="3087">
      <c r="A3087" s="173">
        <v>44604.0</v>
      </c>
      <c r="B3087" s="174" t="s">
        <v>376</v>
      </c>
      <c r="C3087" s="174" t="s">
        <v>409</v>
      </c>
      <c r="D3087" s="174" t="s">
        <v>347</v>
      </c>
    </row>
    <row r="3088">
      <c r="A3088" s="173">
        <v>44605.0</v>
      </c>
      <c r="B3088" s="174" t="s">
        <v>376</v>
      </c>
      <c r="C3088" s="174" t="s">
        <v>409</v>
      </c>
      <c r="D3088" s="174" t="s">
        <v>347</v>
      </c>
    </row>
    <row r="3089">
      <c r="A3089" s="173">
        <v>44606.0</v>
      </c>
      <c r="B3089" s="174" t="s">
        <v>377</v>
      </c>
      <c r="C3089" s="174" t="s">
        <v>409</v>
      </c>
      <c r="D3089" s="174" t="s">
        <v>348</v>
      </c>
    </row>
    <row r="3090">
      <c r="A3090" s="173">
        <v>44607.0</v>
      </c>
      <c r="B3090" s="174" t="s">
        <v>377</v>
      </c>
      <c r="C3090" s="174" t="s">
        <v>409</v>
      </c>
      <c r="D3090" s="174" t="s">
        <v>348</v>
      </c>
    </row>
    <row r="3091">
      <c r="A3091" s="173">
        <v>44608.0</v>
      </c>
      <c r="B3091" s="174" t="s">
        <v>377</v>
      </c>
      <c r="C3091" s="174" t="s">
        <v>409</v>
      </c>
      <c r="D3091" s="174" t="s">
        <v>348</v>
      </c>
    </row>
    <row r="3092">
      <c r="A3092" s="173">
        <v>44609.0</v>
      </c>
      <c r="B3092" s="174" t="s">
        <v>377</v>
      </c>
      <c r="C3092" s="174" t="s">
        <v>409</v>
      </c>
      <c r="D3092" s="174" t="s">
        <v>348</v>
      </c>
    </row>
    <row r="3093">
      <c r="A3093" s="173">
        <v>44610.0</v>
      </c>
      <c r="B3093" s="174" t="s">
        <v>377</v>
      </c>
      <c r="C3093" s="174" t="s">
        <v>409</v>
      </c>
      <c r="D3093" s="174" t="s">
        <v>348</v>
      </c>
    </row>
    <row r="3094">
      <c r="A3094" s="173">
        <v>44611.0</v>
      </c>
      <c r="B3094" s="174" t="s">
        <v>377</v>
      </c>
      <c r="C3094" s="174" t="s">
        <v>409</v>
      </c>
      <c r="D3094" s="174" t="s">
        <v>348</v>
      </c>
    </row>
    <row r="3095">
      <c r="A3095" s="173">
        <v>44612.0</v>
      </c>
      <c r="B3095" s="174" t="s">
        <v>377</v>
      </c>
      <c r="C3095" s="174" t="s">
        <v>409</v>
      </c>
      <c r="D3095" s="174" t="s">
        <v>348</v>
      </c>
    </row>
    <row r="3096">
      <c r="A3096" s="173">
        <v>44613.0</v>
      </c>
      <c r="B3096" s="174" t="s">
        <v>378</v>
      </c>
      <c r="C3096" s="174" t="s">
        <v>409</v>
      </c>
      <c r="D3096" s="174" t="s">
        <v>348</v>
      </c>
    </row>
    <row r="3097">
      <c r="A3097" s="173">
        <v>44614.0</v>
      </c>
      <c r="B3097" s="174" t="s">
        <v>378</v>
      </c>
      <c r="C3097" s="174" t="s">
        <v>409</v>
      </c>
      <c r="D3097" s="174" t="s">
        <v>348</v>
      </c>
    </row>
    <row r="3098">
      <c r="A3098" s="173">
        <v>44615.0</v>
      </c>
      <c r="B3098" s="174" t="s">
        <v>378</v>
      </c>
      <c r="C3098" s="174" t="s">
        <v>409</v>
      </c>
      <c r="D3098" s="174" t="s">
        <v>348</v>
      </c>
    </row>
    <row r="3099">
      <c r="A3099" s="173">
        <v>44616.0</v>
      </c>
      <c r="B3099" s="174" t="s">
        <v>378</v>
      </c>
      <c r="C3099" s="174" t="s">
        <v>409</v>
      </c>
      <c r="D3099" s="174" t="s">
        <v>348</v>
      </c>
    </row>
    <row r="3100">
      <c r="A3100" s="173">
        <v>44617.0</v>
      </c>
      <c r="B3100" s="174" t="s">
        <v>378</v>
      </c>
      <c r="C3100" s="174" t="s">
        <v>409</v>
      </c>
      <c r="D3100" s="174" t="s">
        <v>348</v>
      </c>
    </row>
    <row r="3101">
      <c r="A3101" s="173">
        <v>44618.0</v>
      </c>
      <c r="B3101" s="174" t="s">
        <v>378</v>
      </c>
      <c r="C3101" s="174" t="s">
        <v>409</v>
      </c>
      <c r="D3101" s="174" t="s">
        <v>348</v>
      </c>
    </row>
    <row r="3102">
      <c r="A3102" s="173">
        <v>44619.0</v>
      </c>
      <c r="B3102" s="174" t="s">
        <v>378</v>
      </c>
      <c r="C3102" s="174" t="s">
        <v>409</v>
      </c>
      <c r="D3102" s="174" t="s">
        <v>348</v>
      </c>
    </row>
    <row r="3103">
      <c r="A3103" s="173">
        <v>44620.0</v>
      </c>
      <c r="B3103" s="174" t="s">
        <v>379</v>
      </c>
      <c r="C3103" s="174" t="s">
        <v>409</v>
      </c>
      <c r="D3103" s="174" t="s">
        <v>348</v>
      </c>
    </row>
    <row r="3104">
      <c r="A3104" s="173">
        <v>44621.0</v>
      </c>
      <c r="B3104" s="174" t="s">
        <v>379</v>
      </c>
      <c r="C3104" s="174" t="s">
        <v>409</v>
      </c>
      <c r="D3104" s="174" t="s">
        <v>348</v>
      </c>
    </row>
    <row r="3105">
      <c r="A3105" s="173">
        <v>44622.0</v>
      </c>
      <c r="B3105" s="174" t="s">
        <v>379</v>
      </c>
      <c r="C3105" s="174" t="s">
        <v>409</v>
      </c>
      <c r="D3105" s="174" t="s">
        <v>348</v>
      </c>
    </row>
    <row r="3106">
      <c r="A3106" s="173">
        <v>44623.0</v>
      </c>
      <c r="B3106" s="174" t="s">
        <v>379</v>
      </c>
      <c r="C3106" s="174" t="s">
        <v>409</v>
      </c>
      <c r="D3106" s="174" t="s">
        <v>348</v>
      </c>
    </row>
    <row r="3107">
      <c r="A3107" s="173">
        <v>44624.0</v>
      </c>
      <c r="B3107" s="174" t="s">
        <v>379</v>
      </c>
      <c r="C3107" s="174" t="s">
        <v>409</v>
      </c>
      <c r="D3107" s="174" t="s">
        <v>348</v>
      </c>
    </row>
    <row r="3108">
      <c r="A3108" s="173">
        <v>44625.0</v>
      </c>
      <c r="B3108" s="174" t="s">
        <v>379</v>
      </c>
      <c r="C3108" s="174" t="s">
        <v>409</v>
      </c>
      <c r="D3108" s="174" t="s">
        <v>348</v>
      </c>
    </row>
    <row r="3109">
      <c r="A3109" s="173">
        <v>44626.0</v>
      </c>
      <c r="B3109" s="174" t="s">
        <v>379</v>
      </c>
      <c r="C3109" s="174" t="s">
        <v>409</v>
      </c>
      <c r="D3109" s="174" t="s">
        <v>348</v>
      </c>
    </row>
    <row r="3110">
      <c r="A3110" s="173">
        <v>44627.0</v>
      </c>
      <c r="B3110" s="174" t="s">
        <v>380</v>
      </c>
      <c r="C3110" s="174" t="s">
        <v>409</v>
      </c>
      <c r="D3110" s="174" t="s">
        <v>348</v>
      </c>
    </row>
    <row r="3111">
      <c r="A3111" s="173">
        <v>44628.0</v>
      </c>
      <c r="B3111" s="174" t="s">
        <v>380</v>
      </c>
      <c r="C3111" s="174" t="s">
        <v>409</v>
      </c>
      <c r="D3111" s="174" t="s">
        <v>348</v>
      </c>
    </row>
    <row r="3112">
      <c r="A3112" s="173">
        <v>44629.0</v>
      </c>
      <c r="B3112" s="174" t="s">
        <v>380</v>
      </c>
      <c r="C3112" s="174" t="s">
        <v>409</v>
      </c>
      <c r="D3112" s="174" t="s">
        <v>348</v>
      </c>
    </row>
    <row r="3113">
      <c r="A3113" s="173">
        <v>44630.0</v>
      </c>
      <c r="B3113" s="174" t="s">
        <v>380</v>
      </c>
      <c r="C3113" s="174" t="s">
        <v>409</v>
      </c>
      <c r="D3113" s="174" t="s">
        <v>348</v>
      </c>
    </row>
    <row r="3114">
      <c r="A3114" s="173">
        <v>44631.0</v>
      </c>
      <c r="B3114" s="174" t="s">
        <v>380</v>
      </c>
      <c r="C3114" s="174" t="s">
        <v>409</v>
      </c>
      <c r="D3114" s="174" t="s">
        <v>348</v>
      </c>
    </row>
    <row r="3115">
      <c r="A3115" s="173">
        <v>44632.0</v>
      </c>
      <c r="B3115" s="174" t="s">
        <v>380</v>
      </c>
      <c r="C3115" s="174" t="s">
        <v>409</v>
      </c>
      <c r="D3115" s="174" t="s">
        <v>348</v>
      </c>
    </row>
    <row r="3116">
      <c r="A3116" s="173">
        <v>44633.0</v>
      </c>
      <c r="B3116" s="174" t="s">
        <v>380</v>
      </c>
      <c r="C3116" s="174" t="s">
        <v>409</v>
      </c>
      <c r="D3116" s="174" t="s">
        <v>348</v>
      </c>
    </row>
    <row r="3117">
      <c r="A3117" s="173">
        <v>44634.0</v>
      </c>
      <c r="B3117" s="174" t="s">
        <v>381</v>
      </c>
      <c r="C3117" s="174" t="s">
        <v>409</v>
      </c>
      <c r="D3117" s="174" t="s">
        <v>349</v>
      </c>
    </row>
    <row r="3118">
      <c r="A3118" s="173">
        <v>44635.0</v>
      </c>
      <c r="B3118" s="174" t="s">
        <v>381</v>
      </c>
      <c r="C3118" s="174" t="s">
        <v>409</v>
      </c>
      <c r="D3118" s="174" t="s">
        <v>349</v>
      </c>
    </row>
    <row r="3119">
      <c r="A3119" s="173">
        <v>44636.0</v>
      </c>
      <c r="B3119" s="174" t="s">
        <v>381</v>
      </c>
      <c r="C3119" s="174" t="s">
        <v>409</v>
      </c>
      <c r="D3119" s="174" t="s">
        <v>349</v>
      </c>
    </row>
    <row r="3120">
      <c r="A3120" s="173">
        <v>44637.0</v>
      </c>
      <c r="B3120" s="174" t="s">
        <v>381</v>
      </c>
      <c r="C3120" s="174" t="s">
        <v>409</v>
      </c>
      <c r="D3120" s="174" t="s">
        <v>349</v>
      </c>
    </row>
    <row r="3121">
      <c r="A3121" s="173">
        <v>44638.0</v>
      </c>
      <c r="B3121" s="174" t="s">
        <v>381</v>
      </c>
      <c r="C3121" s="174" t="s">
        <v>409</v>
      </c>
      <c r="D3121" s="174" t="s">
        <v>349</v>
      </c>
    </row>
    <row r="3122">
      <c r="A3122" s="173">
        <v>44639.0</v>
      </c>
      <c r="B3122" s="174" t="s">
        <v>381</v>
      </c>
      <c r="C3122" s="174" t="s">
        <v>409</v>
      </c>
      <c r="D3122" s="174" t="s">
        <v>349</v>
      </c>
    </row>
    <row r="3123">
      <c r="A3123" s="173">
        <v>44640.0</v>
      </c>
      <c r="B3123" s="174" t="s">
        <v>381</v>
      </c>
      <c r="C3123" s="174" t="s">
        <v>409</v>
      </c>
      <c r="D3123" s="174" t="s">
        <v>349</v>
      </c>
    </row>
    <row r="3124">
      <c r="A3124" s="173">
        <v>44641.0</v>
      </c>
      <c r="B3124" s="174" t="s">
        <v>382</v>
      </c>
      <c r="C3124" s="174" t="s">
        <v>409</v>
      </c>
      <c r="D3124" s="174" t="s">
        <v>349</v>
      </c>
    </row>
    <row r="3125">
      <c r="A3125" s="173">
        <v>44642.0</v>
      </c>
      <c r="B3125" s="174" t="s">
        <v>382</v>
      </c>
      <c r="C3125" s="174" t="s">
        <v>409</v>
      </c>
      <c r="D3125" s="174" t="s">
        <v>349</v>
      </c>
    </row>
    <row r="3126">
      <c r="A3126" s="173">
        <v>44643.0</v>
      </c>
      <c r="B3126" s="174" t="s">
        <v>382</v>
      </c>
      <c r="C3126" s="174" t="s">
        <v>409</v>
      </c>
      <c r="D3126" s="174" t="s">
        <v>349</v>
      </c>
    </row>
    <row r="3127">
      <c r="A3127" s="173">
        <v>44644.0</v>
      </c>
      <c r="B3127" s="174" t="s">
        <v>382</v>
      </c>
      <c r="C3127" s="174" t="s">
        <v>409</v>
      </c>
      <c r="D3127" s="174" t="s">
        <v>349</v>
      </c>
    </row>
    <row r="3128">
      <c r="A3128" s="173">
        <v>44645.0</v>
      </c>
      <c r="B3128" s="174" t="s">
        <v>382</v>
      </c>
      <c r="C3128" s="174" t="s">
        <v>409</v>
      </c>
      <c r="D3128" s="174" t="s">
        <v>349</v>
      </c>
    </row>
    <row r="3129">
      <c r="A3129" s="173">
        <v>44646.0</v>
      </c>
      <c r="B3129" s="174" t="s">
        <v>382</v>
      </c>
      <c r="C3129" s="174" t="s">
        <v>409</v>
      </c>
      <c r="D3129" s="174" t="s">
        <v>349</v>
      </c>
    </row>
    <row r="3130">
      <c r="A3130" s="173">
        <v>44647.0</v>
      </c>
      <c r="B3130" s="174" t="s">
        <v>382</v>
      </c>
      <c r="C3130" s="174" t="s">
        <v>409</v>
      </c>
      <c r="D3130" s="174" t="s">
        <v>349</v>
      </c>
    </row>
    <row r="3131">
      <c r="A3131" s="173">
        <v>44648.0</v>
      </c>
      <c r="B3131" s="174" t="s">
        <v>383</v>
      </c>
      <c r="C3131" s="174" t="s">
        <v>409</v>
      </c>
      <c r="D3131" s="174" t="s">
        <v>349</v>
      </c>
    </row>
    <row r="3132">
      <c r="A3132" s="173">
        <v>44649.0</v>
      </c>
      <c r="B3132" s="174" t="s">
        <v>383</v>
      </c>
      <c r="C3132" s="174" t="s">
        <v>409</v>
      </c>
      <c r="D3132" s="174" t="s">
        <v>349</v>
      </c>
    </row>
    <row r="3133">
      <c r="A3133" s="173">
        <v>44650.0</v>
      </c>
      <c r="B3133" s="174" t="s">
        <v>383</v>
      </c>
      <c r="C3133" s="174" t="s">
        <v>409</v>
      </c>
      <c r="D3133" s="174" t="s">
        <v>349</v>
      </c>
    </row>
    <row r="3134">
      <c r="A3134" s="173">
        <v>44651.0</v>
      </c>
      <c r="B3134" s="174" t="s">
        <v>383</v>
      </c>
      <c r="C3134" s="174" t="s">
        <v>409</v>
      </c>
      <c r="D3134" s="174" t="s">
        <v>349</v>
      </c>
    </row>
    <row r="3135">
      <c r="A3135" s="173">
        <v>44652.0</v>
      </c>
      <c r="B3135" s="174" t="s">
        <v>383</v>
      </c>
      <c r="C3135" s="174" t="s">
        <v>409</v>
      </c>
      <c r="D3135" s="174" t="s">
        <v>349</v>
      </c>
    </row>
    <row r="3136">
      <c r="A3136" s="173">
        <v>44653.0</v>
      </c>
      <c r="B3136" s="174" t="s">
        <v>383</v>
      </c>
      <c r="C3136" s="174" t="s">
        <v>409</v>
      </c>
      <c r="D3136" s="174" t="s">
        <v>349</v>
      </c>
    </row>
    <row r="3137">
      <c r="A3137" s="173">
        <v>44654.0</v>
      </c>
      <c r="B3137" s="174" t="s">
        <v>383</v>
      </c>
      <c r="C3137" s="174" t="s">
        <v>409</v>
      </c>
      <c r="D3137" s="174" t="s">
        <v>349</v>
      </c>
    </row>
    <row r="3138">
      <c r="A3138" s="173">
        <v>44655.0</v>
      </c>
      <c r="B3138" s="174" t="s">
        <v>384</v>
      </c>
      <c r="C3138" s="174" t="s">
        <v>409</v>
      </c>
      <c r="D3138" s="174" t="s">
        <v>349</v>
      </c>
    </row>
    <row r="3139">
      <c r="A3139" s="173">
        <v>44656.0</v>
      </c>
      <c r="B3139" s="174" t="s">
        <v>384</v>
      </c>
      <c r="C3139" s="174" t="s">
        <v>409</v>
      </c>
      <c r="D3139" s="174" t="s">
        <v>349</v>
      </c>
    </row>
    <row r="3140">
      <c r="A3140" s="173">
        <v>44657.0</v>
      </c>
      <c r="B3140" s="174" t="s">
        <v>384</v>
      </c>
      <c r="C3140" s="174" t="s">
        <v>409</v>
      </c>
      <c r="D3140" s="174" t="s">
        <v>349</v>
      </c>
    </row>
    <row r="3141">
      <c r="A3141" s="173">
        <v>44658.0</v>
      </c>
      <c r="B3141" s="174" t="s">
        <v>384</v>
      </c>
      <c r="C3141" s="174" t="s">
        <v>409</v>
      </c>
      <c r="D3141" s="174" t="s">
        <v>349</v>
      </c>
    </row>
    <row r="3142">
      <c r="A3142" s="173">
        <v>44659.0</v>
      </c>
      <c r="B3142" s="174" t="s">
        <v>384</v>
      </c>
      <c r="C3142" s="174" t="s">
        <v>409</v>
      </c>
      <c r="D3142" s="174" t="s">
        <v>349</v>
      </c>
    </row>
    <row r="3143">
      <c r="A3143" s="173">
        <v>44660.0</v>
      </c>
      <c r="B3143" s="174" t="s">
        <v>384</v>
      </c>
      <c r="C3143" s="174" t="s">
        <v>409</v>
      </c>
      <c r="D3143" s="174" t="s">
        <v>349</v>
      </c>
    </row>
    <row r="3144">
      <c r="A3144" s="173">
        <v>44661.0</v>
      </c>
      <c r="B3144" s="174" t="s">
        <v>384</v>
      </c>
      <c r="C3144" s="174" t="s">
        <v>409</v>
      </c>
      <c r="D3144" s="174" t="s">
        <v>349</v>
      </c>
    </row>
    <row r="3145">
      <c r="A3145" s="173">
        <v>44662.0</v>
      </c>
      <c r="B3145" s="174" t="s">
        <v>385</v>
      </c>
      <c r="C3145" s="174" t="s">
        <v>409</v>
      </c>
      <c r="D3145" s="174" t="s">
        <v>351</v>
      </c>
    </row>
    <row r="3146">
      <c r="A3146" s="173">
        <v>44663.0</v>
      </c>
      <c r="B3146" s="174" t="s">
        <v>385</v>
      </c>
      <c r="C3146" s="174" t="s">
        <v>409</v>
      </c>
      <c r="D3146" s="174" t="s">
        <v>351</v>
      </c>
    </row>
    <row r="3147">
      <c r="A3147" s="173">
        <v>44664.0</v>
      </c>
      <c r="B3147" s="174" t="s">
        <v>385</v>
      </c>
      <c r="C3147" s="174" t="s">
        <v>409</v>
      </c>
      <c r="D3147" s="174" t="s">
        <v>351</v>
      </c>
    </row>
    <row r="3148">
      <c r="A3148" s="173">
        <v>44665.0</v>
      </c>
      <c r="B3148" s="174" t="s">
        <v>385</v>
      </c>
      <c r="C3148" s="174" t="s">
        <v>409</v>
      </c>
      <c r="D3148" s="174" t="s">
        <v>351</v>
      </c>
    </row>
    <row r="3149">
      <c r="A3149" s="173">
        <v>44666.0</v>
      </c>
      <c r="B3149" s="174" t="s">
        <v>385</v>
      </c>
      <c r="C3149" s="174" t="s">
        <v>409</v>
      </c>
      <c r="D3149" s="174" t="s">
        <v>351</v>
      </c>
    </row>
    <row r="3150">
      <c r="A3150" s="173">
        <v>44667.0</v>
      </c>
      <c r="B3150" s="174" t="s">
        <v>385</v>
      </c>
      <c r="C3150" s="174" t="s">
        <v>409</v>
      </c>
      <c r="D3150" s="174" t="s">
        <v>351</v>
      </c>
    </row>
    <row r="3151">
      <c r="A3151" s="173">
        <v>44668.0</v>
      </c>
      <c r="B3151" s="174" t="s">
        <v>385</v>
      </c>
      <c r="C3151" s="174" t="s">
        <v>409</v>
      </c>
      <c r="D3151" s="174" t="s">
        <v>351</v>
      </c>
    </row>
    <row r="3152">
      <c r="A3152" s="173">
        <v>44669.0</v>
      </c>
      <c r="B3152" s="174" t="s">
        <v>386</v>
      </c>
      <c r="C3152" s="174" t="s">
        <v>409</v>
      </c>
      <c r="D3152" s="174" t="s">
        <v>351</v>
      </c>
    </row>
    <row r="3153">
      <c r="A3153" s="173">
        <v>44670.0</v>
      </c>
      <c r="B3153" s="174" t="s">
        <v>386</v>
      </c>
      <c r="C3153" s="174" t="s">
        <v>409</v>
      </c>
      <c r="D3153" s="174" t="s">
        <v>351</v>
      </c>
    </row>
    <row r="3154">
      <c r="A3154" s="173">
        <v>44671.0</v>
      </c>
      <c r="B3154" s="174" t="s">
        <v>386</v>
      </c>
      <c r="C3154" s="174" t="s">
        <v>409</v>
      </c>
      <c r="D3154" s="174" t="s">
        <v>351</v>
      </c>
    </row>
    <row r="3155">
      <c r="A3155" s="173">
        <v>44672.0</v>
      </c>
      <c r="B3155" s="174" t="s">
        <v>386</v>
      </c>
      <c r="C3155" s="174" t="s">
        <v>409</v>
      </c>
      <c r="D3155" s="174" t="s">
        <v>351</v>
      </c>
    </row>
    <row r="3156">
      <c r="A3156" s="173">
        <v>44673.0</v>
      </c>
      <c r="B3156" s="174" t="s">
        <v>386</v>
      </c>
      <c r="C3156" s="174" t="s">
        <v>409</v>
      </c>
      <c r="D3156" s="174" t="s">
        <v>351</v>
      </c>
    </row>
    <row r="3157">
      <c r="A3157" s="173">
        <v>44674.0</v>
      </c>
      <c r="B3157" s="174" t="s">
        <v>386</v>
      </c>
      <c r="C3157" s="174" t="s">
        <v>409</v>
      </c>
      <c r="D3157" s="174" t="s">
        <v>351</v>
      </c>
    </row>
    <row r="3158">
      <c r="A3158" s="173">
        <v>44675.0</v>
      </c>
      <c r="B3158" s="174" t="s">
        <v>386</v>
      </c>
      <c r="C3158" s="174" t="s">
        <v>409</v>
      </c>
      <c r="D3158" s="174" t="s">
        <v>351</v>
      </c>
    </row>
    <row r="3159">
      <c r="A3159" s="173">
        <v>44676.0</v>
      </c>
      <c r="B3159" s="174" t="s">
        <v>387</v>
      </c>
      <c r="C3159" s="174" t="s">
        <v>409</v>
      </c>
      <c r="D3159" s="174" t="s">
        <v>351</v>
      </c>
    </row>
    <row r="3160">
      <c r="A3160" s="173">
        <v>44677.0</v>
      </c>
      <c r="B3160" s="174" t="s">
        <v>387</v>
      </c>
      <c r="C3160" s="174" t="s">
        <v>409</v>
      </c>
      <c r="D3160" s="174" t="s">
        <v>351</v>
      </c>
    </row>
    <row r="3161">
      <c r="A3161" s="173">
        <v>44678.0</v>
      </c>
      <c r="B3161" s="174" t="s">
        <v>387</v>
      </c>
      <c r="C3161" s="174" t="s">
        <v>409</v>
      </c>
      <c r="D3161" s="174" t="s">
        <v>351</v>
      </c>
    </row>
    <row r="3162">
      <c r="A3162" s="173">
        <v>44679.0</v>
      </c>
      <c r="B3162" s="174" t="s">
        <v>387</v>
      </c>
      <c r="C3162" s="174" t="s">
        <v>409</v>
      </c>
      <c r="D3162" s="174" t="s">
        <v>351</v>
      </c>
    </row>
    <row r="3163">
      <c r="A3163" s="173">
        <v>44680.0</v>
      </c>
      <c r="B3163" s="174" t="s">
        <v>387</v>
      </c>
      <c r="C3163" s="174" t="s">
        <v>409</v>
      </c>
      <c r="D3163" s="174" t="s">
        <v>351</v>
      </c>
    </row>
    <row r="3164">
      <c r="A3164" s="173">
        <v>44681.0</v>
      </c>
      <c r="B3164" s="174" t="s">
        <v>387</v>
      </c>
      <c r="C3164" s="174" t="s">
        <v>409</v>
      </c>
      <c r="D3164" s="174" t="s">
        <v>351</v>
      </c>
    </row>
    <row r="3165">
      <c r="A3165" s="173">
        <v>44682.0</v>
      </c>
      <c r="B3165" s="174" t="s">
        <v>387</v>
      </c>
      <c r="C3165" s="174" t="s">
        <v>409</v>
      </c>
      <c r="D3165" s="174" t="s">
        <v>351</v>
      </c>
    </row>
    <row r="3166">
      <c r="A3166" s="173">
        <v>44683.0</v>
      </c>
      <c r="B3166" s="174" t="s">
        <v>388</v>
      </c>
      <c r="C3166" s="174" t="s">
        <v>409</v>
      </c>
      <c r="D3166" s="174" t="s">
        <v>351</v>
      </c>
    </row>
    <row r="3167">
      <c r="A3167" s="173">
        <v>44684.0</v>
      </c>
      <c r="B3167" s="174" t="s">
        <v>388</v>
      </c>
      <c r="C3167" s="174" t="s">
        <v>409</v>
      </c>
      <c r="D3167" s="174" t="s">
        <v>351</v>
      </c>
    </row>
    <row r="3168">
      <c r="A3168" s="173">
        <v>44685.0</v>
      </c>
      <c r="B3168" s="174" t="s">
        <v>388</v>
      </c>
      <c r="C3168" s="174" t="s">
        <v>409</v>
      </c>
      <c r="D3168" s="174" t="s">
        <v>351</v>
      </c>
    </row>
    <row r="3169">
      <c r="A3169" s="173">
        <v>44686.0</v>
      </c>
      <c r="B3169" s="174" t="s">
        <v>388</v>
      </c>
      <c r="C3169" s="174" t="s">
        <v>409</v>
      </c>
      <c r="D3169" s="174" t="s">
        <v>351</v>
      </c>
    </row>
    <row r="3170">
      <c r="A3170" s="173">
        <v>44687.0</v>
      </c>
      <c r="B3170" s="174" t="s">
        <v>388</v>
      </c>
      <c r="C3170" s="174" t="s">
        <v>409</v>
      </c>
      <c r="D3170" s="174" t="s">
        <v>351</v>
      </c>
    </row>
    <row r="3171">
      <c r="A3171" s="173">
        <v>44688.0</v>
      </c>
      <c r="B3171" s="174" t="s">
        <v>388</v>
      </c>
      <c r="C3171" s="174" t="s">
        <v>409</v>
      </c>
      <c r="D3171" s="174" t="s">
        <v>351</v>
      </c>
    </row>
    <row r="3172">
      <c r="A3172" s="173">
        <v>44689.0</v>
      </c>
      <c r="B3172" s="174" t="s">
        <v>388</v>
      </c>
      <c r="C3172" s="174" t="s">
        <v>409</v>
      </c>
      <c r="D3172" s="174" t="s">
        <v>351</v>
      </c>
    </row>
    <row r="3173">
      <c r="A3173" s="173">
        <v>44690.0</v>
      </c>
      <c r="B3173" s="174" t="s">
        <v>389</v>
      </c>
      <c r="C3173" s="174" t="s">
        <v>409</v>
      </c>
      <c r="D3173" s="174" t="s">
        <v>352</v>
      </c>
    </row>
    <row r="3174">
      <c r="A3174" s="173">
        <v>44691.0</v>
      </c>
      <c r="B3174" s="174" t="s">
        <v>389</v>
      </c>
      <c r="C3174" s="174" t="s">
        <v>409</v>
      </c>
      <c r="D3174" s="174" t="s">
        <v>352</v>
      </c>
    </row>
    <row r="3175">
      <c r="A3175" s="173">
        <v>44692.0</v>
      </c>
      <c r="B3175" s="174" t="s">
        <v>389</v>
      </c>
      <c r="C3175" s="174" t="s">
        <v>409</v>
      </c>
      <c r="D3175" s="174" t="s">
        <v>352</v>
      </c>
    </row>
    <row r="3176">
      <c r="A3176" s="173">
        <v>44693.0</v>
      </c>
      <c r="B3176" s="174" t="s">
        <v>389</v>
      </c>
      <c r="C3176" s="174" t="s">
        <v>409</v>
      </c>
      <c r="D3176" s="174" t="s">
        <v>352</v>
      </c>
    </row>
    <row r="3177">
      <c r="A3177" s="173">
        <v>44694.0</v>
      </c>
      <c r="B3177" s="174" t="s">
        <v>389</v>
      </c>
      <c r="C3177" s="174" t="s">
        <v>409</v>
      </c>
      <c r="D3177" s="174" t="s">
        <v>352</v>
      </c>
    </row>
    <row r="3178">
      <c r="A3178" s="173">
        <v>44695.0</v>
      </c>
      <c r="B3178" s="174" t="s">
        <v>389</v>
      </c>
      <c r="C3178" s="174" t="s">
        <v>409</v>
      </c>
      <c r="D3178" s="174" t="s">
        <v>352</v>
      </c>
    </row>
    <row r="3179">
      <c r="A3179" s="173">
        <v>44696.0</v>
      </c>
      <c r="B3179" s="174" t="s">
        <v>389</v>
      </c>
      <c r="C3179" s="174" t="s">
        <v>409</v>
      </c>
      <c r="D3179" s="174" t="s">
        <v>352</v>
      </c>
    </row>
    <row r="3180">
      <c r="A3180" s="173">
        <v>44697.0</v>
      </c>
      <c r="B3180" s="174" t="s">
        <v>390</v>
      </c>
      <c r="C3180" s="174" t="s">
        <v>409</v>
      </c>
      <c r="D3180" s="174" t="s">
        <v>352</v>
      </c>
    </row>
    <row r="3181">
      <c r="A3181" s="173">
        <v>44698.0</v>
      </c>
      <c r="B3181" s="174" t="s">
        <v>390</v>
      </c>
      <c r="C3181" s="174" t="s">
        <v>409</v>
      </c>
      <c r="D3181" s="174" t="s">
        <v>352</v>
      </c>
    </row>
    <row r="3182">
      <c r="A3182" s="173">
        <v>44699.0</v>
      </c>
      <c r="B3182" s="174" t="s">
        <v>390</v>
      </c>
      <c r="C3182" s="174" t="s">
        <v>409</v>
      </c>
      <c r="D3182" s="174" t="s">
        <v>352</v>
      </c>
    </row>
    <row r="3183">
      <c r="A3183" s="173">
        <v>44700.0</v>
      </c>
      <c r="B3183" s="174" t="s">
        <v>390</v>
      </c>
      <c r="C3183" s="174" t="s">
        <v>409</v>
      </c>
      <c r="D3183" s="174" t="s">
        <v>352</v>
      </c>
    </row>
    <row r="3184">
      <c r="A3184" s="173">
        <v>44701.0</v>
      </c>
      <c r="B3184" s="174" t="s">
        <v>390</v>
      </c>
      <c r="C3184" s="174" t="s">
        <v>409</v>
      </c>
      <c r="D3184" s="174" t="s">
        <v>352</v>
      </c>
    </row>
    <row r="3185">
      <c r="A3185" s="173">
        <v>44702.0</v>
      </c>
      <c r="B3185" s="174" t="s">
        <v>390</v>
      </c>
      <c r="C3185" s="174" t="s">
        <v>409</v>
      </c>
      <c r="D3185" s="174" t="s">
        <v>352</v>
      </c>
    </row>
    <row r="3186">
      <c r="A3186" s="173">
        <v>44703.0</v>
      </c>
      <c r="B3186" s="174" t="s">
        <v>390</v>
      </c>
      <c r="C3186" s="174" t="s">
        <v>409</v>
      </c>
      <c r="D3186" s="174" t="s">
        <v>352</v>
      </c>
    </row>
    <row r="3187">
      <c r="A3187" s="173">
        <v>44704.0</v>
      </c>
      <c r="B3187" s="174" t="s">
        <v>391</v>
      </c>
      <c r="C3187" s="174" t="s">
        <v>409</v>
      </c>
      <c r="D3187" s="174" t="s">
        <v>352</v>
      </c>
    </row>
    <row r="3188">
      <c r="A3188" s="173">
        <v>44705.0</v>
      </c>
      <c r="B3188" s="174" t="s">
        <v>391</v>
      </c>
      <c r="C3188" s="174" t="s">
        <v>409</v>
      </c>
      <c r="D3188" s="174" t="s">
        <v>352</v>
      </c>
    </row>
    <row r="3189">
      <c r="A3189" s="173">
        <v>44706.0</v>
      </c>
      <c r="B3189" s="174" t="s">
        <v>391</v>
      </c>
      <c r="C3189" s="174" t="s">
        <v>409</v>
      </c>
      <c r="D3189" s="174" t="s">
        <v>352</v>
      </c>
    </row>
    <row r="3190">
      <c r="A3190" s="173">
        <v>44707.0</v>
      </c>
      <c r="B3190" s="174" t="s">
        <v>391</v>
      </c>
      <c r="C3190" s="174" t="s">
        <v>409</v>
      </c>
      <c r="D3190" s="174" t="s">
        <v>352</v>
      </c>
    </row>
    <row r="3191">
      <c r="A3191" s="173">
        <v>44708.0</v>
      </c>
      <c r="B3191" s="174" t="s">
        <v>391</v>
      </c>
      <c r="C3191" s="174" t="s">
        <v>409</v>
      </c>
      <c r="D3191" s="174" t="s">
        <v>352</v>
      </c>
    </row>
    <row r="3192">
      <c r="A3192" s="173">
        <v>44709.0</v>
      </c>
      <c r="B3192" s="174" t="s">
        <v>391</v>
      </c>
      <c r="C3192" s="174" t="s">
        <v>409</v>
      </c>
      <c r="D3192" s="174" t="s">
        <v>352</v>
      </c>
    </row>
    <row r="3193">
      <c r="A3193" s="173">
        <v>44710.0</v>
      </c>
      <c r="B3193" s="174" t="s">
        <v>391</v>
      </c>
      <c r="C3193" s="174" t="s">
        <v>409</v>
      </c>
      <c r="D3193" s="174" t="s">
        <v>352</v>
      </c>
    </row>
    <row r="3194">
      <c r="A3194" s="173">
        <v>44711.0</v>
      </c>
      <c r="B3194" s="174" t="s">
        <v>392</v>
      </c>
      <c r="C3194" s="174" t="s">
        <v>409</v>
      </c>
      <c r="D3194" s="174" t="s">
        <v>352</v>
      </c>
    </row>
    <row r="3195">
      <c r="A3195" s="173">
        <v>44712.0</v>
      </c>
      <c r="B3195" s="174" t="s">
        <v>392</v>
      </c>
      <c r="C3195" s="174" t="s">
        <v>409</v>
      </c>
      <c r="D3195" s="174" t="s">
        <v>352</v>
      </c>
    </row>
    <row r="3196">
      <c r="A3196" s="173">
        <v>44713.0</v>
      </c>
      <c r="B3196" s="174" t="s">
        <v>392</v>
      </c>
      <c r="C3196" s="174" t="s">
        <v>409</v>
      </c>
      <c r="D3196" s="174" t="s">
        <v>352</v>
      </c>
    </row>
    <row r="3197">
      <c r="A3197" s="173">
        <v>44714.0</v>
      </c>
      <c r="B3197" s="174" t="s">
        <v>392</v>
      </c>
      <c r="C3197" s="174" t="s">
        <v>409</v>
      </c>
      <c r="D3197" s="174" t="s">
        <v>352</v>
      </c>
    </row>
    <row r="3198">
      <c r="A3198" s="173">
        <v>44715.0</v>
      </c>
      <c r="B3198" s="174" t="s">
        <v>392</v>
      </c>
      <c r="C3198" s="174" t="s">
        <v>409</v>
      </c>
      <c r="D3198" s="174" t="s">
        <v>352</v>
      </c>
    </row>
    <row r="3199">
      <c r="A3199" s="173">
        <v>44716.0</v>
      </c>
      <c r="B3199" s="174" t="s">
        <v>392</v>
      </c>
      <c r="C3199" s="174" t="s">
        <v>409</v>
      </c>
      <c r="D3199" s="174" t="s">
        <v>352</v>
      </c>
    </row>
    <row r="3200">
      <c r="A3200" s="173">
        <v>44717.0</v>
      </c>
      <c r="B3200" s="174" t="s">
        <v>392</v>
      </c>
      <c r="C3200" s="174" t="s">
        <v>409</v>
      </c>
      <c r="D3200" s="174" t="s">
        <v>352</v>
      </c>
    </row>
    <row r="3201">
      <c r="A3201" s="173">
        <v>44718.0</v>
      </c>
      <c r="B3201" s="174" t="s">
        <v>393</v>
      </c>
      <c r="C3201" s="174" t="s">
        <v>409</v>
      </c>
      <c r="D3201" s="174" t="s">
        <v>353</v>
      </c>
    </row>
    <row r="3202">
      <c r="A3202" s="173">
        <v>44719.0</v>
      </c>
      <c r="B3202" s="174" t="s">
        <v>393</v>
      </c>
      <c r="C3202" s="174" t="s">
        <v>409</v>
      </c>
      <c r="D3202" s="174" t="s">
        <v>353</v>
      </c>
    </row>
    <row r="3203">
      <c r="A3203" s="173">
        <v>44720.0</v>
      </c>
      <c r="B3203" s="174" t="s">
        <v>393</v>
      </c>
      <c r="C3203" s="174" t="s">
        <v>409</v>
      </c>
      <c r="D3203" s="174" t="s">
        <v>353</v>
      </c>
    </row>
    <row r="3204">
      <c r="A3204" s="173">
        <v>44721.0</v>
      </c>
      <c r="B3204" s="174" t="s">
        <v>393</v>
      </c>
      <c r="C3204" s="174" t="s">
        <v>409</v>
      </c>
      <c r="D3204" s="174" t="s">
        <v>353</v>
      </c>
    </row>
    <row r="3205">
      <c r="A3205" s="173">
        <v>44722.0</v>
      </c>
      <c r="B3205" s="174" t="s">
        <v>393</v>
      </c>
      <c r="C3205" s="174" t="s">
        <v>409</v>
      </c>
      <c r="D3205" s="174" t="s">
        <v>353</v>
      </c>
    </row>
    <row r="3206">
      <c r="A3206" s="173">
        <v>44723.0</v>
      </c>
      <c r="B3206" s="174" t="s">
        <v>393</v>
      </c>
      <c r="C3206" s="174" t="s">
        <v>409</v>
      </c>
      <c r="D3206" s="174" t="s">
        <v>353</v>
      </c>
    </row>
    <row r="3207">
      <c r="A3207" s="173">
        <v>44724.0</v>
      </c>
      <c r="B3207" s="174" t="s">
        <v>393</v>
      </c>
      <c r="C3207" s="174" t="s">
        <v>409</v>
      </c>
      <c r="D3207" s="174" t="s">
        <v>353</v>
      </c>
    </row>
    <row r="3208">
      <c r="A3208" s="173">
        <v>44725.0</v>
      </c>
      <c r="B3208" s="174" t="s">
        <v>394</v>
      </c>
      <c r="C3208" s="174" t="s">
        <v>409</v>
      </c>
      <c r="D3208" s="174" t="s">
        <v>353</v>
      </c>
    </row>
    <row r="3209">
      <c r="A3209" s="173">
        <v>44726.0</v>
      </c>
      <c r="B3209" s="174" t="s">
        <v>394</v>
      </c>
      <c r="C3209" s="174" t="s">
        <v>409</v>
      </c>
      <c r="D3209" s="174" t="s">
        <v>353</v>
      </c>
    </row>
    <row r="3210">
      <c r="A3210" s="173">
        <v>44727.0</v>
      </c>
      <c r="B3210" s="174" t="s">
        <v>394</v>
      </c>
      <c r="C3210" s="174" t="s">
        <v>409</v>
      </c>
      <c r="D3210" s="174" t="s">
        <v>353</v>
      </c>
    </row>
    <row r="3211">
      <c r="A3211" s="173">
        <v>44728.0</v>
      </c>
      <c r="B3211" s="174" t="s">
        <v>394</v>
      </c>
      <c r="C3211" s="174" t="s">
        <v>409</v>
      </c>
      <c r="D3211" s="174" t="s">
        <v>353</v>
      </c>
    </row>
    <row r="3212">
      <c r="A3212" s="173">
        <v>44729.0</v>
      </c>
      <c r="B3212" s="174" t="s">
        <v>394</v>
      </c>
      <c r="C3212" s="174" t="s">
        <v>409</v>
      </c>
      <c r="D3212" s="174" t="s">
        <v>353</v>
      </c>
    </row>
    <row r="3213">
      <c r="A3213" s="173">
        <v>44730.0</v>
      </c>
      <c r="B3213" s="174" t="s">
        <v>394</v>
      </c>
      <c r="C3213" s="174" t="s">
        <v>409</v>
      </c>
      <c r="D3213" s="174" t="s">
        <v>353</v>
      </c>
    </row>
    <row r="3214">
      <c r="A3214" s="173">
        <v>44731.0</v>
      </c>
      <c r="B3214" s="174" t="s">
        <v>394</v>
      </c>
      <c r="C3214" s="174" t="s">
        <v>409</v>
      </c>
      <c r="D3214" s="174" t="s">
        <v>353</v>
      </c>
    </row>
    <row r="3215">
      <c r="A3215" s="173">
        <v>44732.0</v>
      </c>
      <c r="B3215" s="174" t="s">
        <v>395</v>
      </c>
      <c r="C3215" s="174" t="s">
        <v>409</v>
      </c>
      <c r="D3215" s="174" t="s">
        <v>353</v>
      </c>
    </row>
    <row r="3216">
      <c r="A3216" s="173">
        <v>44733.0</v>
      </c>
      <c r="B3216" s="174" t="s">
        <v>395</v>
      </c>
      <c r="C3216" s="174" t="s">
        <v>409</v>
      </c>
      <c r="D3216" s="174" t="s">
        <v>353</v>
      </c>
    </row>
    <row r="3217">
      <c r="A3217" s="173">
        <v>44734.0</v>
      </c>
      <c r="B3217" s="174" t="s">
        <v>395</v>
      </c>
      <c r="C3217" s="174" t="s">
        <v>409</v>
      </c>
      <c r="D3217" s="174" t="s">
        <v>353</v>
      </c>
    </row>
    <row r="3218">
      <c r="A3218" s="173">
        <v>44735.0</v>
      </c>
      <c r="B3218" s="174" t="s">
        <v>395</v>
      </c>
      <c r="C3218" s="174" t="s">
        <v>409</v>
      </c>
      <c r="D3218" s="174" t="s">
        <v>353</v>
      </c>
    </row>
    <row r="3219">
      <c r="A3219" s="173">
        <v>44736.0</v>
      </c>
      <c r="B3219" s="174" t="s">
        <v>395</v>
      </c>
      <c r="C3219" s="174" t="s">
        <v>409</v>
      </c>
      <c r="D3219" s="174" t="s">
        <v>353</v>
      </c>
    </row>
    <row r="3220">
      <c r="A3220" s="173">
        <v>44737.0</v>
      </c>
      <c r="B3220" s="174" t="s">
        <v>395</v>
      </c>
      <c r="C3220" s="174" t="s">
        <v>409</v>
      </c>
      <c r="D3220" s="174" t="s">
        <v>353</v>
      </c>
    </row>
    <row r="3221">
      <c r="A3221" s="173">
        <v>44738.0</v>
      </c>
      <c r="B3221" s="174" t="s">
        <v>395</v>
      </c>
      <c r="C3221" s="174" t="s">
        <v>409</v>
      </c>
      <c r="D3221" s="174" t="s">
        <v>353</v>
      </c>
    </row>
    <row r="3222">
      <c r="A3222" s="173">
        <v>44739.0</v>
      </c>
      <c r="B3222" s="174" t="s">
        <v>396</v>
      </c>
      <c r="C3222" s="174" t="s">
        <v>409</v>
      </c>
      <c r="D3222" s="174" t="s">
        <v>353</v>
      </c>
    </row>
    <row r="3223">
      <c r="A3223" s="173">
        <v>44740.0</v>
      </c>
      <c r="B3223" s="174" t="s">
        <v>396</v>
      </c>
      <c r="C3223" s="174" t="s">
        <v>409</v>
      </c>
      <c r="D3223" s="174" t="s">
        <v>353</v>
      </c>
    </row>
    <row r="3224">
      <c r="A3224" s="173">
        <v>44741.0</v>
      </c>
      <c r="B3224" s="174" t="s">
        <v>396</v>
      </c>
      <c r="C3224" s="174" t="s">
        <v>409</v>
      </c>
      <c r="D3224" s="174" t="s">
        <v>353</v>
      </c>
    </row>
    <row r="3225">
      <c r="A3225" s="173">
        <v>44742.0</v>
      </c>
      <c r="B3225" s="174" t="s">
        <v>396</v>
      </c>
      <c r="C3225" s="174" t="s">
        <v>409</v>
      </c>
      <c r="D3225" s="174" t="s">
        <v>353</v>
      </c>
    </row>
    <row r="3226">
      <c r="A3226" s="173">
        <v>44743.0</v>
      </c>
      <c r="B3226" s="174" t="s">
        <v>396</v>
      </c>
      <c r="C3226" s="174" t="s">
        <v>409</v>
      </c>
      <c r="D3226" s="174" t="s">
        <v>353</v>
      </c>
    </row>
    <row r="3227">
      <c r="A3227" s="173">
        <v>44744.0</v>
      </c>
      <c r="B3227" s="174" t="s">
        <v>396</v>
      </c>
      <c r="C3227" s="174" t="s">
        <v>409</v>
      </c>
      <c r="D3227" s="174" t="s">
        <v>353</v>
      </c>
    </row>
    <row r="3228">
      <c r="A3228" s="173">
        <v>44745.0</v>
      </c>
      <c r="B3228" s="174" t="s">
        <v>396</v>
      </c>
      <c r="C3228" s="174" t="s">
        <v>409</v>
      </c>
      <c r="D3228" s="174" t="s">
        <v>353</v>
      </c>
    </row>
    <row r="3229">
      <c r="A3229" s="173">
        <v>44746.0</v>
      </c>
      <c r="B3229" s="174" t="s">
        <v>397</v>
      </c>
      <c r="C3229" s="174" t="s">
        <v>409</v>
      </c>
      <c r="D3229" s="174" t="s">
        <v>354</v>
      </c>
    </row>
    <row r="3230">
      <c r="A3230" s="173">
        <v>44747.0</v>
      </c>
      <c r="B3230" s="174" t="s">
        <v>397</v>
      </c>
      <c r="C3230" s="174" t="s">
        <v>409</v>
      </c>
      <c r="D3230" s="174" t="s">
        <v>354</v>
      </c>
    </row>
    <row r="3231">
      <c r="A3231" s="173">
        <v>44748.0</v>
      </c>
      <c r="B3231" s="174" t="s">
        <v>397</v>
      </c>
      <c r="C3231" s="174" t="s">
        <v>409</v>
      </c>
      <c r="D3231" s="174" t="s">
        <v>354</v>
      </c>
    </row>
    <row r="3232">
      <c r="A3232" s="173">
        <v>44749.0</v>
      </c>
      <c r="B3232" s="174" t="s">
        <v>397</v>
      </c>
      <c r="C3232" s="174" t="s">
        <v>409</v>
      </c>
      <c r="D3232" s="174" t="s">
        <v>354</v>
      </c>
    </row>
    <row r="3233">
      <c r="A3233" s="173">
        <v>44750.0</v>
      </c>
      <c r="B3233" s="174" t="s">
        <v>397</v>
      </c>
      <c r="C3233" s="174" t="s">
        <v>409</v>
      </c>
      <c r="D3233" s="174" t="s">
        <v>354</v>
      </c>
    </row>
    <row r="3234">
      <c r="A3234" s="173">
        <v>44751.0</v>
      </c>
      <c r="B3234" s="174" t="s">
        <v>397</v>
      </c>
      <c r="C3234" s="174" t="s">
        <v>409</v>
      </c>
      <c r="D3234" s="174" t="s">
        <v>354</v>
      </c>
    </row>
    <row r="3235">
      <c r="A3235" s="173">
        <v>44752.0</v>
      </c>
      <c r="B3235" s="174" t="s">
        <v>397</v>
      </c>
      <c r="C3235" s="174" t="s">
        <v>409</v>
      </c>
      <c r="D3235" s="174" t="s">
        <v>354</v>
      </c>
    </row>
    <row r="3236">
      <c r="A3236" s="173">
        <v>44753.0</v>
      </c>
      <c r="B3236" s="174" t="s">
        <v>398</v>
      </c>
      <c r="C3236" s="174" t="s">
        <v>409</v>
      </c>
      <c r="D3236" s="174" t="s">
        <v>354</v>
      </c>
    </row>
    <row r="3237">
      <c r="A3237" s="173">
        <v>44754.0</v>
      </c>
      <c r="B3237" s="174" t="s">
        <v>398</v>
      </c>
      <c r="C3237" s="174" t="s">
        <v>409</v>
      </c>
      <c r="D3237" s="174" t="s">
        <v>354</v>
      </c>
    </row>
    <row r="3238">
      <c r="A3238" s="173">
        <v>44755.0</v>
      </c>
      <c r="B3238" s="174" t="s">
        <v>398</v>
      </c>
      <c r="C3238" s="174" t="s">
        <v>409</v>
      </c>
      <c r="D3238" s="174" t="s">
        <v>354</v>
      </c>
    </row>
    <row r="3239">
      <c r="A3239" s="173">
        <v>44756.0</v>
      </c>
      <c r="B3239" s="174" t="s">
        <v>398</v>
      </c>
      <c r="C3239" s="174" t="s">
        <v>409</v>
      </c>
      <c r="D3239" s="174" t="s">
        <v>354</v>
      </c>
    </row>
    <row r="3240">
      <c r="A3240" s="173">
        <v>44757.0</v>
      </c>
      <c r="B3240" s="174" t="s">
        <v>398</v>
      </c>
      <c r="C3240" s="174" t="s">
        <v>409</v>
      </c>
      <c r="D3240" s="174" t="s">
        <v>354</v>
      </c>
    </row>
    <row r="3241">
      <c r="A3241" s="173">
        <v>44758.0</v>
      </c>
      <c r="B3241" s="174" t="s">
        <v>398</v>
      </c>
      <c r="C3241" s="174" t="s">
        <v>409</v>
      </c>
      <c r="D3241" s="174" t="s">
        <v>354</v>
      </c>
    </row>
    <row r="3242">
      <c r="A3242" s="173">
        <v>44759.0</v>
      </c>
      <c r="B3242" s="174" t="s">
        <v>398</v>
      </c>
      <c r="C3242" s="174" t="s">
        <v>409</v>
      </c>
      <c r="D3242" s="174" t="s">
        <v>354</v>
      </c>
    </row>
    <row r="3243">
      <c r="A3243" s="173">
        <v>44760.0</v>
      </c>
      <c r="B3243" s="174" t="s">
        <v>399</v>
      </c>
      <c r="C3243" s="174" t="s">
        <v>409</v>
      </c>
      <c r="D3243" s="174" t="s">
        <v>354</v>
      </c>
    </row>
    <row r="3244">
      <c r="A3244" s="173">
        <v>44761.0</v>
      </c>
      <c r="B3244" s="174" t="s">
        <v>399</v>
      </c>
      <c r="C3244" s="174" t="s">
        <v>409</v>
      </c>
      <c r="D3244" s="174" t="s">
        <v>354</v>
      </c>
    </row>
    <row r="3245">
      <c r="A3245" s="173">
        <v>44762.0</v>
      </c>
      <c r="B3245" s="174" t="s">
        <v>399</v>
      </c>
      <c r="C3245" s="174" t="s">
        <v>409</v>
      </c>
      <c r="D3245" s="174" t="s">
        <v>354</v>
      </c>
    </row>
    <row r="3246">
      <c r="A3246" s="173">
        <v>44763.0</v>
      </c>
      <c r="B3246" s="174" t="s">
        <v>399</v>
      </c>
      <c r="C3246" s="174" t="s">
        <v>409</v>
      </c>
      <c r="D3246" s="174" t="s">
        <v>354</v>
      </c>
    </row>
    <row r="3247">
      <c r="A3247" s="173">
        <v>44764.0</v>
      </c>
      <c r="B3247" s="174" t="s">
        <v>399</v>
      </c>
      <c r="C3247" s="174" t="s">
        <v>409</v>
      </c>
      <c r="D3247" s="174" t="s">
        <v>354</v>
      </c>
    </row>
    <row r="3248">
      <c r="A3248" s="173">
        <v>44765.0</v>
      </c>
      <c r="B3248" s="174" t="s">
        <v>399</v>
      </c>
      <c r="C3248" s="174" t="s">
        <v>409</v>
      </c>
      <c r="D3248" s="174" t="s">
        <v>354</v>
      </c>
    </row>
    <row r="3249">
      <c r="A3249" s="173">
        <v>44766.0</v>
      </c>
      <c r="B3249" s="174" t="s">
        <v>399</v>
      </c>
      <c r="C3249" s="174" t="s">
        <v>409</v>
      </c>
      <c r="D3249" s="174" t="s">
        <v>354</v>
      </c>
    </row>
    <row r="3250">
      <c r="A3250" s="173">
        <v>44767.0</v>
      </c>
      <c r="B3250" s="174" t="s">
        <v>400</v>
      </c>
      <c r="C3250" s="174" t="s">
        <v>409</v>
      </c>
      <c r="D3250" s="174" t="s">
        <v>354</v>
      </c>
    </row>
    <row r="3251">
      <c r="A3251" s="173">
        <v>44768.0</v>
      </c>
      <c r="B3251" s="174" t="s">
        <v>400</v>
      </c>
      <c r="C3251" s="174" t="s">
        <v>409</v>
      </c>
      <c r="D3251" s="174" t="s">
        <v>354</v>
      </c>
    </row>
    <row r="3252">
      <c r="A3252" s="173">
        <v>44769.0</v>
      </c>
      <c r="B3252" s="174" t="s">
        <v>400</v>
      </c>
      <c r="C3252" s="174" t="s">
        <v>409</v>
      </c>
      <c r="D3252" s="174" t="s">
        <v>354</v>
      </c>
    </row>
    <row r="3253">
      <c r="A3253" s="173">
        <v>44770.0</v>
      </c>
      <c r="B3253" s="174" t="s">
        <v>400</v>
      </c>
      <c r="C3253" s="174" t="s">
        <v>409</v>
      </c>
      <c r="D3253" s="174" t="s">
        <v>354</v>
      </c>
    </row>
    <row r="3254">
      <c r="A3254" s="173">
        <v>44771.0</v>
      </c>
      <c r="B3254" s="174" t="s">
        <v>400</v>
      </c>
      <c r="C3254" s="174" t="s">
        <v>409</v>
      </c>
      <c r="D3254" s="174" t="s">
        <v>354</v>
      </c>
    </row>
    <row r="3255">
      <c r="A3255" s="173">
        <v>44772.0</v>
      </c>
      <c r="B3255" s="174" t="s">
        <v>400</v>
      </c>
      <c r="C3255" s="174" t="s">
        <v>409</v>
      </c>
      <c r="D3255" s="174" t="s">
        <v>354</v>
      </c>
    </row>
    <row r="3256">
      <c r="A3256" s="173">
        <v>44773.0</v>
      </c>
      <c r="B3256" s="174" t="s">
        <v>400</v>
      </c>
      <c r="C3256" s="174" t="s">
        <v>409</v>
      </c>
      <c r="D3256" s="174" t="s">
        <v>354</v>
      </c>
    </row>
    <row r="3257">
      <c r="A3257" s="173">
        <v>44774.0</v>
      </c>
      <c r="B3257" s="174" t="s">
        <v>401</v>
      </c>
      <c r="C3257" s="174" t="s">
        <v>409</v>
      </c>
      <c r="D3257" s="174" t="s">
        <v>134</v>
      </c>
    </row>
    <row r="3258">
      <c r="A3258" s="173">
        <v>44775.0</v>
      </c>
      <c r="B3258" s="174" t="s">
        <v>401</v>
      </c>
      <c r="C3258" s="174" t="s">
        <v>409</v>
      </c>
      <c r="D3258" s="174" t="s">
        <v>134</v>
      </c>
    </row>
    <row r="3259">
      <c r="A3259" s="173">
        <v>44776.0</v>
      </c>
      <c r="B3259" s="174" t="s">
        <v>401</v>
      </c>
      <c r="C3259" s="174" t="s">
        <v>409</v>
      </c>
      <c r="D3259" s="174" t="s">
        <v>134</v>
      </c>
    </row>
    <row r="3260">
      <c r="A3260" s="173">
        <v>44777.0</v>
      </c>
      <c r="B3260" s="174" t="s">
        <v>401</v>
      </c>
      <c r="C3260" s="174" t="s">
        <v>409</v>
      </c>
      <c r="D3260" s="174" t="s">
        <v>134</v>
      </c>
    </row>
    <row r="3261">
      <c r="A3261" s="173">
        <v>44778.0</v>
      </c>
      <c r="B3261" s="174" t="s">
        <v>401</v>
      </c>
      <c r="C3261" s="174" t="s">
        <v>409</v>
      </c>
      <c r="D3261" s="174" t="s">
        <v>134</v>
      </c>
    </row>
    <row r="3262">
      <c r="A3262" s="173">
        <v>44779.0</v>
      </c>
      <c r="B3262" s="174" t="s">
        <v>401</v>
      </c>
      <c r="C3262" s="174" t="s">
        <v>409</v>
      </c>
      <c r="D3262" s="174" t="s">
        <v>134</v>
      </c>
    </row>
    <row r="3263">
      <c r="A3263" s="173">
        <v>44780.0</v>
      </c>
      <c r="B3263" s="174" t="s">
        <v>401</v>
      </c>
      <c r="C3263" s="174" t="s">
        <v>409</v>
      </c>
      <c r="D3263" s="174" t="s">
        <v>134</v>
      </c>
    </row>
    <row r="3264">
      <c r="A3264" s="173">
        <v>44781.0</v>
      </c>
      <c r="B3264" s="174" t="s">
        <v>402</v>
      </c>
      <c r="C3264" s="174" t="s">
        <v>409</v>
      </c>
      <c r="D3264" s="174" t="s">
        <v>134</v>
      </c>
    </row>
    <row r="3265">
      <c r="A3265" s="173">
        <v>44782.0</v>
      </c>
      <c r="B3265" s="174" t="s">
        <v>402</v>
      </c>
      <c r="C3265" s="174" t="s">
        <v>409</v>
      </c>
      <c r="D3265" s="174" t="s">
        <v>134</v>
      </c>
    </row>
    <row r="3266">
      <c r="A3266" s="173">
        <v>44783.0</v>
      </c>
      <c r="B3266" s="174" t="s">
        <v>402</v>
      </c>
      <c r="C3266" s="174" t="s">
        <v>409</v>
      </c>
      <c r="D3266" s="174" t="s">
        <v>134</v>
      </c>
    </row>
    <row r="3267">
      <c r="A3267" s="173">
        <v>44784.0</v>
      </c>
      <c r="B3267" s="174" t="s">
        <v>402</v>
      </c>
      <c r="C3267" s="174" t="s">
        <v>409</v>
      </c>
      <c r="D3267" s="174" t="s">
        <v>134</v>
      </c>
    </row>
    <row r="3268">
      <c r="A3268" s="173">
        <v>44785.0</v>
      </c>
      <c r="B3268" s="174" t="s">
        <v>402</v>
      </c>
      <c r="C3268" s="174" t="s">
        <v>409</v>
      </c>
      <c r="D3268" s="174" t="s">
        <v>134</v>
      </c>
    </row>
    <row r="3269">
      <c r="A3269" s="173">
        <v>44786.0</v>
      </c>
      <c r="B3269" s="174" t="s">
        <v>402</v>
      </c>
      <c r="C3269" s="174" t="s">
        <v>409</v>
      </c>
      <c r="D3269" s="174" t="s">
        <v>134</v>
      </c>
    </row>
    <row r="3270">
      <c r="A3270" s="173">
        <v>44787.0</v>
      </c>
      <c r="B3270" s="174" t="s">
        <v>402</v>
      </c>
      <c r="C3270" s="174" t="s">
        <v>409</v>
      </c>
      <c r="D3270" s="174" t="s">
        <v>134</v>
      </c>
    </row>
    <row r="3271">
      <c r="A3271" s="173">
        <v>44788.0</v>
      </c>
      <c r="B3271" s="174" t="s">
        <v>403</v>
      </c>
      <c r="C3271" s="174" t="s">
        <v>409</v>
      </c>
      <c r="D3271" s="174" t="s">
        <v>134</v>
      </c>
    </row>
    <row r="3272">
      <c r="A3272" s="173">
        <v>44789.0</v>
      </c>
      <c r="B3272" s="174" t="s">
        <v>403</v>
      </c>
      <c r="C3272" s="174" t="s">
        <v>409</v>
      </c>
      <c r="D3272" s="174" t="s">
        <v>134</v>
      </c>
    </row>
    <row r="3273">
      <c r="A3273" s="173">
        <v>44790.0</v>
      </c>
      <c r="B3273" s="174" t="s">
        <v>403</v>
      </c>
      <c r="C3273" s="174" t="s">
        <v>409</v>
      </c>
      <c r="D3273" s="174" t="s">
        <v>134</v>
      </c>
    </row>
    <row r="3274">
      <c r="A3274" s="173">
        <v>44791.0</v>
      </c>
      <c r="B3274" s="174" t="s">
        <v>403</v>
      </c>
      <c r="C3274" s="174" t="s">
        <v>409</v>
      </c>
      <c r="D3274" s="174" t="s">
        <v>134</v>
      </c>
    </row>
    <row r="3275">
      <c r="A3275" s="173">
        <v>44792.0</v>
      </c>
      <c r="B3275" s="174" t="s">
        <v>403</v>
      </c>
      <c r="C3275" s="174" t="s">
        <v>409</v>
      </c>
      <c r="D3275" s="174" t="s">
        <v>134</v>
      </c>
    </row>
    <row r="3276">
      <c r="A3276" s="173">
        <v>44793.0</v>
      </c>
      <c r="B3276" s="174" t="s">
        <v>403</v>
      </c>
      <c r="C3276" s="174" t="s">
        <v>409</v>
      </c>
      <c r="D3276" s="174" t="s">
        <v>134</v>
      </c>
    </row>
    <row r="3277">
      <c r="A3277" s="173">
        <v>44794.0</v>
      </c>
      <c r="B3277" s="174" t="s">
        <v>403</v>
      </c>
      <c r="C3277" s="174" t="s">
        <v>409</v>
      </c>
      <c r="D3277" s="174" t="s">
        <v>134</v>
      </c>
    </row>
    <row r="3278">
      <c r="A3278" s="173">
        <v>44795.0</v>
      </c>
      <c r="B3278" s="174" t="s">
        <v>404</v>
      </c>
      <c r="C3278" s="174" t="s">
        <v>409</v>
      </c>
      <c r="D3278" s="174" t="s">
        <v>134</v>
      </c>
    </row>
    <row r="3279">
      <c r="A3279" s="173">
        <v>44796.0</v>
      </c>
      <c r="B3279" s="174" t="s">
        <v>404</v>
      </c>
      <c r="C3279" s="174" t="s">
        <v>409</v>
      </c>
      <c r="D3279" s="174" t="s">
        <v>134</v>
      </c>
    </row>
    <row r="3280">
      <c r="A3280" s="173">
        <v>44797.0</v>
      </c>
      <c r="B3280" s="174" t="s">
        <v>404</v>
      </c>
      <c r="C3280" s="174" t="s">
        <v>409</v>
      </c>
      <c r="D3280" s="174" t="s">
        <v>134</v>
      </c>
    </row>
    <row r="3281">
      <c r="A3281" s="173">
        <v>44798.0</v>
      </c>
      <c r="B3281" s="174" t="s">
        <v>404</v>
      </c>
      <c r="C3281" s="174" t="s">
        <v>409</v>
      </c>
      <c r="D3281" s="174" t="s">
        <v>134</v>
      </c>
    </row>
    <row r="3282">
      <c r="A3282" s="173">
        <v>44799.0</v>
      </c>
      <c r="B3282" s="174" t="s">
        <v>404</v>
      </c>
      <c r="C3282" s="174" t="s">
        <v>409</v>
      </c>
      <c r="D3282" s="174" t="s">
        <v>134</v>
      </c>
    </row>
    <row r="3283">
      <c r="A3283" s="173">
        <v>44800.0</v>
      </c>
      <c r="B3283" s="174" t="s">
        <v>404</v>
      </c>
      <c r="C3283" s="174" t="s">
        <v>409</v>
      </c>
      <c r="D3283" s="174" t="s">
        <v>134</v>
      </c>
    </row>
    <row r="3284">
      <c r="A3284" s="173">
        <v>44801.0</v>
      </c>
      <c r="B3284" s="174" t="s">
        <v>404</v>
      </c>
      <c r="C3284" s="174" t="s">
        <v>409</v>
      </c>
      <c r="D3284" s="174" t="s">
        <v>134</v>
      </c>
    </row>
    <row r="3285">
      <c r="A3285" s="173">
        <v>44802.0</v>
      </c>
      <c r="B3285" s="174" t="s">
        <v>341</v>
      </c>
      <c r="C3285" s="174" t="s">
        <v>410</v>
      </c>
      <c r="D3285" s="174" t="s">
        <v>340</v>
      </c>
    </row>
    <row r="3286">
      <c r="A3286" s="173">
        <v>44803.0</v>
      </c>
      <c r="B3286" s="174" t="s">
        <v>341</v>
      </c>
      <c r="C3286" s="174" t="s">
        <v>410</v>
      </c>
      <c r="D3286" s="174" t="s">
        <v>340</v>
      </c>
    </row>
    <row r="3287">
      <c r="A3287" s="173">
        <v>44804.0</v>
      </c>
      <c r="B3287" s="174" t="s">
        <v>341</v>
      </c>
      <c r="C3287" s="174" t="s">
        <v>410</v>
      </c>
      <c r="D3287" s="174" t="s">
        <v>340</v>
      </c>
    </row>
    <row r="3288">
      <c r="A3288" s="173">
        <v>44805.0</v>
      </c>
      <c r="B3288" s="174" t="s">
        <v>341</v>
      </c>
      <c r="C3288" s="174" t="s">
        <v>410</v>
      </c>
      <c r="D3288" s="174" t="s">
        <v>340</v>
      </c>
    </row>
    <row r="3289">
      <c r="A3289" s="173">
        <v>44806.0</v>
      </c>
      <c r="B3289" s="174" t="s">
        <v>341</v>
      </c>
      <c r="C3289" s="174" t="s">
        <v>410</v>
      </c>
      <c r="D3289" s="174" t="s">
        <v>340</v>
      </c>
    </row>
    <row r="3290">
      <c r="A3290" s="173">
        <v>44807.0</v>
      </c>
      <c r="B3290" s="174" t="s">
        <v>341</v>
      </c>
      <c r="C3290" s="174" t="s">
        <v>410</v>
      </c>
      <c r="D3290" s="174" t="s">
        <v>340</v>
      </c>
    </row>
    <row r="3291">
      <c r="A3291" s="173">
        <v>44808.0</v>
      </c>
      <c r="B3291" s="174" t="s">
        <v>341</v>
      </c>
      <c r="C3291" s="174" t="s">
        <v>410</v>
      </c>
      <c r="D3291" s="174" t="s">
        <v>340</v>
      </c>
    </row>
    <row r="3292">
      <c r="A3292" s="173">
        <v>44809.0</v>
      </c>
      <c r="B3292" s="174" t="s">
        <v>350</v>
      </c>
      <c r="C3292" s="174" t="s">
        <v>410</v>
      </c>
      <c r="D3292" s="174" t="s">
        <v>340</v>
      </c>
    </row>
    <row r="3293">
      <c r="A3293" s="173">
        <v>44810.0</v>
      </c>
      <c r="B3293" s="174" t="s">
        <v>350</v>
      </c>
      <c r="C3293" s="174" t="s">
        <v>410</v>
      </c>
      <c r="D3293" s="174" t="s">
        <v>340</v>
      </c>
    </row>
    <row r="3294">
      <c r="A3294" s="173">
        <v>44811.0</v>
      </c>
      <c r="B3294" s="174" t="s">
        <v>350</v>
      </c>
      <c r="C3294" s="174" t="s">
        <v>410</v>
      </c>
      <c r="D3294" s="174" t="s">
        <v>340</v>
      </c>
    </row>
    <row r="3295">
      <c r="A3295" s="173">
        <v>44812.0</v>
      </c>
      <c r="B3295" s="174" t="s">
        <v>350</v>
      </c>
      <c r="C3295" s="174" t="s">
        <v>410</v>
      </c>
      <c r="D3295" s="174" t="s">
        <v>340</v>
      </c>
    </row>
    <row r="3296">
      <c r="A3296" s="173">
        <v>44813.0</v>
      </c>
      <c r="B3296" s="174" t="s">
        <v>350</v>
      </c>
      <c r="C3296" s="174" t="s">
        <v>410</v>
      </c>
      <c r="D3296" s="174" t="s">
        <v>340</v>
      </c>
    </row>
    <row r="3297">
      <c r="A3297" s="173">
        <v>44814.0</v>
      </c>
      <c r="B3297" s="174" t="s">
        <v>350</v>
      </c>
      <c r="C3297" s="174" t="s">
        <v>410</v>
      </c>
      <c r="D3297" s="174" t="s">
        <v>340</v>
      </c>
    </row>
    <row r="3298">
      <c r="A3298" s="173">
        <v>44815.0</v>
      </c>
      <c r="B3298" s="174" t="s">
        <v>350</v>
      </c>
      <c r="C3298" s="174" t="s">
        <v>410</v>
      </c>
      <c r="D3298" s="174" t="s">
        <v>340</v>
      </c>
    </row>
    <row r="3299">
      <c r="A3299" s="173">
        <v>44816.0</v>
      </c>
      <c r="B3299" s="174" t="s">
        <v>355</v>
      </c>
      <c r="C3299" s="174" t="s">
        <v>410</v>
      </c>
      <c r="D3299" s="174" t="s">
        <v>340</v>
      </c>
    </row>
    <row r="3300">
      <c r="A3300" s="173">
        <v>44817.0</v>
      </c>
      <c r="B3300" s="174" t="s">
        <v>355</v>
      </c>
      <c r="C3300" s="174" t="s">
        <v>410</v>
      </c>
      <c r="D3300" s="174" t="s">
        <v>340</v>
      </c>
    </row>
    <row r="3301">
      <c r="A3301" s="173">
        <v>44818.0</v>
      </c>
      <c r="B3301" s="174" t="s">
        <v>355</v>
      </c>
      <c r="C3301" s="174" t="s">
        <v>410</v>
      </c>
      <c r="D3301" s="174" t="s">
        <v>340</v>
      </c>
    </row>
    <row r="3302">
      <c r="A3302" s="173">
        <v>44819.0</v>
      </c>
      <c r="B3302" s="174" t="s">
        <v>355</v>
      </c>
      <c r="C3302" s="174" t="s">
        <v>410</v>
      </c>
      <c r="D3302" s="174" t="s">
        <v>340</v>
      </c>
    </row>
    <row r="3303">
      <c r="A3303" s="173">
        <v>44820.0</v>
      </c>
      <c r="B3303" s="174" t="s">
        <v>355</v>
      </c>
      <c r="C3303" s="174" t="s">
        <v>410</v>
      </c>
      <c r="D3303" s="174" t="s">
        <v>340</v>
      </c>
    </row>
    <row r="3304">
      <c r="A3304" s="173">
        <v>44821.0</v>
      </c>
      <c r="B3304" s="174" t="s">
        <v>355</v>
      </c>
      <c r="C3304" s="174" t="s">
        <v>410</v>
      </c>
      <c r="D3304" s="174" t="s">
        <v>340</v>
      </c>
    </row>
    <row r="3305">
      <c r="A3305" s="173">
        <v>44822.0</v>
      </c>
      <c r="B3305" s="174" t="s">
        <v>355</v>
      </c>
      <c r="C3305" s="174" t="s">
        <v>410</v>
      </c>
      <c r="D3305" s="174" t="s">
        <v>340</v>
      </c>
    </row>
    <row r="3306">
      <c r="A3306" s="173">
        <v>44823.0</v>
      </c>
      <c r="B3306" s="174" t="s">
        <v>356</v>
      </c>
      <c r="C3306" s="174" t="s">
        <v>410</v>
      </c>
      <c r="D3306" s="174" t="s">
        <v>340</v>
      </c>
    </row>
    <row r="3307">
      <c r="A3307" s="173">
        <v>44824.0</v>
      </c>
      <c r="B3307" s="174" t="s">
        <v>356</v>
      </c>
      <c r="C3307" s="174" t="s">
        <v>410</v>
      </c>
      <c r="D3307" s="174" t="s">
        <v>340</v>
      </c>
    </row>
    <row r="3308">
      <c r="A3308" s="173">
        <v>44825.0</v>
      </c>
      <c r="B3308" s="174" t="s">
        <v>356</v>
      </c>
      <c r="C3308" s="174" t="s">
        <v>410</v>
      </c>
      <c r="D3308" s="174" t="s">
        <v>340</v>
      </c>
    </row>
    <row r="3309">
      <c r="A3309" s="173">
        <v>44826.0</v>
      </c>
      <c r="B3309" s="174" t="s">
        <v>356</v>
      </c>
      <c r="C3309" s="174" t="s">
        <v>410</v>
      </c>
      <c r="D3309" s="174" t="s">
        <v>340</v>
      </c>
    </row>
    <row r="3310">
      <c r="A3310" s="173">
        <v>44827.0</v>
      </c>
      <c r="B3310" s="174" t="s">
        <v>356</v>
      </c>
      <c r="C3310" s="174" t="s">
        <v>410</v>
      </c>
      <c r="D3310" s="174" t="s">
        <v>340</v>
      </c>
    </row>
    <row r="3311">
      <c r="A3311" s="173">
        <v>44828.0</v>
      </c>
      <c r="B3311" s="174" t="s">
        <v>356</v>
      </c>
      <c r="C3311" s="174" t="s">
        <v>410</v>
      </c>
      <c r="D3311" s="174" t="s">
        <v>340</v>
      </c>
    </row>
    <row r="3312">
      <c r="A3312" s="173">
        <v>44829.0</v>
      </c>
      <c r="B3312" s="174" t="s">
        <v>356</v>
      </c>
      <c r="C3312" s="174" t="s">
        <v>410</v>
      </c>
      <c r="D3312" s="174" t="s">
        <v>340</v>
      </c>
    </row>
    <row r="3313">
      <c r="A3313" s="173">
        <v>44830.0</v>
      </c>
      <c r="B3313" s="174" t="s">
        <v>357</v>
      </c>
      <c r="C3313" s="174" t="s">
        <v>410</v>
      </c>
      <c r="D3313" s="174" t="s">
        <v>343</v>
      </c>
    </row>
    <row r="3314">
      <c r="A3314" s="173">
        <v>44831.0</v>
      </c>
      <c r="B3314" s="174" t="s">
        <v>357</v>
      </c>
      <c r="C3314" s="174" t="s">
        <v>410</v>
      </c>
      <c r="D3314" s="174" t="s">
        <v>343</v>
      </c>
    </row>
    <row r="3315">
      <c r="A3315" s="173">
        <v>44832.0</v>
      </c>
      <c r="B3315" s="174" t="s">
        <v>357</v>
      </c>
      <c r="C3315" s="174" t="s">
        <v>410</v>
      </c>
      <c r="D3315" s="174" t="s">
        <v>343</v>
      </c>
    </row>
    <row r="3316">
      <c r="A3316" s="173">
        <v>44833.0</v>
      </c>
      <c r="B3316" s="174" t="s">
        <v>357</v>
      </c>
      <c r="C3316" s="174" t="s">
        <v>410</v>
      </c>
      <c r="D3316" s="174" t="s">
        <v>343</v>
      </c>
    </row>
    <row r="3317">
      <c r="A3317" s="173">
        <v>44834.0</v>
      </c>
      <c r="B3317" s="174" t="s">
        <v>357</v>
      </c>
      <c r="C3317" s="174" t="s">
        <v>410</v>
      </c>
      <c r="D3317" s="174" t="s">
        <v>343</v>
      </c>
    </row>
    <row r="3318">
      <c r="A3318" s="173">
        <v>44835.0</v>
      </c>
      <c r="B3318" s="174" t="s">
        <v>357</v>
      </c>
      <c r="C3318" s="174" t="s">
        <v>410</v>
      </c>
      <c r="D3318" s="174" t="s">
        <v>343</v>
      </c>
    </row>
    <row r="3319">
      <c r="A3319" s="173">
        <v>44836.0</v>
      </c>
      <c r="B3319" s="174" t="s">
        <v>357</v>
      </c>
      <c r="C3319" s="174" t="s">
        <v>410</v>
      </c>
      <c r="D3319" s="174" t="s">
        <v>343</v>
      </c>
    </row>
    <row r="3320">
      <c r="A3320" s="173">
        <v>44837.0</v>
      </c>
      <c r="B3320" s="174" t="s">
        <v>358</v>
      </c>
      <c r="C3320" s="174" t="s">
        <v>410</v>
      </c>
      <c r="D3320" s="174" t="s">
        <v>343</v>
      </c>
    </row>
    <row r="3321">
      <c r="A3321" s="173">
        <v>44838.0</v>
      </c>
      <c r="B3321" s="174" t="s">
        <v>358</v>
      </c>
      <c r="C3321" s="174" t="s">
        <v>410</v>
      </c>
      <c r="D3321" s="174" t="s">
        <v>343</v>
      </c>
    </row>
    <row r="3322">
      <c r="A3322" s="173">
        <v>44839.0</v>
      </c>
      <c r="B3322" s="174" t="s">
        <v>358</v>
      </c>
      <c r="C3322" s="174" t="s">
        <v>410</v>
      </c>
      <c r="D3322" s="174" t="s">
        <v>343</v>
      </c>
    </row>
    <row r="3323">
      <c r="A3323" s="173">
        <v>44840.0</v>
      </c>
      <c r="B3323" s="174" t="s">
        <v>358</v>
      </c>
      <c r="C3323" s="174" t="s">
        <v>410</v>
      </c>
      <c r="D3323" s="174" t="s">
        <v>343</v>
      </c>
    </row>
    <row r="3324">
      <c r="A3324" s="173">
        <v>44841.0</v>
      </c>
      <c r="B3324" s="174" t="s">
        <v>358</v>
      </c>
      <c r="C3324" s="174" t="s">
        <v>410</v>
      </c>
      <c r="D3324" s="174" t="s">
        <v>343</v>
      </c>
    </row>
    <row r="3325">
      <c r="A3325" s="173">
        <v>44842.0</v>
      </c>
      <c r="B3325" s="174" t="s">
        <v>358</v>
      </c>
      <c r="C3325" s="174" t="s">
        <v>410</v>
      </c>
      <c r="D3325" s="174" t="s">
        <v>343</v>
      </c>
    </row>
    <row r="3326">
      <c r="A3326" s="173">
        <v>44843.0</v>
      </c>
      <c r="B3326" s="174" t="s">
        <v>358</v>
      </c>
      <c r="C3326" s="174" t="s">
        <v>410</v>
      </c>
      <c r="D3326" s="174" t="s">
        <v>343</v>
      </c>
    </row>
    <row r="3327">
      <c r="A3327" s="173">
        <v>44844.0</v>
      </c>
      <c r="B3327" s="174" t="s">
        <v>359</v>
      </c>
      <c r="C3327" s="174" t="s">
        <v>410</v>
      </c>
      <c r="D3327" s="174" t="s">
        <v>343</v>
      </c>
    </row>
    <row r="3328">
      <c r="A3328" s="173">
        <v>44845.0</v>
      </c>
      <c r="B3328" s="174" t="s">
        <v>359</v>
      </c>
      <c r="C3328" s="174" t="s">
        <v>410</v>
      </c>
      <c r="D3328" s="174" t="s">
        <v>343</v>
      </c>
    </row>
    <row r="3329">
      <c r="A3329" s="173">
        <v>44846.0</v>
      </c>
      <c r="B3329" s="174" t="s">
        <v>359</v>
      </c>
      <c r="C3329" s="174" t="s">
        <v>410</v>
      </c>
      <c r="D3329" s="174" t="s">
        <v>343</v>
      </c>
    </row>
    <row r="3330">
      <c r="A3330" s="173">
        <v>44847.0</v>
      </c>
      <c r="B3330" s="174" t="s">
        <v>359</v>
      </c>
      <c r="C3330" s="174" t="s">
        <v>410</v>
      </c>
      <c r="D3330" s="174" t="s">
        <v>343</v>
      </c>
    </row>
    <row r="3331">
      <c r="A3331" s="173">
        <v>44848.0</v>
      </c>
      <c r="B3331" s="174" t="s">
        <v>359</v>
      </c>
      <c r="C3331" s="174" t="s">
        <v>410</v>
      </c>
      <c r="D3331" s="174" t="s">
        <v>343</v>
      </c>
    </row>
    <row r="3332">
      <c r="A3332" s="173">
        <v>44849.0</v>
      </c>
      <c r="B3332" s="174" t="s">
        <v>359</v>
      </c>
      <c r="C3332" s="174" t="s">
        <v>410</v>
      </c>
      <c r="D3332" s="174" t="s">
        <v>343</v>
      </c>
    </row>
    <row r="3333">
      <c r="A3333" s="173">
        <v>44850.0</v>
      </c>
      <c r="B3333" s="174" t="s">
        <v>359</v>
      </c>
      <c r="C3333" s="174" t="s">
        <v>410</v>
      </c>
      <c r="D3333" s="174" t="s">
        <v>343</v>
      </c>
    </row>
    <row r="3334">
      <c r="A3334" s="173">
        <v>44851.0</v>
      </c>
      <c r="B3334" s="174" t="s">
        <v>360</v>
      </c>
      <c r="C3334" s="174" t="s">
        <v>410</v>
      </c>
      <c r="D3334" s="174" t="s">
        <v>343</v>
      </c>
    </row>
    <row r="3335">
      <c r="A3335" s="173">
        <v>44852.0</v>
      </c>
      <c r="B3335" s="174" t="s">
        <v>360</v>
      </c>
      <c r="C3335" s="174" t="s">
        <v>410</v>
      </c>
      <c r="D3335" s="174" t="s">
        <v>343</v>
      </c>
    </row>
    <row r="3336">
      <c r="A3336" s="173">
        <v>44853.0</v>
      </c>
      <c r="B3336" s="174" t="s">
        <v>360</v>
      </c>
      <c r="C3336" s="174" t="s">
        <v>410</v>
      </c>
      <c r="D3336" s="174" t="s">
        <v>343</v>
      </c>
    </row>
    <row r="3337">
      <c r="A3337" s="173">
        <v>44854.0</v>
      </c>
      <c r="B3337" s="174" t="s">
        <v>360</v>
      </c>
      <c r="C3337" s="174" t="s">
        <v>410</v>
      </c>
      <c r="D3337" s="174" t="s">
        <v>343</v>
      </c>
    </row>
    <row r="3338">
      <c r="A3338" s="173">
        <v>44855.0</v>
      </c>
      <c r="B3338" s="174" t="s">
        <v>360</v>
      </c>
      <c r="C3338" s="174" t="s">
        <v>410</v>
      </c>
      <c r="D3338" s="174" t="s">
        <v>343</v>
      </c>
    </row>
    <row r="3339">
      <c r="A3339" s="173">
        <v>44856.0</v>
      </c>
      <c r="B3339" s="174" t="s">
        <v>360</v>
      </c>
      <c r="C3339" s="174" t="s">
        <v>410</v>
      </c>
      <c r="D3339" s="174" t="s">
        <v>343</v>
      </c>
    </row>
    <row r="3340">
      <c r="A3340" s="173">
        <v>44857.0</v>
      </c>
      <c r="B3340" s="174" t="s">
        <v>360</v>
      </c>
      <c r="C3340" s="174" t="s">
        <v>410</v>
      </c>
      <c r="D3340" s="174" t="s">
        <v>343</v>
      </c>
    </row>
    <row r="3341">
      <c r="A3341" s="173">
        <v>44858.0</v>
      </c>
      <c r="B3341" s="174" t="s">
        <v>361</v>
      </c>
      <c r="C3341" s="174" t="s">
        <v>410</v>
      </c>
      <c r="D3341" s="174" t="s">
        <v>344</v>
      </c>
    </row>
    <row r="3342">
      <c r="A3342" s="173">
        <v>44859.0</v>
      </c>
      <c r="B3342" s="174" t="s">
        <v>361</v>
      </c>
      <c r="C3342" s="174" t="s">
        <v>410</v>
      </c>
      <c r="D3342" s="174" t="s">
        <v>344</v>
      </c>
    </row>
    <row r="3343">
      <c r="A3343" s="173">
        <v>44860.0</v>
      </c>
      <c r="B3343" s="174" t="s">
        <v>361</v>
      </c>
      <c r="C3343" s="174" t="s">
        <v>410</v>
      </c>
      <c r="D3343" s="174" t="s">
        <v>344</v>
      </c>
    </row>
    <row r="3344">
      <c r="A3344" s="173">
        <v>44861.0</v>
      </c>
      <c r="B3344" s="174" t="s">
        <v>361</v>
      </c>
      <c r="C3344" s="174" t="s">
        <v>410</v>
      </c>
      <c r="D3344" s="174" t="s">
        <v>344</v>
      </c>
    </row>
    <row r="3345">
      <c r="A3345" s="173">
        <v>44862.0</v>
      </c>
      <c r="B3345" s="174" t="s">
        <v>361</v>
      </c>
      <c r="C3345" s="174" t="s">
        <v>410</v>
      </c>
      <c r="D3345" s="174" t="s">
        <v>344</v>
      </c>
    </row>
    <row r="3346">
      <c r="A3346" s="173">
        <v>44863.0</v>
      </c>
      <c r="B3346" s="174" t="s">
        <v>361</v>
      </c>
      <c r="C3346" s="174" t="s">
        <v>410</v>
      </c>
      <c r="D3346" s="174" t="s">
        <v>344</v>
      </c>
    </row>
    <row r="3347">
      <c r="A3347" s="173">
        <v>44864.0</v>
      </c>
      <c r="B3347" s="174" t="s">
        <v>361</v>
      </c>
      <c r="C3347" s="174" t="s">
        <v>410</v>
      </c>
      <c r="D3347" s="174" t="s">
        <v>344</v>
      </c>
    </row>
    <row r="3348">
      <c r="A3348" s="173">
        <v>44865.0</v>
      </c>
      <c r="B3348" s="174" t="s">
        <v>362</v>
      </c>
      <c r="C3348" s="174" t="s">
        <v>410</v>
      </c>
      <c r="D3348" s="174" t="s">
        <v>344</v>
      </c>
    </row>
    <row r="3349">
      <c r="A3349" s="173">
        <v>44866.0</v>
      </c>
      <c r="B3349" s="174" t="s">
        <v>362</v>
      </c>
      <c r="C3349" s="174" t="s">
        <v>410</v>
      </c>
      <c r="D3349" s="174" t="s">
        <v>344</v>
      </c>
    </row>
    <row r="3350">
      <c r="A3350" s="173">
        <v>44867.0</v>
      </c>
      <c r="B3350" s="174" t="s">
        <v>362</v>
      </c>
      <c r="C3350" s="174" t="s">
        <v>410</v>
      </c>
      <c r="D3350" s="174" t="s">
        <v>344</v>
      </c>
    </row>
    <row r="3351">
      <c r="A3351" s="173">
        <v>44868.0</v>
      </c>
      <c r="B3351" s="174" t="s">
        <v>362</v>
      </c>
      <c r="C3351" s="174" t="s">
        <v>410</v>
      </c>
      <c r="D3351" s="174" t="s">
        <v>344</v>
      </c>
    </row>
    <row r="3352">
      <c r="A3352" s="173">
        <v>44869.0</v>
      </c>
      <c r="B3352" s="174" t="s">
        <v>362</v>
      </c>
      <c r="C3352" s="174" t="s">
        <v>410</v>
      </c>
      <c r="D3352" s="174" t="s">
        <v>344</v>
      </c>
    </row>
    <row r="3353">
      <c r="A3353" s="173">
        <v>44870.0</v>
      </c>
      <c r="B3353" s="174" t="s">
        <v>362</v>
      </c>
      <c r="C3353" s="174" t="s">
        <v>410</v>
      </c>
      <c r="D3353" s="174" t="s">
        <v>344</v>
      </c>
    </row>
    <row r="3354">
      <c r="A3354" s="173">
        <v>44871.0</v>
      </c>
      <c r="B3354" s="174" t="s">
        <v>362</v>
      </c>
      <c r="C3354" s="174" t="s">
        <v>410</v>
      </c>
      <c r="D3354" s="174" t="s">
        <v>344</v>
      </c>
    </row>
    <row r="3355">
      <c r="A3355" s="173">
        <v>44872.0</v>
      </c>
      <c r="B3355" s="174" t="s">
        <v>363</v>
      </c>
      <c r="C3355" s="174" t="s">
        <v>410</v>
      </c>
      <c r="D3355" s="174" t="s">
        <v>344</v>
      </c>
    </row>
    <row r="3356">
      <c r="A3356" s="173">
        <v>44873.0</v>
      </c>
      <c r="B3356" s="174" t="s">
        <v>363</v>
      </c>
      <c r="C3356" s="174" t="s">
        <v>410</v>
      </c>
      <c r="D3356" s="174" t="s">
        <v>344</v>
      </c>
    </row>
    <row r="3357">
      <c r="A3357" s="173">
        <v>44874.0</v>
      </c>
      <c r="B3357" s="174" t="s">
        <v>363</v>
      </c>
      <c r="C3357" s="174" t="s">
        <v>410</v>
      </c>
      <c r="D3357" s="174" t="s">
        <v>344</v>
      </c>
    </row>
    <row r="3358">
      <c r="A3358" s="173">
        <v>44875.0</v>
      </c>
      <c r="B3358" s="174" t="s">
        <v>363</v>
      </c>
      <c r="C3358" s="174" t="s">
        <v>410</v>
      </c>
      <c r="D3358" s="174" t="s">
        <v>344</v>
      </c>
    </row>
    <row r="3359">
      <c r="A3359" s="173">
        <v>44876.0</v>
      </c>
      <c r="B3359" s="174" t="s">
        <v>363</v>
      </c>
      <c r="C3359" s="174" t="s">
        <v>410</v>
      </c>
      <c r="D3359" s="174" t="s">
        <v>344</v>
      </c>
    </row>
    <row r="3360">
      <c r="A3360" s="173">
        <v>44877.0</v>
      </c>
      <c r="B3360" s="174" t="s">
        <v>363</v>
      </c>
      <c r="C3360" s="174" t="s">
        <v>410</v>
      </c>
      <c r="D3360" s="174" t="s">
        <v>344</v>
      </c>
    </row>
    <row r="3361">
      <c r="A3361" s="173">
        <v>44878.0</v>
      </c>
      <c r="B3361" s="174" t="s">
        <v>363</v>
      </c>
      <c r="C3361" s="174" t="s">
        <v>410</v>
      </c>
      <c r="D3361" s="174" t="s">
        <v>344</v>
      </c>
    </row>
    <row r="3362">
      <c r="A3362" s="173">
        <v>44879.0</v>
      </c>
      <c r="B3362" s="174" t="s">
        <v>364</v>
      </c>
      <c r="C3362" s="174" t="s">
        <v>410</v>
      </c>
      <c r="D3362" s="174" t="s">
        <v>344</v>
      </c>
    </row>
    <row r="3363">
      <c r="A3363" s="173">
        <v>44880.0</v>
      </c>
      <c r="B3363" s="174" t="s">
        <v>364</v>
      </c>
      <c r="C3363" s="174" t="s">
        <v>410</v>
      </c>
      <c r="D3363" s="174" t="s">
        <v>344</v>
      </c>
    </row>
    <row r="3364">
      <c r="A3364" s="173">
        <v>44881.0</v>
      </c>
      <c r="B3364" s="174" t="s">
        <v>364</v>
      </c>
      <c r="C3364" s="174" t="s">
        <v>410</v>
      </c>
      <c r="D3364" s="174" t="s">
        <v>344</v>
      </c>
    </row>
    <row r="3365">
      <c r="A3365" s="173">
        <v>44882.0</v>
      </c>
      <c r="B3365" s="174" t="s">
        <v>364</v>
      </c>
      <c r="C3365" s="174" t="s">
        <v>410</v>
      </c>
      <c r="D3365" s="174" t="s">
        <v>344</v>
      </c>
    </row>
    <row r="3366">
      <c r="A3366" s="173">
        <v>44883.0</v>
      </c>
      <c r="B3366" s="174" t="s">
        <v>364</v>
      </c>
      <c r="C3366" s="174" t="s">
        <v>410</v>
      </c>
      <c r="D3366" s="174" t="s">
        <v>344</v>
      </c>
    </row>
    <row r="3367">
      <c r="A3367" s="173">
        <v>44884.0</v>
      </c>
      <c r="B3367" s="174" t="s">
        <v>364</v>
      </c>
      <c r="C3367" s="174" t="s">
        <v>410</v>
      </c>
      <c r="D3367" s="174" t="s">
        <v>344</v>
      </c>
    </row>
    <row r="3368">
      <c r="A3368" s="173">
        <v>44885.0</v>
      </c>
      <c r="B3368" s="174" t="s">
        <v>364</v>
      </c>
      <c r="C3368" s="174" t="s">
        <v>410</v>
      </c>
      <c r="D3368" s="174" t="s">
        <v>344</v>
      </c>
    </row>
    <row r="3369">
      <c r="A3369" s="173">
        <v>44886.0</v>
      </c>
      <c r="B3369" s="174" t="s">
        <v>365</v>
      </c>
      <c r="C3369" s="174" t="s">
        <v>410</v>
      </c>
      <c r="D3369" s="174" t="s">
        <v>345</v>
      </c>
    </row>
    <row r="3370">
      <c r="A3370" s="173">
        <v>44887.0</v>
      </c>
      <c r="B3370" s="174" t="s">
        <v>365</v>
      </c>
      <c r="C3370" s="174" t="s">
        <v>410</v>
      </c>
      <c r="D3370" s="174" t="s">
        <v>345</v>
      </c>
    </row>
    <row r="3371">
      <c r="A3371" s="173">
        <v>44888.0</v>
      </c>
      <c r="B3371" s="174" t="s">
        <v>365</v>
      </c>
      <c r="C3371" s="174" t="s">
        <v>410</v>
      </c>
      <c r="D3371" s="174" t="s">
        <v>345</v>
      </c>
    </row>
    <row r="3372">
      <c r="A3372" s="173">
        <v>44889.0</v>
      </c>
      <c r="B3372" s="174" t="s">
        <v>365</v>
      </c>
      <c r="C3372" s="174" t="s">
        <v>410</v>
      </c>
      <c r="D3372" s="174" t="s">
        <v>345</v>
      </c>
    </row>
    <row r="3373">
      <c r="A3373" s="173">
        <v>44890.0</v>
      </c>
      <c r="B3373" s="174" t="s">
        <v>365</v>
      </c>
      <c r="C3373" s="174" t="s">
        <v>410</v>
      </c>
      <c r="D3373" s="174" t="s">
        <v>345</v>
      </c>
    </row>
    <row r="3374">
      <c r="A3374" s="173">
        <v>44891.0</v>
      </c>
      <c r="B3374" s="174" t="s">
        <v>365</v>
      </c>
      <c r="C3374" s="174" t="s">
        <v>410</v>
      </c>
      <c r="D3374" s="174" t="s">
        <v>345</v>
      </c>
    </row>
    <row r="3375">
      <c r="A3375" s="173">
        <v>44892.0</v>
      </c>
      <c r="B3375" s="174" t="s">
        <v>365</v>
      </c>
      <c r="C3375" s="174" t="s">
        <v>410</v>
      </c>
      <c r="D3375" s="174" t="s">
        <v>345</v>
      </c>
    </row>
    <row r="3376">
      <c r="A3376" s="173">
        <v>44893.0</v>
      </c>
      <c r="B3376" s="174" t="s">
        <v>366</v>
      </c>
      <c r="C3376" s="174" t="s">
        <v>410</v>
      </c>
      <c r="D3376" s="174" t="s">
        <v>345</v>
      </c>
    </row>
    <row r="3377">
      <c r="A3377" s="173">
        <v>44894.0</v>
      </c>
      <c r="B3377" s="174" t="s">
        <v>366</v>
      </c>
      <c r="C3377" s="174" t="s">
        <v>410</v>
      </c>
      <c r="D3377" s="174" t="s">
        <v>345</v>
      </c>
    </row>
    <row r="3378">
      <c r="A3378" s="173">
        <v>44895.0</v>
      </c>
      <c r="B3378" s="174" t="s">
        <v>366</v>
      </c>
      <c r="C3378" s="174" t="s">
        <v>410</v>
      </c>
      <c r="D3378" s="174" t="s">
        <v>345</v>
      </c>
    </row>
    <row r="3379">
      <c r="A3379" s="173">
        <v>44896.0</v>
      </c>
      <c r="B3379" s="174" t="s">
        <v>366</v>
      </c>
      <c r="C3379" s="174" t="s">
        <v>410</v>
      </c>
      <c r="D3379" s="174" t="s">
        <v>345</v>
      </c>
    </row>
    <row r="3380">
      <c r="A3380" s="173">
        <v>44897.0</v>
      </c>
      <c r="B3380" s="174" t="s">
        <v>366</v>
      </c>
      <c r="C3380" s="174" t="s">
        <v>410</v>
      </c>
      <c r="D3380" s="174" t="s">
        <v>345</v>
      </c>
    </row>
    <row r="3381">
      <c r="A3381" s="173">
        <v>44898.0</v>
      </c>
      <c r="B3381" s="174" t="s">
        <v>366</v>
      </c>
      <c r="C3381" s="174" t="s">
        <v>410</v>
      </c>
      <c r="D3381" s="174" t="s">
        <v>345</v>
      </c>
    </row>
    <row r="3382">
      <c r="A3382" s="173">
        <v>44899.0</v>
      </c>
      <c r="B3382" s="174" t="s">
        <v>366</v>
      </c>
      <c r="C3382" s="174" t="s">
        <v>410</v>
      </c>
      <c r="D3382" s="174" t="s">
        <v>345</v>
      </c>
    </row>
    <row r="3383">
      <c r="A3383" s="173">
        <v>44900.0</v>
      </c>
      <c r="B3383" s="174" t="s">
        <v>367</v>
      </c>
      <c r="C3383" s="174" t="s">
        <v>410</v>
      </c>
      <c r="D3383" s="174" t="s">
        <v>345</v>
      </c>
    </row>
    <row r="3384">
      <c r="A3384" s="173">
        <v>44901.0</v>
      </c>
      <c r="B3384" s="174" t="s">
        <v>367</v>
      </c>
      <c r="C3384" s="174" t="s">
        <v>410</v>
      </c>
      <c r="D3384" s="174" t="s">
        <v>345</v>
      </c>
    </row>
    <row r="3385">
      <c r="A3385" s="173">
        <v>44902.0</v>
      </c>
      <c r="B3385" s="174" t="s">
        <v>367</v>
      </c>
      <c r="C3385" s="174" t="s">
        <v>410</v>
      </c>
      <c r="D3385" s="174" t="s">
        <v>345</v>
      </c>
    </row>
    <row r="3386">
      <c r="A3386" s="173">
        <v>44903.0</v>
      </c>
      <c r="B3386" s="174" t="s">
        <v>367</v>
      </c>
      <c r="C3386" s="174" t="s">
        <v>410</v>
      </c>
      <c r="D3386" s="174" t="s">
        <v>345</v>
      </c>
    </row>
    <row r="3387">
      <c r="A3387" s="173">
        <v>44904.0</v>
      </c>
      <c r="B3387" s="174" t="s">
        <v>367</v>
      </c>
      <c r="C3387" s="174" t="s">
        <v>410</v>
      </c>
      <c r="D3387" s="174" t="s">
        <v>345</v>
      </c>
    </row>
    <row r="3388">
      <c r="A3388" s="173">
        <v>44905.0</v>
      </c>
      <c r="B3388" s="174" t="s">
        <v>367</v>
      </c>
      <c r="C3388" s="174" t="s">
        <v>410</v>
      </c>
      <c r="D3388" s="174" t="s">
        <v>345</v>
      </c>
    </row>
    <row r="3389">
      <c r="A3389" s="173">
        <v>44906.0</v>
      </c>
      <c r="B3389" s="174" t="s">
        <v>367</v>
      </c>
      <c r="C3389" s="174" t="s">
        <v>410</v>
      </c>
      <c r="D3389" s="174" t="s">
        <v>345</v>
      </c>
    </row>
    <row r="3390">
      <c r="A3390" s="173">
        <v>44907.0</v>
      </c>
      <c r="B3390" s="174" t="s">
        <v>368</v>
      </c>
      <c r="C3390" s="174" t="s">
        <v>410</v>
      </c>
      <c r="D3390" s="174" t="s">
        <v>345</v>
      </c>
    </row>
    <row r="3391">
      <c r="A3391" s="173">
        <v>44908.0</v>
      </c>
      <c r="B3391" s="174" t="s">
        <v>368</v>
      </c>
      <c r="C3391" s="174" t="s">
        <v>410</v>
      </c>
      <c r="D3391" s="174" t="s">
        <v>345</v>
      </c>
    </row>
    <row r="3392">
      <c r="A3392" s="173">
        <v>44909.0</v>
      </c>
      <c r="B3392" s="174" t="s">
        <v>368</v>
      </c>
      <c r="C3392" s="174" t="s">
        <v>410</v>
      </c>
      <c r="D3392" s="174" t="s">
        <v>345</v>
      </c>
    </row>
    <row r="3393">
      <c r="A3393" s="173">
        <v>44910.0</v>
      </c>
      <c r="B3393" s="174" t="s">
        <v>368</v>
      </c>
      <c r="C3393" s="174" t="s">
        <v>410</v>
      </c>
      <c r="D3393" s="174" t="s">
        <v>345</v>
      </c>
    </row>
    <row r="3394">
      <c r="A3394" s="173">
        <v>44911.0</v>
      </c>
      <c r="B3394" s="174" t="s">
        <v>368</v>
      </c>
      <c r="C3394" s="174" t="s">
        <v>410</v>
      </c>
      <c r="D3394" s="174" t="s">
        <v>345</v>
      </c>
    </row>
    <row r="3395">
      <c r="A3395" s="173">
        <v>44912.0</v>
      </c>
      <c r="B3395" s="174" t="s">
        <v>368</v>
      </c>
      <c r="C3395" s="174" t="s">
        <v>410</v>
      </c>
      <c r="D3395" s="174" t="s">
        <v>345</v>
      </c>
    </row>
    <row r="3396">
      <c r="A3396" s="173">
        <v>44913.0</v>
      </c>
      <c r="B3396" s="174" t="s">
        <v>368</v>
      </c>
      <c r="C3396" s="174" t="s">
        <v>410</v>
      </c>
      <c r="D3396" s="174" t="s">
        <v>345</v>
      </c>
    </row>
    <row r="3397">
      <c r="A3397" s="173">
        <v>44914.0</v>
      </c>
      <c r="B3397" s="174" t="s">
        <v>369</v>
      </c>
      <c r="C3397" s="174" t="s">
        <v>410</v>
      </c>
      <c r="D3397" s="174" t="s">
        <v>346</v>
      </c>
    </row>
    <row r="3398">
      <c r="A3398" s="173">
        <v>44915.0</v>
      </c>
      <c r="B3398" s="174" t="s">
        <v>369</v>
      </c>
      <c r="C3398" s="174" t="s">
        <v>410</v>
      </c>
      <c r="D3398" s="174" t="s">
        <v>346</v>
      </c>
    </row>
    <row r="3399">
      <c r="A3399" s="173">
        <v>44916.0</v>
      </c>
      <c r="B3399" s="174" t="s">
        <v>369</v>
      </c>
      <c r="C3399" s="174" t="s">
        <v>410</v>
      </c>
      <c r="D3399" s="174" t="s">
        <v>346</v>
      </c>
    </row>
    <row r="3400">
      <c r="A3400" s="173">
        <v>44917.0</v>
      </c>
      <c r="B3400" s="174" t="s">
        <v>369</v>
      </c>
      <c r="C3400" s="174" t="s">
        <v>410</v>
      </c>
      <c r="D3400" s="174" t="s">
        <v>346</v>
      </c>
    </row>
    <row r="3401">
      <c r="A3401" s="173">
        <v>44918.0</v>
      </c>
      <c r="B3401" s="174" t="s">
        <v>369</v>
      </c>
      <c r="C3401" s="174" t="s">
        <v>410</v>
      </c>
      <c r="D3401" s="174" t="s">
        <v>346</v>
      </c>
    </row>
    <row r="3402">
      <c r="A3402" s="173">
        <v>44919.0</v>
      </c>
      <c r="B3402" s="174" t="s">
        <v>369</v>
      </c>
      <c r="C3402" s="174" t="s">
        <v>410</v>
      </c>
      <c r="D3402" s="174" t="s">
        <v>346</v>
      </c>
    </row>
    <row r="3403">
      <c r="A3403" s="173">
        <v>44920.0</v>
      </c>
      <c r="B3403" s="174" t="s">
        <v>369</v>
      </c>
      <c r="C3403" s="174" t="s">
        <v>410</v>
      </c>
      <c r="D3403" s="174" t="s">
        <v>346</v>
      </c>
    </row>
    <row r="3404">
      <c r="A3404" s="173">
        <v>44921.0</v>
      </c>
      <c r="B3404" s="174" t="s">
        <v>370</v>
      </c>
      <c r="C3404" s="174" t="s">
        <v>410</v>
      </c>
      <c r="D3404" s="174" t="s">
        <v>346</v>
      </c>
    </row>
    <row r="3405">
      <c r="A3405" s="173">
        <v>44922.0</v>
      </c>
      <c r="B3405" s="174" t="s">
        <v>370</v>
      </c>
      <c r="C3405" s="174" t="s">
        <v>410</v>
      </c>
      <c r="D3405" s="174" t="s">
        <v>346</v>
      </c>
    </row>
    <row r="3406">
      <c r="A3406" s="173">
        <v>44923.0</v>
      </c>
      <c r="B3406" s="174" t="s">
        <v>370</v>
      </c>
      <c r="C3406" s="174" t="s">
        <v>410</v>
      </c>
      <c r="D3406" s="174" t="s">
        <v>346</v>
      </c>
    </row>
    <row r="3407">
      <c r="A3407" s="173">
        <v>44924.0</v>
      </c>
      <c r="B3407" s="174" t="s">
        <v>370</v>
      </c>
      <c r="C3407" s="174" t="s">
        <v>410</v>
      </c>
      <c r="D3407" s="174" t="s">
        <v>346</v>
      </c>
    </row>
    <row r="3408">
      <c r="A3408" s="173">
        <v>44925.0</v>
      </c>
      <c r="B3408" s="174" t="s">
        <v>370</v>
      </c>
      <c r="C3408" s="174" t="s">
        <v>410</v>
      </c>
      <c r="D3408" s="174" t="s">
        <v>346</v>
      </c>
    </row>
    <row r="3409">
      <c r="A3409" s="173">
        <v>44926.0</v>
      </c>
      <c r="B3409" s="174" t="s">
        <v>370</v>
      </c>
      <c r="C3409" s="174" t="s">
        <v>410</v>
      </c>
      <c r="D3409" s="174" t="s">
        <v>346</v>
      </c>
    </row>
    <row r="3410">
      <c r="A3410" s="173">
        <v>44927.0</v>
      </c>
      <c r="B3410" s="174" t="s">
        <v>370</v>
      </c>
      <c r="C3410" s="174" t="s">
        <v>410</v>
      </c>
      <c r="D3410" s="174" t="s">
        <v>346</v>
      </c>
    </row>
    <row r="3411">
      <c r="A3411" s="173">
        <v>44928.0</v>
      </c>
      <c r="B3411" s="174" t="s">
        <v>371</v>
      </c>
      <c r="C3411" s="174" t="s">
        <v>410</v>
      </c>
      <c r="D3411" s="174" t="s">
        <v>346</v>
      </c>
    </row>
    <row r="3412">
      <c r="A3412" s="173">
        <v>44929.0</v>
      </c>
      <c r="B3412" s="174" t="s">
        <v>371</v>
      </c>
      <c r="C3412" s="174" t="s">
        <v>410</v>
      </c>
      <c r="D3412" s="174" t="s">
        <v>346</v>
      </c>
    </row>
    <row r="3413">
      <c r="A3413" s="173">
        <v>44930.0</v>
      </c>
      <c r="B3413" s="174" t="s">
        <v>371</v>
      </c>
      <c r="C3413" s="174" t="s">
        <v>410</v>
      </c>
      <c r="D3413" s="174" t="s">
        <v>346</v>
      </c>
    </row>
    <row r="3414">
      <c r="A3414" s="173">
        <v>44931.0</v>
      </c>
      <c r="B3414" s="174" t="s">
        <v>371</v>
      </c>
      <c r="C3414" s="174" t="s">
        <v>410</v>
      </c>
      <c r="D3414" s="174" t="s">
        <v>346</v>
      </c>
    </row>
    <row r="3415">
      <c r="A3415" s="173">
        <v>44932.0</v>
      </c>
      <c r="B3415" s="174" t="s">
        <v>371</v>
      </c>
      <c r="C3415" s="174" t="s">
        <v>410</v>
      </c>
      <c r="D3415" s="174" t="s">
        <v>346</v>
      </c>
    </row>
    <row r="3416">
      <c r="A3416" s="173">
        <v>44933.0</v>
      </c>
      <c r="B3416" s="174" t="s">
        <v>371</v>
      </c>
      <c r="C3416" s="174" t="s">
        <v>410</v>
      </c>
      <c r="D3416" s="174" t="s">
        <v>346</v>
      </c>
    </row>
    <row r="3417">
      <c r="A3417" s="173">
        <v>44934.0</v>
      </c>
      <c r="B3417" s="174" t="s">
        <v>371</v>
      </c>
      <c r="C3417" s="174" t="s">
        <v>410</v>
      </c>
      <c r="D3417" s="174" t="s">
        <v>346</v>
      </c>
    </row>
    <row r="3418">
      <c r="A3418" s="173">
        <v>44935.0</v>
      </c>
      <c r="B3418" s="174" t="s">
        <v>372</v>
      </c>
      <c r="C3418" s="174" t="s">
        <v>410</v>
      </c>
      <c r="D3418" s="174" t="s">
        <v>346</v>
      </c>
    </row>
    <row r="3419">
      <c r="A3419" s="173">
        <v>44936.0</v>
      </c>
      <c r="B3419" s="174" t="s">
        <v>372</v>
      </c>
      <c r="C3419" s="174" t="s">
        <v>410</v>
      </c>
      <c r="D3419" s="174" t="s">
        <v>346</v>
      </c>
    </row>
    <row r="3420">
      <c r="A3420" s="173">
        <v>44937.0</v>
      </c>
      <c r="B3420" s="174" t="s">
        <v>372</v>
      </c>
      <c r="C3420" s="174" t="s">
        <v>410</v>
      </c>
      <c r="D3420" s="174" t="s">
        <v>346</v>
      </c>
    </row>
    <row r="3421">
      <c r="A3421" s="173">
        <v>44938.0</v>
      </c>
      <c r="B3421" s="174" t="s">
        <v>372</v>
      </c>
      <c r="C3421" s="174" t="s">
        <v>410</v>
      </c>
      <c r="D3421" s="174" t="s">
        <v>346</v>
      </c>
    </row>
    <row r="3422">
      <c r="A3422" s="173">
        <v>44939.0</v>
      </c>
      <c r="B3422" s="174" t="s">
        <v>372</v>
      </c>
      <c r="C3422" s="174" t="s">
        <v>410</v>
      </c>
      <c r="D3422" s="174" t="s">
        <v>346</v>
      </c>
    </row>
    <row r="3423">
      <c r="A3423" s="173">
        <v>44940.0</v>
      </c>
      <c r="B3423" s="174" t="s">
        <v>372</v>
      </c>
      <c r="C3423" s="174" t="s">
        <v>410</v>
      </c>
      <c r="D3423" s="174" t="s">
        <v>346</v>
      </c>
    </row>
    <row r="3424">
      <c r="A3424" s="173">
        <v>44941.0</v>
      </c>
      <c r="B3424" s="174" t="s">
        <v>372</v>
      </c>
      <c r="C3424" s="174" t="s">
        <v>410</v>
      </c>
      <c r="D3424" s="174" t="s">
        <v>346</v>
      </c>
    </row>
    <row r="3425">
      <c r="A3425" s="173">
        <v>44942.0</v>
      </c>
      <c r="B3425" s="174" t="s">
        <v>373</v>
      </c>
      <c r="C3425" s="174" t="s">
        <v>410</v>
      </c>
      <c r="D3425" s="174" t="s">
        <v>347</v>
      </c>
    </row>
    <row r="3426">
      <c r="A3426" s="173">
        <v>44943.0</v>
      </c>
      <c r="B3426" s="174" t="s">
        <v>373</v>
      </c>
      <c r="C3426" s="174" t="s">
        <v>410</v>
      </c>
      <c r="D3426" s="174" t="s">
        <v>347</v>
      </c>
    </row>
    <row r="3427">
      <c r="A3427" s="173">
        <v>44944.0</v>
      </c>
      <c r="B3427" s="174" t="s">
        <v>373</v>
      </c>
      <c r="C3427" s="174" t="s">
        <v>410</v>
      </c>
      <c r="D3427" s="174" t="s">
        <v>347</v>
      </c>
    </row>
    <row r="3428">
      <c r="A3428" s="173">
        <v>44945.0</v>
      </c>
      <c r="B3428" s="174" t="s">
        <v>373</v>
      </c>
      <c r="C3428" s="174" t="s">
        <v>410</v>
      </c>
      <c r="D3428" s="174" t="s">
        <v>347</v>
      </c>
    </row>
    <row r="3429">
      <c r="A3429" s="173">
        <v>44946.0</v>
      </c>
      <c r="B3429" s="174" t="s">
        <v>373</v>
      </c>
      <c r="C3429" s="174" t="s">
        <v>410</v>
      </c>
      <c r="D3429" s="174" t="s">
        <v>347</v>
      </c>
    </row>
    <row r="3430">
      <c r="A3430" s="173">
        <v>44947.0</v>
      </c>
      <c r="B3430" s="174" t="s">
        <v>373</v>
      </c>
      <c r="C3430" s="174" t="s">
        <v>410</v>
      </c>
      <c r="D3430" s="174" t="s">
        <v>347</v>
      </c>
    </row>
    <row r="3431">
      <c r="A3431" s="173">
        <v>44948.0</v>
      </c>
      <c r="B3431" s="174" t="s">
        <v>373</v>
      </c>
      <c r="C3431" s="174" t="s">
        <v>410</v>
      </c>
      <c r="D3431" s="174" t="s">
        <v>347</v>
      </c>
    </row>
    <row r="3432">
      <c r="A3432" s="173">
        <v>44949.0</v>
      </c>
      <c r="B3432" s="174" t="s">
        <v>374</v>
      </c>
      <c r="C3432" s="174" t="s">
        <v>410</v>
      </c>
      <c r="D3432" s="174" t="s">
        <v>347</v>
      </c>
    </row>
    <row r="3433">
      <c r="A3433" s="173">
        <v>44950.0</v>
      </c>
      <c r="B3433" s="174" t="s">
        <v>374</v>
      </c>
      <c r="C3433" s="174" t="s">
        <v>410</v>
      </c>
      <c r="D3433" s="174" t="s">
        <v>347</v>
      </c>
    </row>
    <row r="3434">
      <c r="A3434" s="173">
        <v>44951.0</v>
      </c>
      <c r="B3434" s="174" t="s">
        <v>374</v>
      </c>
      <c r="C3434" s="174" t="s">
        <v>410</v>
      </c>
      <c r="D3434" s="174" t="s">
        <v>347</v>
      </c>
    </row>
    <row r="3435">
      <c r="A3435" s="173">
        <v>44952.0</v>
      </c>
      <c r="B3435" s="174" t="s">
        <v>374</v>
      </c>
      <c r="C3435" s="174" t="s">
        <v>410</v>
      </c>
      <c r="D3435" s="174" t="s">
        <v>347</v>
      </c>
    </row>
    <row r="3436">
      <c r="A3436" s="173">
        <v>44953.0</v>
      </c>
      <c r="B3436" s="174" t="s">
        <v>374</v>
      </c>
      <c r="C3436" s="174" t="s">
        <v>410</v>
      </c>
      <c r="D3436" s="174" t="s">
        <v>347</v>
      </c>
    </row>
    <row r="3437">
      <c r="A3437" s="173">
        <v>44954.0</v>
      </c>
      <c r="B3437" s="174" t="s">
        <v>374</v>
      </c>
      <c r="C3437" s="174" t="s">
        <v>410</v>
      </c>
      <c r="D3437" s="174" t="s">
        <v>347</v>
      </c>
    </row>
    <row r="3438">
      <c r="A3438" s="173">
        <v>44955.0</v>
      </c>
      <c r="B3438" s="174" t="s">
        <v>374</v>
      </c>
      <c r="C3438" s="174" t="s">
        <v>410</v>
      </c>
      <c r="D3438" s="174" t="s">
        <v>347</v>
      </c>
    </row>
    <row r="3439">
      <c r="A3439" s="173">
        <v>44956.0</v>
      </c>
      <c r="B3439" s="174" t="s">
        <v>375</v>
      </c>
      <c r="C3439" s="174" t="s">
        <v>410</v>
      </c>
      <c r="D3439" s="174" t="s">
        <v>347</v>
      </c>
    </row>
    <row r="3440">
      <c r="A3440" s="173">
        <v>44957.0</v>
      </c>
      <c r="B3440" s="174" t="s">
        <v>375</v>
      </c>
      <c r="C3440" s="174" t="s">
        <v>410</v>
      </c>
      <c r="D3440" s="174" t="s">
        <v>347</v>
      </c>
    </row>
    <row r="3441">
      <c r="A3441" s="173">
        <v>44958.0</v>
      </c>
      <c r="B3441" s="174" t="s">
        <v>375</v>
      </c>
      <c r="C3441" s="174" t="s">
        <v>410</v>
      </c>
      <c r="D3441" s="174" t="s">
        <v>347</v>
      </c>
    </row>
    <row r="3442">
      <c r="A3442" s="173">
        <v>44959.0</v>
      </c>
      <c r="B3442" s="174" t="s">
        <v>375</v>
      </c>
      <c r="C3442" s="174" t="s">
        <v>410</v>
      </c>
      <c r="D3442" s="174" t="s">
        <v>347</v>
      </c>
    </row>
    <row r="3443">
      <c r="A3443" s="173">
        <v>44960.0</v>
      </c>
      <c r="B3443" s="174" t="s">
        <v>375</v>
      </c>
      <c r="C3443" s="174" t="s">
        <v>410</v>
      </c>
      <c r="D3443" s="174" t="s">
        <v>347</v>
      </c>
    </row>
    <row r="3444">
      <c r="A3444" s="173">
        <v>44961.0</v>
      </c>
      <c r="B3444" s="174" t="s">
        <v>375</v>
      </c>
      <c r="C3444" s="174" t="s">
        <v>410</v>
      </c>
      <c r="D3444" s="174" t="s">
        <v>347</v>
      </c>
    </row>
    <row r="3445">
      <c r="A3445" s="173">
        <v>44962.0</v>
      </c>
      <c r="B3445" s="174" t="s">
        <v>375</v>
      </c>
      <c r="C3445" s="174" t="s">
        <v>410</v>
      </c>
      <c r="D3445" s="174" t="s">
        <v>347</v>
      </c>
    </row>
    <row r="3446">
      <c r="A3446" s="173">
        <v>44963.0</v>
      </c>
      <c r="B3446" s="174" t="s">
        <v>376</v>
      </c>
      <c r="C3446" s="174" t="s">
        <v>410</v>
      </c>
      <c r="D3446" s="174" t="s">
        <v>347</v>
      </c>
    </row>
    <row r="3447">
      <c r="A3447" s="173">
        <v>44964.0</v>
      </c>
      <c r="B3447" s="174" t="s">
        <v>376</v>
      </c>
      <c r="C3447" s="174" t="s">
        <v>410</v>
      </c>
      <c r="D3447" s="174" t="s">
        <v>347</v>
      </c>
    </row>
    <row r="3448">
      <c r="A3448" s="173">
        <v>44965.0</v>
      </c>
      <c r="B3448" s="174" t="s">
        <v>376</v>
      </c>
      <c r="C3448" s="174" t="s">
        <v>410</v>
      </c>
      <c r="D3448" s="174" t="s">
        <v>347</v>
      </c>
    </row>
    <row r="3449">
      <c r="A3449" s="173">
        <v>44966.0</v>
      </c>
      <c r="B3449" s="174" t="s">
        <v>376</v>
      </c>
      <c r="C3449" s="174" t="s">
        <v>410</v>
      </c>
      <c r="D3449" s="174" t="s">
        <v>347</v>
      </c>
    </row>
    <row r="3450">
      <c r="A3450" s="173">
        <v>44967.0</v>
      </c>
      <c r="B3450" s="174" t="s">
        <v>376</v>
      </c>
      <c r="C3450" s="174" t="s">
        <v>410</v>
      </c>
      <c r="D3450" s="174" t="s">
        <v>347</v>
      </c>
    </row>
    <row r="3451">
      <c r="A3451" s="173">
        <v>44968.0</v>
      </c>
      <c r="B3451" s="174" t="s">
        <v>376</v>
      </c>
      <c r="C3451" s="174" t="s">
        <v>410</v>
      </c>
      <c r="D3451" s="174" t="s">
        <v>347</v>
      </c>
    </row>
    <row r="3452">
      <c r="A3452" s="173">
        <v>44969.0</v>
      </c>
      <c r="B3452" s="174" t="s">
        <v>376</v>
      </c>
      <c r="C3452" s="174" t="s">
        <v>410</v>
      </c>
      <c r="D3452" s="174" t="s">
        <v>347</v>
      </c>
    </row>
    <row r="3453">
      <c r="A3453" s="173">
        <v>44970.0</v>
      </c>
      <c r="B3453" s="174" t="s">
        <v>377</v>
      </c>
      <c r="C3453" s="174" t="s">
        <v>410</v>
      </c>
      <c r="D3453" s="174" t="s">
        <v>348</v>
      </c>
    </row>
    <row r="3454">
      <c r="A3454" s="173">
        <v>44971.0</v>
      </c>
      <c r="B3454" s="174" t="s">
        <v>377</v>
      </c>
      <c r="C3454" s="174" t="s">
        <v>410</v>
      </c>
      <c r="D3454" s="174" t="s">
        <v>348</v>
      </c>
    </row>
    <row r="3455">
      <c r="A3455" s="173">
        <v>44972.0</v>
      </c>
      <c r="B3455" s="174" t="s">
        <v>377</v>
      </c>
      <c r="C3455" s="174" t="s">
        <v>410</v>
      </c>
      <c r="D3455" s="174" t="s">
        <v>348</v>
      </c>
    </row>
    <row r="3456">
      <c r="A3456" s="173">
        <v>44973.0</v>
      </c>
      <c r="B3456" s="174" t="s">
        <v>377</v>
      </c>
      <c r="C3456" s="174" t="s">
        <v>410</v>
      </c>
      <c r="D3456" s="174" t="s">
        <v>348</v>
      </c>
    </row>
    <row r="3457">
      <c r="A3457" s="173">
        <v>44974.0</v>
      </c>
      <c r="B3457" s="174" t="s">
        <v>377</v>
      </c>
      <c r="C3457" s="174" t="s">
        <v>410</v>
      </c>
      <c r="D3457" s="174" t="s">
        <v>348</v>
      </c>
    </row>
    <row r="3458">
      <c r="A3458" s="173">
        <v>44975.0</v>
      </c>
      <c r="B3458" s="174" t="s">
        <v>377</v>
      </c>
      <c r="C3458" s="174" t="s">
        <v>410</v>
      </c>
      <c r="D3458" s="174" t="s">
        <v>348</v>
      </c>
    </row>
    <row r="3459">
      <c r="A3459" s="173">
        <v>44976.0</v>
      </c>
      <c r="B3459" s="174" t="s">
        <v>377</v>
      </c>
      <c r="C3459" s="174" t="s">
        <v>410</v>
      </c>
      <c r="D3459" s="174" t="s">
        <v>348</v>
      </c>
    </row>
    <row r="3460">
      <c r="A3460" s="173">
        <v>44977.0</v>
      </c>
      <c r="B3460" s="174" t="s">
        <v>378</v>
      </c>
      <c r="C3460" s="174" t="s">
        <v>410</v>
      </c>
      <c r="D3460" s="174" t="s">
        <v>348</v>
      </c>
    </row>
    <row r="3461">
      <c r="A3461" s="173">
        <v>44978.0</v>
      </c>
      <c r="B3461" s="174" t="s">
        <v>378</v>
      </c>
      <c r="C3461" s="174" t="s">
        <v>410</v>
      </c>
      <c r="D3461" s="174" t="s">
        <v>348</v>
      </c>
    </row>
    <row r="3462">
      <c r="A3462" s="173">
        <v>44979.0</v>
      </c>
      <c r="B3462" s="174" t="s">
        <v>378</v>
      </c>
      <c r="C3462" s="174" t="s">
        <v>410</v>
      </c>
      <c r="D3462" s="174" t="s">
        <v>348</v>
      </c>
    </row>
    <row r="3463">
      <c r="A3463" s="173">
        <v>44980.0</v>
      </c>
      <c r="B3463" s="174" t="s">
        <v>378</v>
      </c>
      <c r="C3463" s="174" t="s">
        <v>410</v>
      </c>
      <c r="D3463" s="174" t="s">
        <v>348</v>
      </c>
    </row>
    <row r="3464">
      <c r="A3464" s="173">
        <v>44981.0</v>
      </c>
      <c r="B3464" s="174" t="s">
        <v>378</v>
      </c>
      <c r="C3464" s="174" t="s">
        <v>410</v>
      </c>
      <c r="D3464" s="174" t="s">
        <v>348</v>
      </c>
    </row>
    <row r="3465">
      <c r="A3465" s="173">
        <v>44982.0</v>
      </c>
      <c r="B3465" s="174" t="s">
        <v>378</v>
      </c>
      <c r="C3465" s="174" t="s">
        <v>410</v>
      </c>
      <c r="D3465" s="174" t="s">
        <v>348</v>
      </c>
    </row>
    <row r="3466">
      <c r="A3466" s="173">
        <v>44983.0</v>
      </c>
      <c r="B3466" s="174" t="s">
        <v>378</v>
      </c>
      <c r="C3466" s="174" t="s">
        <v>410</v>
      </c>
      <c r="D3466" s="174" t="s">
        <v>348</v>
      </c>
    </row>
    <row r="3467">
      <c r="A3467" s="173">
        <v>44984.0</v>
      </c>
      <c r="B3467" s="174" t="s">
        <v>379</v>
      </c>
      <c r="C3467" s="174" t="s">
        <v>410</v>
      </c>
      <c r="D3467" s="174" t="s">
        <v>348</v>
      </c>
    </row>
    <row r="3468">
      <c r="A3468" s="173">
        <v>44985.0</v>
      </c>
      <c r="B3468" s="174" t="s">
        <v>379</v>
      </c>
      <c r="C3468" s="174" t="s">
        <v>410</v>
      </c>
      <c r="D3468" s="174" t="s">
        <v>348</v>
      </c>
    </row>
    <row r="3469">
      <c r="A3469" s="173">
        <v>44986.0</v>
      </c>
      <c r="B3469" s="174" t="s">
        <v>379</v>
      </c>
      <c r="C3469" s="174" t="s">
        <v>410</v>
      </c>
      <c r="D3469" s="174" t="s">
        <v>348</v>
      </c>
    </row>
    <row r="3470">
      <c r="A3470" s="173">
        <v>44987.0</v>
      </c>
      <c r="B3470" s="174" t="s">
        <v>379</v>
      </c>
      <c r="C3470" s="174" t="s">
        <v>410</v>
      </c>
      <c r="D3470" s="174" t="s">
        <v>348</v>
      </c>
    </row>
    <row r="3471">
      <c r="A3471" s="173">
        <v>44988.0</v>
      </c>
      <c r="B3471" s="174" t="s">
        <v>379</v>
      </c>
      <c r="C3471" s="174" t="s">
        <v>410</v>
      </c>
      <c r="D3471" s="174" t="s">
        <v>348</v>
      </c>
    </row>
    <row r="3472">
      <c r="A3472" s="173">
        <v>44989.0</v>
      </c>
      <c r="B3472" s="174" t="s">
        <v>379</v>
      </c>
      <c r="C3472" s="174" t="s">
        <v>410</v>
      </c>
      <c r="D3472" s="174" t="s">
        <v>348</v>
      </c>
    </row>
    <row r="3473">
      <c r="A3473" s="173">
        <v>44990.0</v>
      </c>
      <c r="B3473" s="174" t="s">
        <v>379</v>
      </c>
      <c r="C3473" s="174" t="s">
        <v>410</v>
      </c>
      <c r="D3473" s="174" t="s">
        <v>348</v>
      </c>
    </row>
    <row r="3474">
      <c r="A3474" s="173">
        <v>44991.0</v>
      </c>
      <c r="B3474" s="174" t="s">
        <v>380</v>
      </c>
      <c r="C3474" s="174" t="s">
        <v>410</v>
      </c>
      <c r="D3474" s="174" t="s">
        <v>348</v>
      </c>
    </row>
    <row r="3475">
      <c r="A3475" s="173">
        <v>44992.0</v>
      </c>
      <c r="B3475" s="174" t="s">
        <v>380</v>
      </c>
      <c r="C3475" s="174" t="s">
        <v>410</v>
      </c>
      <c r="D3475" s="174" t="s">
        <v>348</v>
      </c>
    </row>
    <row r="3476">
      <c r="A3476" s="173">
        <v>44993.0</v>
      </c>
      <c r="B3476" s="174" t="s">
        <v>380</v>
      </c>
      <c r="C3476" s="174" t="s">
        <v>410</v>
      </c>
      <c r="D3476" s="174" t="s">
        <v>348</v>
      </c>
    </row>
    <row r="3477">
      <c r="A3477" s="173">
        <v>44994.0</v>
      </c>
      <c r="B3477" s="174" t="s">
        <v>380</v>
      </c>
      <c r="C3477" s="174" t="s">
        <v>410</v>
      </c>
      <c r="D3477" s="174" t="s">
        <v>348</v>
      </c>
    </row>
    <row r="3478">
      <c r="A3478" s="173">
        <v>44995.0</v>
      </c>
      <c r="B3478" s="174" t="s">
        <v>380</v>
      </c>
      <c r="C3478" s="174" t="s">
        <v>410</v>
      </c>
      <c r="D3478" s="174" t="s">
        <v>348</v>
      </c>
    </row>
    <row r="3479">
      <c r="A3479" s="173">
        <v>44996.0</v>
      </c>
      <c r="B3479" s="174" t="s">
        <v>380</v>
      </c>
      <c r="C3479" s="174" t="s">
        <v>410</v>
      </c>
      <c r="D3479" s="174" t="s">
        <v>348</v>
      </c>
    </row>
    <row r="3480">
      <c r="A3480" s="173">
        <v>44997.0</v>
      </c>
      <c r="B3480" s="174" t="s">
        <v>380</v>
      </c>
      <c r="C3480" s="174" t="s">
        <v>410</v>
      </c>
      <c r="D3480" s="174" t="s">
        <v>348</v>
      </c>
    </row>
    <row r="3481">
      <c r="A3481" s="173">
        <v>44998.0</v>
      </c>
      <c r="B3481" s="174" t="s">
        <v>381</v>
      </c>
      <c r="C3481" s="174" t="s">
        <v>410</v>
      </c>
      <c r="D3481" s="174" t="s">
        <v>349</v>
      </c>
    </row>
    <row r="3482">
      <c r="A3482" s="173">
        <v>44999.0</v>
      </c>
      <c r="B3482" s="174" t="s">
        <v>381</v>
      </c>
      <c r="C3482" s="174" t="s">
        <v>410</v>
      </c>
      <c r="D3482" s="174" t="s">
        <v>349</v>
      </c>
    </row>
    <row r="3483">
      <c r="A3483" s="173">
        <v>45000.0</v>
      </c>
      <c r="B3483" s="174" t="s">
        <v>381</v>
      </c>
      <c r="C3483" s="174" t="s">
        <v>410</v>
      </c>
      <c r="D3483" s="174" t="s">
        <v>349</v>
      </c>
    </row>
    <row r="3484">
      <c r="A3484" s="173">
        <v>45001.0</v>
      </c>
      <c r="B3484" s="174" t="s">
        <v>381</v>
      </c>
      <c r="C3484" s="174" t="s">
        <v>410</v>
      </c>
      <c r="D3484" s="174" t="s">
        <v>349</v>
      </c>
    </row>
    <row r="3485">
      <c r="A3485" s="173">
        <v>45002.0</v>
      </c>
      <c r="B3485" s="174" t="s">
        <v>381</v>
      </c>
      <c r="C3485" s="174" t="s">
        <v>410</v>
      </c>
      <c r="D3485" s="174" t="s">
        <v>349</v>
      </c>
    </row>
    <row r="3486">
      <c r="A3486" s="173">
        <v>45003.0</v>
      </c>
      <c r="B3486" s="174" t="s">
        <v>381</v>
      </c>
      <c r="C3486" s="174" t="s">
        <v>410</v>
      </c>
      <c r="D3486" s="174" t="s">
        <v>349</v>
      </c>
    </row>
    <row r="3487">
      <c r="A3487" s="173">
        <v>45004.0</v>
      </c>
      <c r="B3487" s="174" t="s">
        <v>381</v>
      </c>
      <c r="C3487" s="174" t="s">
        <v>410</v>
      </c>
      <c r="D3487" s="174" t="s">
        <v>349</v>
      </c>
    </row>
    <row r="3488">
      <c r="A3488" s="173">
        <v>45005.0</v>
      </c>
      <c r="B3488" s="174" t="s">
        <v>382</v>
      </c>
      <c r="C3488" s="174" t="s">
        <v>410</v>
      </c>
      <c r="D3488" s="174" t="s">
        <v>349</v>
      </c>
    </row>
    <row r="3489">
      <c r="A3489" s="173">
        <v>45006.0</v>
      </c>
      <c r="B3489" s="174" t="s">
        <v>382</v>
      </c>
      <c r="C3489" s="174" t="s">
        <v>410</v>
      </c>
      <c r="D3489" s="174" t="s">
        <v>349</v>
      </c>
    </row>
    <row r="3490">
      <c r="A3490" s="173">
        <v>45007.0</v>
      </c>
      <c r="B3490" s="174" t="s">
        <v>382</v>
      </c>
      <c r="C3490" s="174" t="s">
        <v>410</v>
      </c>
      <c r="D3490" s="174" t="s">
        <v>349</v>
      </c>
    </row>
    <row r="3491">
      <c r="A3491" s="173">
        <v>45008.0</v>
      </c>
      <c r="B3491" s="174" t="s">
        <v>382</v>
      </c>
      <c r="C3491" s="174" t="s">
        <v>410</v>
      </c>
      <c r="D3491" s="174" t="s">
        <v>349</v>
      </c>
    </row>
    <row r="3492">
      <c r="A3492" s="173">
        <v>45009.0</v>
      </c>
      <c r="B3492" s="174" t="s">
        <v>382</v>
      </c>
      <c r="C3492" s="174" t="s">
        <v>410</v>
      </c>
      <c r="D3492" s="174" t="s">
        <v>349</v>
      </c>
    </row>
    <row r="3493">
      <c r="A3493" s="173">
        <v>45010.0</v>
      </c>
      <c r="B3493" s="174" t="s">
        <v>382</v>
      </c>
      <c r="C3493" s="174" t="s">
        <v>410</v>
      </c>
      <c r="D3493" s="174" t="s">
        <v>349</v>
      </c>
    </row>
    <row r="3494">
      <c r="A3494" s="173">
        <v>45011.0</v>
      </c>
      <c r="B3494" s="174" t="s">
        <v>382</v>
      </c>
      <c r="C3494" s="174" t="s">
        <v>410</v>
      </c>
      <c r="D3494" s="174" t="s">
        <v>349</v>
      </c>
    </row>
    <row r="3495">
      <c r="A3495" s="173">
        <v>45012.0</v>
      </c>
      <c r="B3495" s="174" t="s">
        <v>383</v>
      </c>
      <c r="C3495" s="174" t="s">
        <v>410</v>
      </c>
      <c r="D3495" s="174" t="s">
        <v>349</v>
      </c>
    </row>
    <row r="3496">
      <c r="A3496" s="173">
        <v>45013.0</v>
      </c>
      <c r="B3496" s="174" t="s">
        <v>383</v>
      </c>
      <c r="C3496" s="174" t="s">
        <v>410</v>
      </c>
      <c r="D3496" s="174" t="s">
        <v>349</v>
      </c>
    </row>
    <row r="3497">
      <c r="A3497" s="173">
        <v>45014.0</v>
      </c>
      <c r="B3497" s="174" t="s">
        <v>383</v>
      </c>
      <c r="C3497" s="174" t="s">
        <v>410</v>
      </c>
      <c r="D3497" s="174" t="s">
        <v>349</v>
      </c>
    </row>
    <row r="3498">
      <c r="A3498" s="173">
        <v>45015.0</v>
      </c>
      <c r="B3498" s="174" t="s">
        <v>383</v>
      </c>
      <c r="C3498" s="174" t="s">
        <v>410</v>
      </c>
      <c r="D3498" s="174" t="s">
        <v>349</v>
      </c>
    </row>
    <row r="3499">
      <c r="A3499" s="173">
        <v>45016.0</v>
      </c>
      <c r="B3499" s="174" t="s">
        <v>383</v>
      </c>
      <c r="C3499" s="174" t="s">
        <v>410</v>
      </c>
      <c r="D3499" s="174" t="s">
        <v>349</v>
      </c>
    </row>
    <row r="3500">
      <c r="A3500" s="173">
        <v>45017.0</v>
      </c>
      <c r="B3500" s="174" t="s">
        <v>383</v>
      </c>
      <c r="C3500" s="174" t="s">
        <v>410</v>
      </c>
      <c r="D3500" s="174" t="s">
        <v>349</v>
      </c>
    </row>
    <row r="3501">
      <c r="A3501" s="173">
        <v>45018.0</v>
      </c>
      <c r="B3501" s="174" t="s">
        <v>383</v>
      </c>
      <c r="C3501" s="174" t="s">
        <v>410</v>
      </c>
      <c r="D3501" s="174" t="s">
        <v>349</v>
      </c>
    </row>
    <row r="3502">
      <c r="A3502" s="173">
        <v>45019.0</v>
      </c>
      <c r="B3502" s="174" t="s">
        <v>384</v>
      </c>
      <c r="C3502" s="174" t="s">
        <v>410</v>
      </c>
      <c r="D3502" s="174" t="s">
        <v>349</v>
      </c>
    </row>
    <row r="3503">
      <c r="A3503" s="173">
        <v>45020.0</v>
      </c>
      <c r="B3503" s="174" t="s">
        <v>384</v>
      </c>
      <c r="C3503" s="174" t="s">
        <v>410</v>
      </c>
      <c r="D3503" s="174" t="s">
        <v>349</v>
      </c>
    </row>
    <row r="3504">
      <c r="A3504" s="173">
        <v>45021.0</v>
      </c>
      <c r="B3504" s="174" t="s">
        <v>384</v>
      </c>
      <c r="C3504" s="174" t="s">
        <v>410</v>
      </c>
      <c r="D3504" s="174" t="s">
        <v>349</v>
      </c>
    </row>
    <row r="3505">
      <c r="A3505" s="173">
        <v>45022.0</v>
      </c>
      <c r="B3505" s="174" t="s">
        <v>384</v>
      </c>
      <c r="C3505" s="174" t="s">
        <v>410</v>
      </c>
      <c r="D3505" s="174" t="s">
        <v>349</v>
      </c>
    </row>
    <row r="3506">
      <c r="A3506" s="173">
        <v>45023.0</v>
      </c>
      <c r="B3506" s="174" t="s">
        <v>384</v>
      </c>
      <c r="C3506" s="174" t="s">
        <v>410</v>
      </c>
      <c r="D3506" s="174" t="s">
        <v>349</v>
      </c>
    </row>
    <row r="3507">
      <c r="A3507" s="173">
        <v>45024.0</v>
      </c>
      <c r="B3507" s="174" t="s">
        <v>384</v>
      </c>
      <c r="C3507" s="174" t="s">
        <v>410</v>
      </c>
      <c r="D3507" s="174" t="s">
        <v>349</v>
      </c>
    </row>
    <row r="3508">
      <c r="A3508" s="173">
        <v>45025.0</v>
      </c>
      <c r="B3508" s="174" t="s">
        <v>384</v>
      </c>
      <c r="C3508" s="174" t="s">
        <v>410</v>
      </c>
      <c r="D3508" s="174" t="s">
        <v>349</v>
      </c>
    </row>
    <row r="3509">
      <c r="A3509" s="173">
        <v>45026.0</v>
      </c>
      <c r="B3509" s="174" t="s">
        <v>385</v>
      </c>
      <c r="C3509" s="174" t="s">
        <v>410</v>
      </c>
      <c r="D3509" s="174" t="s">
        <v>351</v>
      </c>
    </row>
    <row r="3510">
      <c r="A3510" s="173">
        <v>45027.0</v>
      </c>
      <c r="B3510" s="174" t="s">
        <v>385</v>
      </c>
      <c r="C3510" s="174" t="s">
        <v>410</v>
      </c>
      <c r="D3510" s="174" t="s">
        <v>351</v>
      </c>
    </row>
    <row r="3511">
      <c r="A3511" s="173">
        <v>45028.0</v>
      </c>
      <c r="B3511" s="174" t="s">
        <v>385</v>
      </c>
      <c r="C3511" s="174" t="s">
        <v>410</v>
      </c>
      <c r="D3511" s="174" t="s">
        <v>351</v>
      </c>
    </row>
    <row r="3512">
      <c r="A3512" s="173">
        <v>45029.0</v>
      </c>
      <c r="B3512" s="174" t="s">
        <v>385</v>
      </c>
      <c r="C3512" s="174" t="s">
        <v>410</v>
      </c>
      <c r="D3512" s="174" t="s">
        <v>351</v>
      </c>
    </row>
    <row r="3513">
      <c r="A3513" s="173">
        <v>45030.0</v>
      </c>
      <c r="B3513" s="174" t="s">
        <v>385</v>
      </c>
      <c r="C3513" s="174" t="s">
        <v>410</v>
      </c>
      <c r="D3513" s="174" t="s">
        <v>351</v>
      </c>
    </row>
    <row r="3514">
      <c r="A3514" s="173">
        <v>45031.0</v>
      </c>
      <c r="B3514" s="174" t="s">
        <v>385</v>
      </c>
      <c r="C3514" s="174" t="s">
        <v>410</v>
      </c>
      <c r="D3514" s="174" t="s">
        <v>351</v>
      </c>
    </row>
    <row r="3515">
      <c r="A3515" s="173">
        <v>45032.0</v>
      </c>
      <c r="B3515" s="174" t="s">
        <v>385</v>
      </c>
      <c r="C3515" s="174" t="s">
        <v>410</v>
      </c>
      <c r="D3515" s="174" t="s">
        <v>351</v>
      </c>
    </row>
    <row r="3516">
      <c r="A3516" s="173">
        <v>45033.0</v>
      </c>
      <c r="B3516" s="174" t="s">
        <v>386</v>
      </c>
      <c r="C3516" s="174" t="s">
        <v>410</v>
      </c>
      <c r="D3516" s="174" t="s">
        <v>351</v>
      </c>
    </row>
    <row r="3517">
      <c r="A3517" s="173">
        <v>45034.0</v>
      </c>
      <c r="B3517" s="174" t="s">
        <v>386</v>
      </c>
      <c r="C3517" s="174" t="s">
        <v>410</v>
      </c>
      <c r="D3517" s="174" t="s">
        <v>351</v>
      </c>
    </row>
    <row r="3518">
      <c r="A3518" s="173">
        <v>45035.0</v>
      </c>
      <c r="B3518" s="174" t="s">
        <v>386</v>
      </c>
      <c r="C3518" s="174" t="s">
        <v>410</v>
      </c>
      <c r="D3518" s="174" t="s">
        <v>351</v>
      </c>
    </row>
    <row r="3519">
      <c r="A3519" s="173">
        <v>45036.0</v>
      </c>
      <c r="B3519" s="174" t="s">
        <v>386</v>
      </c>
      <c r="C3519" s="174" t="s">
        <v>410</v>
      </c>
      <c r="D3519" s="174" t="s">
        <v>351</v>
      </c>
    </row>
    <row r="3520">
      <c r="A3520" s="173">
        <v>45037.0</v>
      </c>
      <c r="B3520" s="174" t="s">
        <v>386</v>
      </c>
      <c r="C3520" s="174" t="s">
        <v>410</v>
      </c>
      <c r="D3520" s="174" t="s">
        <v>351</v>
      </c>
    </row>
    <row r="3521">
      <c r="A3521" s="173">
        <v>45038.0</v>
      </c>
      <c r="B3521" s="174" t="s">
        <v>386</v>
      </c>
      <c r="C3521" s="174" t="s">
        <v>410</v>
      </c>
      <c r="D3521" s="174" t="s">
        <v>351</v>
      </c>
    </row>
    <row r="3522">
      <c r="A3522" s="173">
        <v>45039.0</v>
      </c>
      <c r="B3522" s="174" t="s">
        <v>386</v>
      </c>
      <c r="C3522" s="174" t="s">
        <v>410</v>
      </c>
      <c r="D3522" s="174" t="s">
        <v>351</v>
      </c>
    </row>
    <row r="3523">
      <c r="A3523" s="173">
        <v>45040.0</v>
      </c>
      <c r="B3523" s="174" t="s">
        <v>387</v>
      </c>
      <c r="C3523" s="174" t="s">
        <v>410</v>
      </c>
      <c r="D3523" s="174" t="s">
        <v>351</v>
      </c>
    </row>
    <row r="3524">
      <c r="A3524" s="173">
        <v>45041.0</v>
      </c>
      <c r="B3524" s="174" t="s">
        <v>387</v>
      </c>
      <c r="C3524" s="174" t="s">
        <v>410</v>
      </c>
      <c r="D3524" s="174" t="s">
        <v>351</v>
      </c>
    </row>
    <row r="3525">
      <c r="A3525" s="173">
        <v>45042.0</v>
      </c>
      <c r="B3525" s="174" t="s">
        <v>387</v>
      </c>
      <c r="C3525" s="174" t="s">
        <v>410</v>
      </c>
      <c r="D3525" s="174" t="s">
        <v>351</v>
      </c>
    </row>
    <row r="3526">
      <c r="A3526" s="173">
        <v>45043.0</v>
      </c>
      <c r="B3526" s="174" t="s">
        <v>387</v>
      </c>
      <c r="C3526" s="174" t="s">
        <v>410</v>
      </c>
      <c r="D3526" s="174" t="s">
        <v>351</v>
      </c>
    </row>
    <row r="3527">
      <c r="A3527" s="173">
        <v>45044.0</v>
      </c>
      <c r="B3527" s="174" t="s">
        <v>387</v>
      </c>
      <c r="C3527" s="174" t="s">
        <v>410</v>
      </c>
      <c r="D3527" s="174" t="s">
        <v>351</v>
      </c>
    </row>
    <row r="3528">
      <c r="A3528" s="173">
        <v>45045.0</v>
      </c>
      <c r="B3528" s="174" t="s">
        <v>387</v>
      </c>
      <c r="C3528" s="174" t="s">
        <v>410</v>
      </c>
      <c r="D3528" s="174" t="s">
        <v>351</v>
      </c>
    </row>
    <row r="3529">
      <c r="A3529" s="173">
        <v>45046.0</v>
      </c>
      <c r="B3529" s="174" t="s">
        <v>387</v>
      </c>
      <c r="C3529" s="174" t="s">
        <v>410</v>
      </c>
      <c r="D3529" s="174" t="s">
        <v>351</v>
      </c>
    </row>
    <row r="3530">
      <c r="A3530" s="173">
        <v>45047.0</v>
      </c>
      <c r="B3530" s="174" t="s">
        <v>388</v>
      </c>
      <c r="C3530" s="174" t="s">
        <v>410</v>
      </c>
      <c r="D3530" s="174" t="s">
        <v>351</v>
      </c>
    </row>
    <row r="3531">
      <c r="A3531" s="173">
        <v>45048.0</v>
      </c>
      <c r="B3531" s="174" t="s">
        <v>388</v>
      </c>
      <c r="C3531" s="174" t="s">
        <v>410</v>
      </c>
      <c r="D3531" s="174" t="s">
        <v>351</v>
      </c>
    </row>
    <row r="3532">
      <c r="A3532" s="173">
        <v>45049.0</v>
      </c>
      <c r="B3532" s="174" t="s">
        <v>388</v>
      </c>
      <c r="C3532" s="174" t="s">
        <v>410</v>
      </c>
      <c r="D3532" s="174" t="s">
        <v>351</v>
      </c>
    </row>
    <row r="3533">
      <c r="A3533" s="173">
        <v>45050.0</v>
      </c>
      <c r="B3533" s="174" t="s">
        <v>388</v>
      </c>
      <c r="C3533" s="174" t="s">
        <v>410</v>
      </c>
      <c r="D3533" s="174" t="s">
        <v>351</v>
      </c>
    </row>
    <row r="3534">
      <c r="A3534" s="173">
        <v>45051.0</v>
      </c>
      <c r="B3534" s="174" t="s">
        <v>388</v>
      </c>
      <c r="C3534" s="174" t="s">
        <v>410</v>
      </c>
      <c r="D3534" s="174" t="s">
        <v>351</v>
      </c>
    </row>
    <row r="3535">
      <c r="A3535" s="173">
        <v>45052.0</v>
      </c>
      <c r="B3535" s="174" t="s">
        <v>388</v>
      </c>
      <c r="C3535" s="174" t="s">
        <v>410</v>
      </c>
      <c r="D3535" s="174" t="s">
        <v>351</v>
      </c>
    </row>
    <row r="3536">
      <c r="A3536" s="173">
        <v>45053.0</v>
      </c>
      <c r="B3536" s="174" t="s">
        <v>388</v>
      </c>
      <c r="C3536" s="174" t="s">
        <v>410</v>
      </c>
      <c r="D3536" s="174" t="s">
        <v>351</v>
      </c>
    </row>
    <row r="3537">
      <c r="A3537" s="173">
        <v>45054.0</v>
      </c>
      <c r="B3537" s="174" t="s">
        <v>389</v>
      </c>
      <c r="C3537" s="174" t="s">
        <v>410</v>
      </c>
      <c r="D3537" s="174" t="s">
        <v>352</v>
      </c>
    </row>
    <row r="3538">
      <c r="A3538" s="173">
        <v>45055.0</v>
      </c>
      <c r="B3538" s="174" t="s">
        <v>389</v>
      </c>
      <c r="C3538" s="174" t="s">
        <v>410</v>
      </c>
      <c r="D3538" s="174" t="s">
        <v>352</v>
      </c>
    </row>
    <row r="3539">
      <c r="A3539" s="173">
        <v>45056.0</v>
      </c>
      <c r="B3539" s="174" t="s">
        <v>389</v>
      </c>
      <c r="C3539" s="174" t="s">
        <v>410</v>
      </c>
      <c r="D3539" s="174" t="s">
        <v>352</v>
      </c>
    </row>
    <row r="3540">
      <c r="A3540" s="173">
        <v>45057.0</v>
      </c>
      <c r="B3540" s="174" t="s">
        <v>389</v>
      </c>
      <c r="C3540" s="174" t="s">
        <v>410</v>
      </c>
      <c r="D3540" s="174" t="s">
        <v>352</v>
      </c>
    </row>
    <row r="3541">
      <c r="A3541" s="173">
        <v>45058.0</v>
      </c>
      <c r="B3541" s="174" t="s">
        <v>389</v>
      </c>
      <c r="C3541" s="174" t="s">
        <v>410</v>
      </c>
      <c r="D3541" s="174" t="s">
        <v>352</v>
      </c>
    </row>
    <row r="3542">
      <c r="A3542" s="173">
        <v>45059.0</v>
      </c>
      <c r="B3542" s="174" t="s">
        <v>389</v>
      </c>
      <c r="C3542" s="174" t="s">
        <v>410</v>
      </c>
      <c r="D3542" s="174" t="s">
        <v>352</v>
      </c>
    </row>
    <row r="3543">
      <c r="A3543" s="173">
        <v>45060.0</v>
      </c>
      <c r="B3543" s="174" t="s">
        <v>389</v>
      </c>
      <c r="C3543" s="174" t="s">
        <v>410</v>
      </c>
      <c r="D3543" s="174" t="s">
        <v>352</v>
      </c>
    </row>
    <row r="3544">
      <c r="A3544" s="173">
        <v>45061.0</v>
      </c>
      <c r="B3544" s="174" t="s">
        <v>390</v>
      </c>
      <c r="C3544" s="174" t="s">
        <v>410</v>
      </c>
      <c r="D3544" s="174" t="s">
        <v>352</v>
      </c>
    </row>
    <row r="3545">
      <c r="A3545" s="173">
        <v>45062.0</v>
      </c>
      <c r="B3545" s="174" t="s">
        <v>390</v>
      </c>
      <c r="C3545" s="174" t="s">
        <v>410</v>
      </c>
      <c r="D3545" s="174" t="s">
        <v>352</v>
      </c>
    </row>
    <row r="3546">
      <c r="A3546" s="173">
        <v>45063.0</v>
      </c>
      <c r="B3546" s="174" t="s">
        <v>390</v>
      </c>
      <c r="C3546" s="174" t="s">
        <v>410</v>
      </c>
      <c r="D3546" s="174" t="s">
        <v>352</v>
      </c>
    </row>
    <row r="3547">
      <c r="A3547" s="173">
        <v>45064.0</v>
      </c>
      <c r="B3547" s="174" t="s">
        <v>390</v>
      </c>
      <c r="C3547" s="174" t="s">
        <v>410</v>
      </c>
      <c r="D3547" s="174" t="s">
        <v>352</v>
      </c>
    </row>
    <row r="3548">
      <c r="A3548" s="173">
        <v>45065.0</v>
      </c>
      <c r="B3548" s="174" t="s">
        <v>390</v>
      </c>
      <c r="C3548" s="174" t="s">
        <v>410</v>
      </c>
      <c r="D3548" s="174" t="s">
        <v>352</v>
      </c>
    </row>
    <row r="3549">
      <c r="A3549" s="173">
        <v>45066.0</v>
      </c>
      <c r="B3549" s="174" t="s">
        <v>390</v>
      </c>
      <c r="C3549" s="174" t="s">
        <v>410</v>
      </c>
      <c r="D3549" s="174" t="s">
        <v>352</v>
      </c>
    </row>
    <row r="3550">
      <c r="A3550" s="173">
        <v>45067.0</v>
      </c>
      <c r="B3550" s="174" t="s">
        <v>390</v>
      </c>
      <c r="C3550" s="174" t="s">
        <v>410</v>
      </c>
      <c r="D3550" s="174" t="s">
        <v>352</v>
      </c>
    </row>
    <row r="3551">
      <c r="A3551" s="173">
        <v>45068.0</v>
      </c>
      <c r="B3551" s="174" t="s">
        <v>391</v>
      </c>
      <c r="C3551" s="174" t="s">
        <v>410</v>
      </c>
      <c r="D3551" s="174" t="s">
        <v>352</v>
      </c>
    </row>
    <row r="3552">
      <c r="A3552" s="173">
        <v>45069.0</v>
      </c>
      <c r="B3552" s="174" t="s">
        <v>391</v>
      </c>
      <c r="C3552" s="174" t="s">
        <v>410</v>
      </c>
      <c r="D3552" s="174" t="s">
        <v>352</v>
      </c>
    </row>
    <row r="3553">
      <c r="A3553" s="173">
        <v>45070.0</v>
      </c>
      <c r="B3553" s="174" t="s">
        <v>391</v>
      </c>
      <c r="C3553" s="174" t="s">
        <v>410</v>
      </c>
      <c r="D3553" s="174" t="s">
        <v>352</v>
      </c>
    </row>
    <row r="3554">
      <c r="A3554" s="173">
        <v>45071.0</v>
      </c>
      <c r="B3554" s="174" t="s">
        <v>391</v>
      </c>
      <c r="C3554" s="174" t="s">
        <v>410</v>
      </c>
      <c r="D3554" s="174" t="s">
        <v>352</v>
      </c>
    </row>
    <row r="3555">
      <c r="A3555" s="173">
        <v>45072.0</v>
      </c>
      <c r="B3555" s="174" t="s">
        <v>391</v>
      </c>
      <c r="C3555" s="174" t="s">
        <v>410</v>
      </c>
      <c r="D3555" s="174" t="s">
        <v>352</v>
      </c>
    </row>
    <row r="3556">
      <c r="A3556" s="173">
        <v>45073.0</v>
      </c>
      <c r="B3556" s="174" t="s">
        <v>391</v>
      </c>
      <c r="C3556" s="174" t="s">
        <v>410</v>
      </c>
      <c r="D3556" s="174" t="s">
        <v>352</v>
      </c>
    </row>
    <row r="3557">
      <c r="A3557" s="173">
        <v>45074.0</v>
      </c>
      <c r="B3557" s="174" t="s">
        <v>391</v>
      </c>
      <c r="C3557" s="174" t="s">
        <v>410</v>
      </c>
      <c r="D3557" s="174" t="s">
        <v>352</v>
      </c>
    </row>
    <row r="3558">
      <c r="A3558" s="173">
        <v>45075.0</v>
      </c>
      <c r="B3558" s="174" t="s">
        <v>392</v>
      </c>
      <c r="C3558" s="174" t="s">
        <v>410</v>
      </c>
      <c r="D3558" s="174" t="s">
        <v>352</v>
      </c>
    </row>
    <row r="3559">
      <c r="A3559" s="173">
        <v>45076.0</v>
      </c>
      <c r="B3559" s="174" t="s">
        <v>392</v>
      </c>
      <c r="C3559" s="174" t="s">
        <v>410</v>
      </c>
      <c r="D3559" s="174" t="s">
        <v>352</v>
      </c>
    </row>
    <row r="3560">
      <c r="A3560" s="173">
        <v>45077.0</v>
      </c>
      <c r="B3560" s="174" t="s">
        <v>392</v>
      </c>
      <c r="C3560" s="174" t="s">
        <v>410</v>
      </c>
      <c r="D3560" s="174" t="s">
        <v>352</v>
      </c>
    </row>
    <row r="3561">
      <c r="A3561" s="173">
        <v>45078.0</v>
      </c>
      <c r="B3561" s="174" t="s">
        <v>392</v>
      </c>
      <c r="C3561" s="174" t="s">
        <v>410</v>
      </c>
      <c r="D3561" s="174" t="s">
        <v>352</v>
      </c>
    </row>
    <row r="3562">
      <c r="A3562" s="173">
        <v>45079.0</v>
      </c>
      <c r="B3562" s="174" t="s">
        <v>392</v>
      </c>
      <c r="C3562" s="174" t="s">
        <v>410</v>
      </c>
      <c r="D3562" s="174" t="s">
        <v>352</v>
      </c>
    </row>
    <row r="3563">
      <c r="A3563" s="173">
        <v>45080.0</v>
      </c>
      <c r="B3563" s="174" t="s">
        <v>392</v>
      </c>
      <c r="C3563" s="174" t="s">
        <v>410</v>
      </c>
      <c r="D3563" s="174" t="s">
        <v>352</v>
      </c>
    </row>
    <row r="3564">
      <c r="A3564" s="173">
        <v>45081.0</v>
      </c>
      <c r="B3564" s="174" t="s">
        <v>392</v>
      </c>
      <c r="C3564" s="174" t="s">
        <v>410</v>
      </c>
      <c r="D3564" s="174" t="s">
        <v>352</v>
      </c>
    </row>
    <row r="3565">
      <c r="A3565" s="173">
        <v>45082.0</v>
      </c>
      <c r="B3565" s="174" t="s">
        <v>393</v>
      </c>
      <c r="C3565" s="174" t="s">
        <v>410</v>
      </c>
      <c r="D3565" s="174" t="s">
        <v>353</v>
      </c>
    </row>
    <row r="3566">
      <c r="A3566" s="173">
        <v>45083.0</v>
      </c>
      <c r="B3566" s="174" t="s">
        <v>393</v>
      </c>
      <c r="C3566" s="174" t="s">
        <v>410</v>
      </c>
      <c r="D3566" s="174" t="s">
        <v>353</v>
      </c>
    </row>
    <row r="3567">
      <c r="A3567" s="173">
        <v>45084.0</v>
      </c>
      <c r="B3567" s="174" t="s">
        <v>393</v>
      </c>
      <c r="C3567" s="174" t="s">
        <v>410</v>
      </c>
      <c r="D3567" s="174" t="s">
        <v>353</v>
      </c>
    </row>
    <row r="3568">
      <c r="A3568" s="173">
        <v>45085.0</v>
      </c>
      <c r="B3568" s="174" t="s">
        <v>393</v>
      </c>
      <c r="C3568" s="174" t="s">
        <v>410</v>
      </c>
      <c r="D3568" s="174" t="s">
        <v>353</v>
      </c>
    </row>
    <row r="3569">
      <c r="A3569" s="173">
        <v>45086.0</v>
      </c>
      <c r="B3569" s="174" t="s">
        <v>393</v>
      </c>
      <c r="C3569" s="174" t="s">
        <v>410</v>
      </c>
      <c r="D3569" s="174" t="s">
        <v>353</v>
      </c>
    </row>
    <row r="3570">
      <c r="A3570" s="173">
        <v>45087.0</v>
      </c>
      <c r="B3570" s="174" t="s">
        <v>393</v>
      </c>
      <c r="C3570" s="174" t="s">
        <v>410</v>
      </c>
      <c r="D3570" s="174" t="s">
        <v>353</v>
      </c>
    </row>
    <row r="3571">
      <c r="A3571" s="173">
        <v>45088.0</v>
      </c>
      <c r="B3571" s="174" t="s">
        <v>393</v>
      </c>
      <c r="C3571" s="174" t="s">
        <v>410</v>
      </c>
      <c r="D3571" s="174" t="s">
        <v>353</v>
      </c>
    </row>
    <row r="3572">
      <c r="A3572" s="173">
        <v>45089.0</v>
      </c>
      <c r="B3572" s="174" t="s">
        <v>394</v>
      </c>
      <c r="C3572" s="174" t="s">
        <v>410</v>
      </c>
      <c r="D3572" s="174" t="s">
        <v>353</v>
      </c>
    </row>
    <row r="3573">
      <c r="A3573" s="173">
        <v>45090.0</v>
      </c>
      <c r="B3573" s="174" t="s">
        <v>394</v>
      </c>
      <c r="C3573" s="174" t="s">
        <v>410</v>
      </c>
      <c r="D3573" s="174" t="s">
        <v>353</v>
      </c>
    </row>
    <row r="3574">
      <c r="A3574" s="173">
        <v>45091.0</v>
      </c>
      <c r="B3574" s="174" t="s">
        <v>394</v>
      </c>
      <c r="C3574" s="174" t="s">
        <v>410</v>
      </c>
      <c r="D3574" s="174" t="s">
        <v>353</v>
      </c>
    </row>
    <row r="3575">
      <c r="A3575" s="173">
        <v>45092.0</v>
      </c>
      <c r="B3575" s="174" t="s">
        <v>394</v>
      </c>
      <c r="C3575" s="174" t="s">
        <v>410</v>
      </c>
      <c r="D3575" s="174" t="s">
        <v>353</v>
      </c>
    </row>
    <row r="3576">
      <c r="A3576" s="173">
        <v>45093.0</v>
      </c>
      <c r="B3576" s="174" t="s">
        <v>394</v>
      </c>
      <c r="C3576" s="174" t="s">
        <v>410</v>
      </c>
      <c r="D3576" s="174" t="s">
        <v>353</v>
      </c>
    </row>
    <row r="3577">
      <c r="A3577" s="173">
        <v>45094.0</v>
      </c>
      <c r="B3577" s="174" t="s">
        <v>394</v>
      </c>
      <c r="C3577" s="174" t="s">
        <v>410</v>
      </c>
      <c r="D3577" s="174" t="s">
        <v>353</v>
      </c>
    </row>
    <row r="3578">
      <c r="A3578" s="173">
        <v>45095.0</v>
      </c>
      <c r="B3578" s="174" t="s">
        <v>394</v>
      </c>
      <c r="C3578" s="174" t="s">
        <v>410</v>
      </c>
      <c r="D3578" s="174" t="s">
        <v>353</v>
      </c>
    </row>
    <row r="3579">
      <c r="A3579" s="173">
        <v>45096.0</v>
      </c>
      <c r="B3579" s="174" t="s">
        <v>395</v>
      </c>
      <c r="C3579" s="174" t="s">
        <v>410</v>
      </c>
      <c r="D3579" s="174" t="s">
        <v>353</v>
      </c>
    </row>
    <row r="3580">
      <c r="A3580" s="173">
        <v>45097.0</v>
      </c>
      <c r="B3580" s="174" t="s">
        <v>395</v>
      </c>
      <c r="C3580" s="174" t="s">
        <v>410</v>
      </c>
      <c r="D3580" s="174" t="s">
        <v>353</v>
      </c>
    </row>
    <row r="3581">
      <c r="A3581" s="173">
        <v>45098.0</v>
      </c>
      <c r="B3581" s="174" t="s">
        <v>395</v>
      </c>
      <c r="C3581" s="174" t="s">
        <v>410</v>
      </c>
      <c r="D3581" s="174" t="s">
        <v>353</v>
      </c>
    </row>
    <row r="3582">
      <c r="A3582" s="173">
        <v>45099.0</v>
      </c>
      <c r="B3582" s="174" t="s">
        <v>395</v>
      </c>
      <c r="C3582" s="174" t="s">
        <v>410</v>
      </c>
      <c r="D3582" s="174" t="s">
        <v>353</v>
      </c>
    </row>
    <row r="3583">
      <c r="A3583" s="173">
        <v>45100.0</v>
      </c>
      <c r="B3583" s="174" t="s">
        <v>395</v>
      </c>
      <c r="C3583" s="174" t="s">
        <v>410</v>
      </c>
      <c r="D3583" s="174" t="s">
        <v>353</v>
      </c>
    </row>
    <row r="3584">
      <c r="A3584" s="173">
        <v>45101.0</v>
      </c>
      <c r="B3584" s="174" t="s">
        <v>395</v>
      </c>
      <c r="C3584" s="174" t="s">
        <v>410</v>
      </c>
      <c r="D3584" s="174" t="s">
        <v>353</v>
      </c>
    </row>
    <row r="3585">
      <c r="A3585" s="173">
        <v>45102.0</v>
      </c>
      <c r="B3585" s="174" t="s">
        <v>395</v>
      </c>
      <c r="C3585" s="174" t="s">
        <v>410</v>
      </c>
      <c r="D3585" s="174" t="s">
        <v>353</v>
      </c>
    </row>
    <row r="3586">
      <c r="A3586" s="173">
        <v>45103.0</v>
      </c>
      <c r="B3586" s="174" t="s">
        <v>396</v>
      </c>
      <c r="C3586" s="174" t="s">
        <v>410</v>
      </c>
      <c r="D3586" s="174" t="s">
        <v>353</v>
      </c>
    </row>
    <row r="3587">
      <c r="A3587" s="173">
        <v>45104.0</v>
      </c>
      <c r="B3587" s="174" t="s">
        <v>396</v>
      </c>
      <c r="C3587" s="174" t="s">
        <v>410</v>
      </c>
      <c r="D3587" s="174" t="s">
        <v>353</v>
      </c>
    </row>
    <row r="3588">
      <c r="A3588" s="173">
        <v>45105.0</v>
      </c>
      <c r="B3588" s="174" t="s">
        <v>396</v>
      </c>
      <c r="C3588" s="174" t="s">
        <v>410</v>
      </c>
      <c r="D3588" s="174" t="s">
        <v>353</v>
      </c>
    </row>
    <row r="3589">
      <c r="A3589" s="173">
        <v>45106.0</v>
      </c>
      <c r="B3589" s="174" t="s">
        <v>396</v>
      </c>
      <c r="C3589" s="174" t="s">
        <v>410</v>
      </c>
      <c r="D3589" s="174" t="s">
        <v>353</v>
      </c>
    </row>
    <row r="3590">
      <c r="A3590" s="173">
        <v>45107.0</v>
      </c>
      <c r="B3590" s="174" t="s">
        <v>396</v>
      </c>
      <c r="C3590" s="174" t="s">
        <v>410</v>
      </c>
      <c r="D3590" s="174" t="s">
        <v>353</v>
      </c>
    </row>
    <row r="3591">
      <c r="A3591" s="173">
        <v>45108.0</v>
      </c>
      <c r="B3591" s="174" t="s">
        <v>396</v>
      </c>
      <c r="C3591" s="174" t="s">
        <v>410</v>
      </c>
      <c r="D3591" s="174" t="s">
        <v>353</v>
      </c>
    </row>
    <row r="3592">
      <c r="A3592" s="173">
        <v>45109.0</v>
      </c>
      <c r="B3592" s="174" t="s">
        <v>396</v>
      </c>
      <c r="C3592" s="174" t="s">
        <v>410</v>
      </c>
      <c r="D3592" s="174" t="s">
        <v>353</v>
      </c>
    </row>
    <row r="3593">
      <c r="A3593" s="173">
        <v>45110.0</v>
      </c>
      <c r="B3593" s="174" t="s">
        <v>397</v>
      </c>
      <c r="C3593" s="174" t="s">
        <v>410</v>
      </c>
      <c r="D3593" s="174" t="s">
        <v>354</v>
      </c>
    </row>
    <row r="3594">
      <c r="A3594" s="173">
        <v>45111.0</v>
      </c>
      <c r="B3594" s="174" t="s">
        <v>397</v>
      </c>
      <c r="C3594" s="174" t="s">
        <v>410</v>
      </c>
      <c r="D3594" s="174" t="s">
        <v>354</v>
      </c>
    </row>
    <row r="3595">
      <c r="A3595" s="173">
        <v>45112.0</v>
      </c>
      <c r="B3595" s="174" t="s">
        <v>397</v>
      </c>
      <c r="C3595" s="174" t="s">
        <v>410</v>
      </c>
      <c r="D3595" s="174" t="s">
        <v>354</v>
      </c>
    </row>
    <row r="3596">
      <c r="A3596" s="173">
        <v>45113.0</v>
      </c>
      <c r="B3596" s="174" t="s">
        <v>397</v>
      </c>
      <c r="C3596" s="174" t="s">
        <v>410</v>
      </c>
      <c r="D3596" s="174" t="s">
        <v>354</v>
      </c>
    </row>
    <row r="3597">
      <c r="A3597" s="173">
        <v>45114.0</v>
      </c>
      <c r="B3597" s="174" t="s">
        <v>397</v>
      </c>
      <c r="C3597" s="174" t="s">
        <v>410</v>
      </c>
      <c r="D3597" s="174" t="s">
        <v>354</v>
      </c>
    </row>
    <row r="3598">
      <c r="A3598" s="173">
        <v>45115.0</v>
      </c>
      <c r="B3598" s="174" t="s">
        <v>397</v>
      </c>
      <c r="C3598" s="174" t="s">
        <v>410</v>
      </c>
      <c r="D3598" s="174" t="s">
        <v>354</v>
      </c>
    </row>
    <row r="3599">
      <c r="A3599" s="173">
        <v>45116.0</v>
      </c>
      <c r="B3599" s="174" t="s">
        <v>397</v>
      </c>
      <c r="C3599" s="174" t="s">
        <v>410</v>
      </c>
      <c r="D3599" s="174" t="s">
        <v>354</v>
      </c>
    </row>
    <row r="3600">
      <c r="A3600" s="173">
        <v>45117.0</v>
      </c>
      <c r="B3600" s="174" t="s">
        <v>398</v>
      </c>
      <c r="C3600" s="174" t="s">
        <v>410</v>
      </c>
      <c r="D3600" s="174" t="s">
        <v>354</v>
      </c>
    </row>
    <row r="3601">
      <c r="A3601" s="173">
        <v>45118.0</v>
      </c>
      <c r="B3601" s="174" t="s">
        <v>398</v>
      </c>
      <c r="C3601" s="174" t="s">
        <v>410</v>
      </c>
      <c r="D3601" s="174" t="s">
        <v>354</v>
      </c>
    </row>
    <row r="3602">
      <c r="A3602" s="173">
        <v>45119.0</v>
      </c>
      <c r="B3602" s="174" t="s">
        <v>398</v>
      </c>
      <c r="C3602" s="174" t="s">
        <v>410</v>
      </c>
      <c r="D3602" s="174" t="s">
        <v>354</v>
      </c>
    </row>
    <row r="3603">
      <c r="A3603" s="173">
        <v>45120.0</v>
      </c>
      <c r="B3603" s="174" t="s">
        <v>398</v>
      </c>
      <c r="C3603" s="174" t="s">
        <v>410</v>
      </c>
      <c r="D3603" s="174" t="s">
        <v>354</v>
      </c>
    </row>
    <row r="3604">
      <c r="A3604" s="173">
        <v>45121.0</v>
      </c>
      <c r="B3604" s="174" t="s">
        <v>398</v>
      </c>
      <c r="C3604" s="174" t="s">
        <v>410</v>
      </c>
      <c r="D3604" s="174" t="s">
        <v>354</v>
      </c>
    </row>
    <row r="3605">
      <c r="A3605" s="173">
        <v>45122.0</v>
      </c>
      <c r="B3605" s="174" t="s">
        <v>398</v>
      </c>
      <c r="C3605" s="174" t="s">
        <v>410</v>
      </c>
      <c r="D3605" s="174" t="s">
        <v>354</v>
      </c>
    </row>
    <row r="3606">
      <c r="A3606" s="173">
        <v>45123.0</v>
      </c>
      <c r="B3606" s="174" t="s">
        <v>398</v>
      </c>
      <c r="C3606" s="174" t="s">
        <v>410</v>
      </c>
      <c r="D3606" s="174" t="s">
        <v>354</v>
      </c>
    </row>
    <row r="3607">
      <c r="A3607" s="173">
        <v>45124.0</v>
      </c>
      <c r="B3607" s="174" t="s">
        <v>399</v>
      </c>
      <c r="C3607" s="174" t="s">
        <v>410</v>
      </c>
      <c r="D3607" s="174" t="s">
        <v>354</v>
      </c>
    </row>
    <row r="3608">
      <c r="A3608" s="173">
        <v>45125.0</v>
      </c>
      <c r="B3608" s="174" t="s">
        <v>399</v>
      </c>
      <c r="C3608" s="174" t="s">
        <v>410</v>
      </c>
      <c r="D3608" s="174" t="s">
        <v>354</v>
      </c>
    </row>
    <row r="3609">
      <c r="A3609" s="173">
        <v>45126.0</v>
      </c>
      <c r="B3609" s="174" t="s">
        <v>399</v>
      </c>
      <c r="C3609" s="174" t="s">
        <v>410</v>
      </c>
      <c r="D3609" s="174" t="s">
        <v>354</v>
      </c>
    </row>
    <row r="3610">
      <c r="A3610" s="173">
        <v>45127.0</v>
      </c>
      <c r="B3610" s="174" t="s">
        <v>399</v>
      </c>
      <c r="C3610" s="174" t="s">
        <v>410</v>
      </c>
      <c r="D3610" s="174" t="s">
        <v>354</v>
      </c>
    </row>
    <row r="3611">
      <c r="A3611" s="173">
        <v>45128.0</v>
      </c>
      <c r="B3611" s="174" t="s">
        <v>399</v>
      </c>
      <c r="C3611" s="174" t="s">
        <v>410</v>
      </c>
      <c r="D3611" s="174" t="s">
        <v>354</v>
      </c>
    </row>
    <row r="3612">
      <c r="A3612" s="173">
        <v>45129.0</v>
      </c>
      <c r="B3612" s="174" t="s">
        <v>399</v>
      </c>
      <c r="C3612" s="174" t="s">
        <v>410</v>
      </c>
      <c r="D3612" s="174" t="s">
        <v>354</v>
      </c>
    </row>
    <row r="3613">
      <c r="A3613" s="173">
        <v>45130.0</v>
      </c>
      <c r="B3613" s="174" t="s">
        <v>399</v>
      </c>
      <c r="C3613" s="174" t="s">
        <v>410</v>
      </c>
      <c r="D3613" s="174" t="s">
        <v>354</v>
      </c>
    </row>
    <row r="3614">
      <c r="A3614" s="173">
        <v>45131.0</v>
      </c>
      <c r="B3614" s="174" t="s">
        <v>400</v>
      </c>
      <c r="C3614" s="174" t="s">
        <v>410</v>
      </c>
      <c r="D3614" s="174" t="s">
        <v>354</v>
      </c>
    </row>
    <row r="3615">
      <c r="A3615" s="173">
        <v>45132.0</v>
      </c>
      <c r="B3615" s="174" t="s">
        <v>400</v>
      </c>
      <c r="C3615" s="174" t="s">
        <v>410</v>
      </c>
      <c r="D3615" s="174" t="s">
        <v>354</v>
      </c>
    </row>
    <row r="3616">
      <c r="A3616" s="173">
        <v>45133.0</v>
      </c>
      <c r="B3616" s="174" t="s">
        <v>400</v>
      </c>
      <c r="C3616" s="174" t="s">
        <v>410</v>
      </c>
      <c r="D3616" s="174" t="s">
        <v>354</v>
      </c>
    </row>
    <row r="3617">
      <c r="A3617" s="173">
        <v>45134.0</v>
      </c>
      <c r="B3617" s="174" t="s">
        <v>400</v>
      </c>
      <c r="C3617" s="174" t="s">
        <v>410</v>
      </c>
      <c r="D3617" s="174" t="s">
        <v>354</v>
      </c>
    </row>
    <row r="3618">
      <c r="A3618" s="173">
        <v>45135.0</v>
      </c>
      <c r="B3618" s="174" t="s">
        <v>400</v>
      </c>
      <c r="C3618" s="174" t="s">
        <v>410</v>
      </c>
      <c r="D3618" s="174" t="s">
        <v>354</v>
      </c>
    </row>
    <row r="3619">
      <c r="A3619" s="173">
        <v>45136.0</v>
      </c>
      <c r="B3619" s="174" t="s">
        <v>400</v>
      </c>
      <c r="C3619" s="174" t="s">
        <v>410</v>
      </c>
      <c r="D3619" s="174" t="s">
        <v>354</v>
      </c>
    </row>
    <row r="3620">
      <c r="A3620" s="173">
        <v>45137.0</v>
      </c>
      <c r="B3620" s="174" t="s">
        <v>400</v>
      </c>
      <c r="C3620" s="174" t="s">
        <v>410</v>
      </c>
      <c r="D3620" s="174" t="s">
        <v>354</v>
      </c>
    </row>
    <row r="3621">
      <c r="A3621" s="173">
        <v>45138.0</v>
      </c>
      <c r="B3621" s="174" t="s">
        <v>401</v>
      </c>
      <c r="C3621" s="174" t="s">
        <v>410</v>
      </c>
      <c r="D3621" s="174" t="s">
        <v>134</v>
      </c>
    </row>
    <row r="3622">
      <c r="A3622" s="173">
        <v>45139.0</v>
      </c>
      <c r="B3622" s="174" t="s">
        <v>401</v>
      </c>
      <c r="C3622" s="174" t="s">
        <v>410</v>
      </c>
      <c r="D3622" s="174" t="s">
        <v>134</v>
      </c>
    </row>
    <row r="3623">
      <c r="A3623" s="173">
        <v>45140.0</v>
      </c>
      <c r="B3623" s="174" t="s">
        <v>401</v>
      </c>
      <c r="C3623" s="174" t="s">
        <v>410</v>
      </c>
      <c r="D3623" s="174" t="s">
        <v>134</v>
      </c>
    </row>
    <row r="3624">
      <c r="A3624" s="173">
        <v>45141.0</v>
      </c>
      <c r="B3624" s="174" t="s">
        <v>401</v>
      </c>
      <c r="C3624" s="174" t="s">
        <v>410</v>
      </c>
      <c r="D3624" s="174" t="s">
        <v>134</v>
      </c>
    </row>
    <row r="3625">
      <c r="A3625" s="173">
        <v>45142.0</v>
      </c>
      <c r="B3625" s="174" t="s">
        <v>401</v>
      </c>
      <c r="C3625" s="174" t="s">
        <v>410</v>
      </c>
      <c r="D3625" s="174" t="s">
        <v>134</v>
      </c>
    </row>
    <row r="3626">
      <c r="A3626" s="173">
        <v>45143.0</v>
      </c>
      <c r="B3626" s="174" t="s">
        <v>401</v>
      </c>
      <c r="C3626" s="174" t="s">
        <v>410</v>
      </c>
      <c r="D3626" s="174" t="s">
        <v>134</v>
      </c>
    </row>
    <row r="3627">
      <c r="A3627" s="173">
        <v>45144.0</v>
      </c>
      <c r="B3627" s="174" t="s">
        <v>401</v>
      </c>
      <c r="C3627" s="174" t="s">
        <v>410</v>
      </c>
      <c r="D3627" s="174" t="s">
        <v>134</v>
      </c>
    </row>
    <row r="3628">
      <c r="A3628" s="173">
        <v>45145.0</v>
      </c>
      <c r="B3628" s="174" t="s">
        <v>402</v>
      </c>
      <c r="C3628" s="174" t="s">
        <v>410</v>
      </c>
      <c r="D3628" s="174" t="s">
        <v>134</v>
      </c>
    </row>
    <row r="3629">
      <c r="A3629" s="173">
        <v>45146.0</v>
      </c>
      <c r="B3629" s="174" t="s">
        <v>402</v>
      </c>
      <c r="C3629" s="174" t="s">
        <v>410</v>
      </c>
      <c r="D3629" s="174" t="s">
        <v>134</v>
      </c>
    </row>
    <row r="3630">
      <c r="A3630" s="173">
        <v>45147.0</v>
      </c>
      <c r="B3630" s="174" t="s">
        <v>402</v>
      </c>
      <c r="C3630" s="174" t="s">
        <v>410</v>
      </c>
      <c r="D3630" s="174" t="s">
        <v>134</v>
      </c>
    </row>
    <row r="3631">
      <c r="A3631" s="173">
        <v>45148.0</v>
      </c>
      <c r="B3631" s="174" t="s">
        <v>402</v>
      </c>
      <c r="C3631" s="174" t="s">
        <v>410</v>
      </c>
      <c r="D3631" s="174" t="s">
        <v>134</v>
      </c>
    </row>
    <row r="3632">
      <c r="A3632" s="173">
        <v>45149.0</v>
      </c>
      <c r="B3632" s="174" t="s">
        <v>402</v>
      </c>
      <c r="C3632" s="174" t="s">
        <v>410</v>
      </c>
      <c r="D3632" s="174" t="s">
        <v>134</v>
      </c>
    </row>
    <row r="3633">
      <c r="A3633" s="173">
        <v>45150.0</v>
      </c>
      <c r="B3633" s="174" t="s">
        <v>402</v>
      </c>
      <c r="C3633" s="174" t="s">
        <v>410</v>
      </c>
      <c r="D3633" s="174" t="s">
        <v>134</v>
      </c>
    </row>
    <row r="3634">
      <c r="A3634" s="173">
        <v>45151.0</v>
      </c>
      <c r="B3634" s="174" t="s">
        <v>402</v>
      </c>
      <c r="C3634" s="174" t="s">
        <v>410</v>
      </c>
      <c r="D3634" s="174" t="s">
        <v>134</v>
      </c>
    </row>
    <row r="3635">
      <c r="A3635" s="173">
        <v>45152.0</v>
      </c>
      <c r="B3635" s="174" t="s">
        <v>403</v>
      </c>
      <c r="C3635" s="174" t="s">
        <v>410</v>
      </c>
      <c r="D3635" s="174" t="s">
        <v>134</v>
      </c>
    </row>
    <row r="3636">
      <c r="A3636" s="173">
        <v>45153.0</v>
      </c>
      <c r="B3636" s="174" t="s">
        <v>403</v>
      </c>
      <c r="C3636" s="174" t="s">
        <v>410</v>
      </c>
      <c r="D3636" s="174" t="s">
        <v>134</v>
      </c>
    </row>
    <row r="3637">
      <c r="A3637" s="173">
        <v>45154.0</v>
      </c>
      <c r="B3637" s="174" t="s">
        <v>403</v>
      </c>
      <c r="C3637" s="174" t="s">
        <v>410</v>
      </c>
      <c r="D3637" s="174" t="s">
        <v>134</v>
      </c>
    </row>
    <row r="3638">
      <c r="A3638" s="173">
        <v>45155.0</v>
      </c>
      <c r="B3638" s="174" t="s">
        <v>403</v>
      </c>
      <c r="C3638" s="174" t="s">
        <v>410</v>
      </c>
      <c r="D3638" s="174" t="s">
        <v>134</v>
      </c>
    </row>
    <row r="3639">
      <c r="A3639" s="173">
        <v>45156.0</v>
      </c>
      <c r="B3639" s="174" t="s">
        <v>403</v>
      </c>
      <c r="C3639" s="174" t="s">
        <v>410</v>
      </c>
      <c r="D3639" s="174" t="s">
        <v>134</v>
      </c>
    </row>
    <row r="3640">
      <c r="A3640" s="173">
        <v>45157.0</v>
      </c>
      <c r="B3640" s="174" t="s">
        <v>403</v>
      </c>
      <c r="C3640" s="174" t="s">
        <v>410</v>
      </c>
      <c r="D3640" s="174" t="s">
        <v>134</v>
      </c>
    </row>
    <row r="3641">
      <c r="A3641" s="173">
        <v>45158.0</v>
      </c>
      <c r="B3641" s="174" t="s">
        <v>403</v>
      </c>
      <c r="C3641" s="174" t="s">
        <v>410</v>
      </c>
      <c r="D3641" s="174" t="s">
        <v>134</v>
      </c>
    </row>
    <row r="3642">
      <c r="A3642" s="173">
        <v>45159.0</v>
      </c>
      <c r="B3642" s="174" t="s">
        <v>404</v>
      </c>
      <c r="C3642" s="174" t="s">
        <v>410</v>
      </c>
      <c r="D3642" s="174" t="s">
        <v>134</v>
      </c>
    </row>
    <row r="3643">
      <c r="A3643" s="173">
        <v>45160.0</v>
      </c>
      <c r="B3643" s="174" t="s">
        <v>404</v>
      </c>
      <c r="C3643" s="174" t="s">
        <v>410</v>
      </c>
      <c r="D3643" s="174" t="s">
        <v>134</v>
      </c>
    </row>
    <row r="3644">
      <c r="A3644" s="173">
        <v>45161.0</v>
      </c>
      <c r="B3644" s="174" t="s">
        <v>404</v>
      </c>
      <c r="C3644" s="174" t="s">
        <v>410</v>
      </c>
      <c r="D3644" s="174" t="s">
        <v>134</v>
      </c>
    </row>
    <row r="3645">
      <c r="A3645" s="173">
        <v>45162.0</v>
      </c>
      <c r="B3645" s="174" t="s">
        <v>404</v>
      </c>
      <c r="C3645" s="174" t="s">
        <v>410</v>
      </c>
      <c r="D3645" s="174" t="s">
        <v>134</v>
      </c>
    </row>
    <row r="3646">
      <c r="A3646" s="173">
        <v>45163.0</v>
      </c>
      <c r="B3646" s="174" t="s">
        <v>404</v>
      </c>
      <c r="C3646" s="174" t="s">
        <v>410</v>
      </c>
      <c r="D3646" s="174" t="s">
        <v>134</v>
      </c>
    </row>
    <row r="3647">
      <c r="A3647" s="173">
        <v>45164.0</v>
      </c>
      <c r="B3647" s="174" t="s">
        <v>404</v>
      </c>
      <c r="C3647" s="174" t="s">
        <v>410</v>
      </c>
      <c r="D3647" s="174" t="s">
        <v>134</v>
      </c>
    </row>
    <row r="3648">
      <c r="A3648" s="173">
        <v>45165.0</v>
      </c>
      <c r="B3648" s="174" t="s">
        <v>404</v>
      </c>
      <c r="C3648" s="174" t="s">
        <v>410</v>
      </c>
      <c r="D3648" s="174" t="s">
        <v>134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75" t="s">
        <v>213</v>
      </c>
      <c r="B1" s="175" t="s">
        <v>82</v>
      </c>
      <c r="C1" s="175" t="s">
        <v>411</v>
      </c>
      <c r="D1" s="175" t="s">
        <v>412</v>
      </c>
      <c r="E1" s="175" t="s">
        <v>413</v>
      </c>
      <c r="F1" s="175" t="s">
        <v>87</v>
      </c>
      <c r="G1" s="175" t="s">
        <v>414</v>
      </c>
      <c r="H1" s="175"/>
      <c r="I1" s="175"/>
    </row>
    <row r="2">
      <c r="A2" s="176">
        <v>42982.0</v>
      </c>
      <c r="B2" s="43" t="str">
        <f>VLOOKUP(A2,Table!A:D,4,false)</f>
        <v>Period 1</v>
      </c>
      <c r="C2" s="43">
        <v>0.14305555555555555</v>
      </c>
      <c r="D2" s="43">
        <v>0.1625</v>
      </c>
      <c r="E2" s="43">
        <v>0.9166666666666666</v>
      </c>
      <c r="F2" s="43">
        <v>0.20972222222222223</v>
      </c>
      <c r="G2" s="70" t="s">
        <v>415</v>
      </c>
      <c r="H2" s="70"/>
      <c r="I2" s="70"/>
    </row>
    <row r="3">
      <c r="A3" s="177">
        <v>42983.0</v>
      </c>
      <c r="B3" s="43" t="str">
        <f>VLOOKUP(A3,Table!A:D,4,false)</f>
        <v>Period 1</v>
      </c>
      <c r="C3" s="43">
        <v>0.23819444444444443</v>
      </c>
      <c r="D3" s="43">
        <v>0.26805555555555555</v>
      </c>
      <c r="E3" s="43">
        <v>0.9166666666666666</v>
      </c>
      <c r="F3" s="43">
        <v>0.3388888888888889</v>
      </c>
      <c r="G3" s="70" t="s">
        <v>416</v>
      </c>
      <c r="H3" s="70"/>
      <c r="I3" s="70"/>
    </row>
    <row r="4">
      <c r="A4" s="177">
        <v>42984.0</v>
      </c>
      <c r="B4" s="43" t="str">
        <f>VLOOKUP(A4,Table!A:D,4,false)</f>
        <v>Period 1</v>
      </c>
      <c r="C4" s="43">
        <v>0.16180555555555556</v>
      </c>
      <c r="D4" s="43">
        <v>0.19375</v>
      </c>
      <c r="E4" s="43">
        <v>0.9166666666666666</v>
      </c>
      <c r="F4" s="43">
        <v>0.24305555555555555</v>
      </c>
      <c r="G4" s="70" t="s">
        <v>415</v>
      </c>
      <c r="H4" s="70"/>
      <c r="I4" s="70"/>
    </row>
    <row r="5">
      <c r="A5" s="177">
        <v>42985.0</v>
      </c>
      <c r="B5" s="43" t="str">
        <f>VLOOKUP(A5,Table!A:D,4,false)</f>
        <v>Period 1</v>
      </c>
      <c r="C5" s="43">
        <v>0.2076388888888889</v>
      </c>
      <c r="D5" s="43">
        <v>0.24097222222222223</v>
      </c>
      <c r="E5" s="43">
        <v>0.9166666666666666</v>
      </c>
      <c r="F5" s="43">
        <v>0.29444444444444445</v>
      </c>
      <c r="G5" s="70" t="s">
        <v>416</v>
      </c>
      <c r="H5" s="70"/>
      <c r="I5" s="70"/>
    </row>
    <row r="6">
      <c r="A6" s="177">
        <v>42986.0</v>
      </c>
      <c r="B6" s="43" t="str">
        <f>VLOOKUP(A6,Table!A:D,4,false)</f>
        <v>Period 1</v>
      </c>
      <c r="C6" s="43">
        <v>0.2611111111111111</v>
      </c>
      <c r="D6" s="43">
        <v>0.2923611111111111</v>
      </c>
      <c r="E6" s="43">
        <v>0.9166666666666666</v>
      </c>
      <c r="F6" s="43">
        <v>0.35</v>
      </c>
      <c r="G6" s="70" t="s">
        <v>416</v>
      </c>
      <c r="H6" s="70"/>
      <c r="I6" s="70"/>
    </row>
    <row r="7">
      <c r="A7" s="177">
        <v>42987.0</v>
      </c>
      <c r="B7" s="43" t="str">
        <f>VLOOKUP(A7,Table!A:D,4,false)</f>
        <v>Period 1</v>
      </c>
      <c r="C7" s="43">
        <v>0.12222222222222222</v>
      </c>
      <c r="D7" s="43">
        <v>0.1375</v>
      </c>
      <c r="E7" s="43">
        <v>0.9166666666666666</v>
      </c>
      <c r="F7" s="43">
        <v>0.19652777777777777</v>
      </c>
      <c r="G7" s="70" t="s">
        <v>415</v>
      </c>
      <c r="H7" s="70"/>
      <c r="I7" s="70"/>
    </row>
    <row r="8">
      <c r="A8" s="177">
        <v>42988.0</v>
      </c>
      <c r="B8" s="43" t="str">
        <f>VLOOKUP(A8,Table!A:D,4,false)</f>
        <v>Period 1</v>
      </c>
      <c r="C8" s="43">
        <v>0.14791666666666667</v>
      </c>
      <c r="D8" s="43">
        <v>0.16041666666666668</v>
      </c>
      <c r="E8" s="43">
        <v>0.9166666666666666</v>
      </c>
      <c r="F8" s="43">
        <v>0.21597222222222223</v>
      </c>
      <c r="G8" s="70" t="s">
        <v>415</v>
      </c>
      <c r="H8" s="70"/>
      <c r="I8" s="70"/>
    </row>
    <row r="9">
      <c r="A9" s="177">
        <v>42989.0</v>
      </c>
      <c r="B9" s="43" t="str">
        <f>VLOOKUP(A9,Table!A:D,4,false)</f>
        <v>Period 1</v>
      </c>
      <c r="C9" s="43">
        <v>0.1375</v>
      </c>
      <c r="D9" s="43">
        <v>0.16527777777777777</v>
      </c>
      <c r="E9" s="43">
        <v>0.9166666666666666</v>
      </c>
      <c r="F9" s="43">
        <v>0.20972222222222223</v>
      </c>
      <c r="G9" s="70" t="s">
        <v>415</v>
      </c>
      <c r="H9" s="70"/>
      <c r="I9" s="70"/>
    </row>
    <row r="10">
      <c r="A10" s="177">
        <v>42990.0</v>
      </c>
      <c r="B10" s="43" t="str">
        <f>VLOOKUP(A10,Table!A:D,4,false)</f>
        <v>Period 1</v>
      </c>
      <c r="C10" s="43">
        <v>0.1597222222222222</v>
      </c>
      <c r="D10" s="43">
        <v>0.18472222222222223</v>
      </c>
      <c r="E10" s="43">
        <v>0.9166666666666666</v>
      </c>
      <c r="F10" s="43">
        <v>0.23472222222222222</v>
      </c>
      <c r="G10" s="70" t="s">
        <v>415</v>
      </c>
      <c r="H10" s="70"/>
      <c r="I10" s="70"/>
    </row>
    <row r="11">
      <c r="A11" s="177">
        <v>42991.0</v>
      </c>
      <c r="B11" s="43" t="str">
        <f>VLOOKUP(A11,Table!A:D,4,false)</f>
        <v>Period 1</v>
      </c>
      <c r="C11" s="43">
        <v>0.14722222222222223</v>
      </c>
      <c r="D11" s="43">
        <v>0.1763888888888889</v>
      </c>
      <c r="E11" s="43">
        <v>0.9166666666666666</v>
      </c>
      <c r="F11" s="43">
        <v>0.23125</v>
      </c>
      <c r="G11" s="70" t="s">
        <v>415</v>
      </c>
      <c r="H11" s="70"/>
      <c r="I11" s="70"/>
    </row>
    <row r="12">
      <c r="A12" s="177">
        <v>42992.0</v>
      </c>
      <c r="B12" s="43" t="str">
        <f>VLOOKUP(A12,Table!A:D,4,false)</f>
        <v>Period 1</v>
      </c>
      <c r="C12" s="43">
        <v>0.13472222222222222</v>
      </c>
      <c r="D12" s="43">
        <v>0.17847222222222223</v>
      </c>
      <c r="E12" s="43">
        <v>0.9166666666666666</v>
      </c>
      <c r="F12" s="43">
        <v>0.24791666666666667</v>
      </c>
      <c r="G12" s="70" t="s">
        <v>415</v>
      </c>
      <c r="H12" s="70"/>
      <c r="I12" s="70"/>
    </row>
    <row r="13">
      <c r="A13" s="177">
        <v>42993.0</v>
      </c>
      <c r="B13" s="43" t="str">
        <f>VLOOKUP(A13,Table!A:D,4,false)</f>
        <v>Period 1</v>
      </c>
      <c r="C13" s="43">
        <v>0.11041666666666666</v>
      </c>
      <c r="D13" s="43">
        <v>0.13333333333333333</v>
      </c>
      <c r="E13" s="43">
        <v>0.9166666666666666</v>
      </c>
      <c r="F13" s="43">
        <v>0.2</v>
      </c>
      <c r="G13" s="70" t="s">
        <v>415</v>
      </c>
      <c r="H13" s="70"/>
      <c r="I13" s="70"/>
    </row>
    <row r="14">
      <c r="A14" s="177">
        <v>42994.0</v>
      </c>
      <c r="B14" s="43" t="str">
        <f>VLOOKUP(A14,Table!A:D,4,false)</f>
        <v>Period 1</v>
      </c>
      <c r="C14" s="43">
        <v>0.23680555555555555</v>
      </c>
      <c r="D14" s="43">
        <v>0.24930555555555556</v>
      </c>
      <c r="E14" s="43">
        <v>0.9166666666666666</v>
      </c>
      <c r="F14" s="43">
        <v>0.3034722222222222</v>
      </c>
      <c r="G14" s="70" t="s">
        <v>416</v>
      </c>
      <c r="H14" s="70"/>
      <c r="I14" s="70"/>
    </row>
    <row r="15">
      <c r="A15" s="177">
        <v>42995.0</v>
      </c>
      <c r="B15" s="43" t="str">
        <f>VLOOKUP(A15,Table!A:D,4,false)</f>
        <v>Period 1</v>
      </c>
      <c r="C15" s="43">
        <v>0.2048611111111111</v>
      </c>
      <c r="D15" s="43">
        <v>0.22430555555555556</v>
      </c>
      <c r="E15" s="43">
        <v>0.9166666666666666</v>
      </c>
      <c r="F15" s="43">
        <v>0.2708333333333333</v>
      </c>
      <c r="G15" s="70" t="s">
        <v>415</v>
      </c>
      <c r="H15" s="70"/>
      <c r="I15" s="70"/>
    </row>
    <row r="16">
      <c r="A16" s="177">
        <v>42996.0</v>
      </c>
      <c r="B16" s="43" t="str">
        <f>VLOOKUP(A16,Table!A:D,4,false)</f>
        <v>Period 1</v>
      </c>
      <c r="C16" s="43">
        <v>0.10902777777777778</v>
      </c>
      <c r="D16" s="43">
        <v>0.13819444444444445</v>
      </c>
      <c r="E16" s="43">
        <v>0.9166666666666666</v>
      </c>
      <c r="F16" s="43">
        <v>0.19375</v>
      </c>
      <c r="G16" s="70" t="s">
        <v>415</v>
      </c>
      <c r="H16" s="70"/>
      <c r="I16" s="70"/>
    </row>
    <row r="17">
      <c r="A17" s="177">
        <v>42997.0</v>
      </c>
      <c r="B17" s="43" t="str">
        <f>VLOOKUP(A17,Table!A:D,4,false)</f>
        <v>Period 1</v>
      </c>
      <c r="C17" s="43">
        <v>0.17847222222222223</v>
      </c>
      <c r="D17" s="43">
        <v>0.20833333333333334</v>
      </c>
      <c r="E17" s="43">
        <v>0.9166666666666666</v>
      </c>
      <c r="F17" s="43">
        <v>0.3090277777777778</v>
      </c>
      <c r="G17" s="70" t="s">
        <v>416</v>
      </c>
      <c r="H17" s="70"/>
      <c r="I17" s="70"/>
    </row>
    <row r="18">
      <c r="A18" s="177">
        <v>42998.0</v>
      </c>
      <c r="B18" s="43" t="str">
        <f>VLOOKUP(A18,Table!A:D,4,false)</f>
        <v>Period 1</v>
      </c>
      <c r="C18" s="43">
        <v>0.16805555555555557</v>
      </c>
      <c r="D18" s="43">
        <v>0.24722222222222223</v>
      </c>
      <c r="E18" s="43">
        <v>0.9166666666666666</v>
      </c>
      <c r="F18" s="43">
        <v>0.3125</v>
      </c>
      <c r="G18" s="70" t="s">
        <v>416</v>
      </c>
      <c r="H18" s="70"/>
      <c r="I18" s="70"/>
    </row>
    <row r="19">
      <c r="A19" s="177">
        <v>42999.0</v>
      </c>
      <c r="B19" s="43" t="str">
        <f>VLOOKUP(A19,Table!A:D,4,false)</f>
        <v>Period 1</v>
      </c>
      <c r="C19" s="43">
        <v>0.125</v>
      </c>
      <c r="D19" s="43">
        <v>0.15</v>
      </c>
      <c r="E19" s="43">
        <v>0.9166666666666666</v>
      </c>
      <c r="F19" s="43">
        <v>0.21944444444444444</v>
      </c>
      <c r="G19" s="70" t="s">
        <v>415</v>
      </c>
      <c r="H19" s="70"/>
      <c r="I19" s="70"/>
    </row>
    <row r="20">
      <c r="A20" s="177">
        <v>43000.0</v>
      </c>
      <c r="B20" s="43" t="str">
        <f>VLOOKUP(A20,Table!A:D,4,false)</f>
        <v>Period 1</v>
      </c>
      <c r="C20" s="43">
        <v>0.13958333333333334</v>
      </c>
      <c r="D20" s="43">
        <v>0.16875</v>
      </c>
      <c r="E20" s="43">
        <v>0.9166666666666666</v>
      </c>
      <c r="F20" s="43">
        <v>0.2375</v>
      </c>
      <c r="G20" s="70" t="s">
        <v>415</v>
      </c>
      <c r="H20" s="70"/>
      <c r="I20" s="70"/>
    </row>
    <row r="21">
      <c r="A21" s="177">
        <v>43001.0</v>
      </c>
      <c r="B21" s="43" t="str">
        <f>VLOOKUP(A21,Table!A:D,4,false)</f>
        <v>Period 1</v>
      </c>
      <c r="C21" s="43">
        <v>0.14930555555555555</v>
      </c>
      <c r="D21" s="43">
        <v>0.16458333333333333</v>
      </c>
      <c r="E21" s="43">
        <v>0.9166666666666666</v>
      </c>
      <c r="F21" s="43">
        <v>0.27569444444444446</v>
      </c>
      <c r="G21" s="70" t="s">
        <v>416</v>
      </c>
      <c r="H21" s="70"/>
      <c r="I21" s="70"/>
    </row>
    <row r="22">
      <c r="A22" s="177">
        <v>43002.0</v>
      </c>
      <c r="B22" s="43" t="str">
        <f>VLOOKUP(A22,Table!A:D,4,false)</f>
        <v>Period 1</v>
      </c>
      <c r="C22" s="43">
        <v>0.1451388888888889</v>
      </c>
      <c r="D22" s="43">
        <v>0.17291666666666666</v>
      </c>
      <c r="E22" s="43">
        <v>0.9166666666666666</v>
      </c>
      <c r="F22" s="43">
        <v>0.2152777777777778</v>
      </c>
      <c r="G22" s="70" t="s">
        <v>415</v>
      </c>
      <c r="H22" s="70"/>
      <c r="I22" s="70"/>
    </row>
    <row r="23">
      <c r="A23" s="177">
        <v>43003.0</v>
      </c>
      <c r="B23" s="43" t="str">
        <f>VLOOKUP(A23,Table!A:D,4,false)</f>
        <v>Period 1</v>
      </c>
      <c r="C23" s="43">
        <v>0.11041666666666666</v>
      </c>
      <c r="D23" s="43">
        <v>0.13333333333333333</v>
      </c>
      <c r="E23" s="43">
        <v>0.9166666666666666</v>
      </c>
      <c r="F23" s="43">
        <v>0.1909722222222222</v>
      </c>
      <c r="G23" s="70" t="s">
        <v>415</v>
      </c>
      <c r="H23" s="70"/>
      <c r="I23" s="70"/>
    </row>
    <row r="24">
      <c r="A24" s="177">
        <v>43004.0</v>
      </c>
      <c r="B24" s="43" t="str">
        <f>VLOOKUP(A24,Table!A:D,4,false)</f>
        <v>Period 1</v>
      </c>
      <c r="C24" s="43">
        <v>0.11597222222222223</v>
      </c>
      <c r="D24" s="43">
        <v>0.15208333333333332</v>
      </c>
      <c r="E24" s="43">
        <v>0.9166666666666666</v>
      </c>
      <c r="F24" s="43">
        <v>0.20625</v>
      </c>
      <c r="G24" s="70" t="s">
        <v>415</v>
      </c>
      <c r="H24" s="70"/>
      <c r="I24" s="70"/>
    </row>
    <row r="25">
      <c r="A25" s="177">
        <v>43005.0</v>
      </c>
      <c r="B25" s="43" t="str">
        <f>VLOOKUP(A25,Table!A:D,4,false)</f>
        <v>Period 1</v>
      </c>
      <c r="C25" s="43">
        <v>0.12569444444444444</v>
      </c>
      <c r="D25" s="43">
        <v>0.1451388888888889</v>
      </c>
      <c r="E25" s="43">
        <v>0.9166666666666666</v>
      </c>
      <c r="F25" s="43">
        <v>0.20972222222222223</v>
      </c>
      <c r="G25" s="70" t="s">
        <v>415</v>
      </c>
      <c r="H25" s="70"/>
      <c r="I25" s="70"/>
    </row>
    <row r="26">
      <c r="A26" s="177">
        <v>43006.0</v>
      </c>
      <c r="B26" s="43" t="str">
        <f>VLOOKUP(A26,Table!A:D,4,false)</f>
        <v>Period 1</v>
      </c>
      <c r="C26" s="43">
        <v>0.12013888888888889</v>
      </c>
      <c r="D26" s="43">
        <v>0.1951388888888889</v>
      </c>
      <c r="E26" s="43">
        <v>0.9166666666666666</v>
      </c>
      <c r="F26" s="43">
        <v>0.2388888888888889</v>
      </c>
      <c r="G26" s="70" t="s">
        <v>415</v>
      </c>
      <c r="H26" s="70"/>
      <c r="I26" s="70"/>
    </row>
    <row r="27">
      <c r="A27" s="177">
        <v>43007.0</v>
      </c>
      <c r="B27" s="43" t="str">
        <f>VLOOKUP(A27,Table!A:D,4,false)</f>
        <v>Period 1</v>
      </c>
      <c r="C27" s="43">
        <v>0.18055555555555555</v>
      </c>
      <c r="D27" s="43">
        <v>0.20972222222222223</v>
      </c>
      <c r="E27" s="43">
        <v>0.9166666666666666</v>
      </c>
      <c r="F27" s="43">
        <v>0.29444444444444445</v>
      </c>
      <c r="G27" s="70" t="s">
        <v>416</v>
      </c>
      <c r="H27" s="70"/>
      <c r="I27" s="70"/>
    </row>
    <row r="28">
      <c r="A28" s="177">
        <v>43008.0</v>
      </c>
      <c r="B28" s="43" t="str">
        <f>VLOOKUP(A28,Table!A:D,4,false)</f>
        <v>Period 1</v>
      </c>
      <c r="C28" s="43">
        <v>0.17083333333333334</v>
      </c>
      <c r="D28" s="43">
        <v>0.1840277777777778</v>
      </c>
      <c r="E28" s="43">
        <v>0.9166666666666666</v>
      </c>
      <c r="F28" s="43">
        <v>0.2423611111111111</v>
      </c>
      <c r="G28" s="70" t="s">
        <v>415</v>
      </c>
      <c r="H28" s="70"/>
      <c r="I28" s="70"/>
    </row>
    <row r="29">
      <c r="A29" s="177">
        <v>43009.0</v>
      </c>
      <c r="B29" s="43" t="str">
        <f>VLOOKUP(A29,Table!A:D,4,false)</f>
        <v>Period 1</v>
      </c>
      <c r="C29" s="43">
        <v>0.22013888888888888</v>
      </c>
      <c r="D29" s="43">
        <v>0.24166666666666667</v>
      </c>
      <c r="E29" s="43">
        <v>0.9166666666666666</v>
      </c>
      <c r="F29" s="43">
        <v>0.3034722222222222</v>
      </c>
      <c r="G29" s="70" t="s">
        <v>416</v>
      </c>
      <c r="H29" s="70"/>
      <c r="I29" s="70"/>
    </row>
    <row r="30">
      <c r="A30" s="177">
        <v>43010.0</v>
      </c>
      <c r="B30" s="43" t="str">
        <f>VLOOKUP(A30,Table!A:D,4,false)</f>
        <v>Period 2</v>
      </c>
      <c r="C30" s="43">
        <v>0.12569444444444444</v>
      </c>
      <c r="D30" s="43">
        <v>0.1597222222222222</v>
      </c>
      <c r="E30" s="43">
        <v>0.9166666666666666</v>
      </c>
      <c r="F30" s="43">
        <v>0.22013888888888888</v>
      </c>
      <c r="G30" s="70" t="s">
        <v>415</v>
      </c>
      <c r="H30" s="70"/>
      <c r="I30" s="70"/>
    </row>
    <row r="31">
      <c r="A31" s="177">
        <v>43011.0</v>
      </c>
      <c r="B31" s="43" t="str">
        <f>VLOOKUP(A31,Table!A:D,4,false)</f>
        <v>Period 2</v>
      </c>
      <c r="C31" s="43">
        <v>0.14722222222222223</v>
      </c>
      <c r="D31" s="43">
        <v>0.17916666666666667</v>
      </c>
      <c r="E31" s="43">
        <v>0.9166666666666666</v>
      </c>
      <c r="F31" s="43">
        <v>0.2534722222222222</v>
      </c>
      <c r="G31" s="70" t="s">
        <v>415</v>
      </c>
      <c r="H31" s="70"/>
      <c r="I31" s="70"/>
    </row>
    <row r="32">
      <c r="A32" s="177">
        <v>43012.0</v>
      </c>
      <c r="B32" s="43" t="str">
        <f>VLOOKUP(A32,Table!A:D,4,false)</f>
        <v>Period 2</v>
      </c>
      <c r="C32" s="43">
        <v>0.10625</v>
      </c>
      <c r="D32" s="43">
        <v>0.14375</v>
      </c>
      <c r="E32" s="43">
        <v>0.9166666666666666</v>
      </c>
      <c r="F32" s="43">
        <v>0.23541666666666666</v>
      </c>
      <c r="G32" s="70" t="s">
        <v>415</v>
      </c>
      <c r="H32" s="70"/>
      <c r="I32" s="70"/>
    </row>
    <row r="33">
      <c r="A33" s="177">
        <v>43013.0</v>
      </c>
      <c r="B33" s="43" t="str">
        <f>VLOOKUP(A33,Table!A:D,4,false)</f>
        <v>Period 2</v>
      </c>
      <c r="C33" s="43">
        <v>0.10694444444444444</v>
      </c>
      <c r="D33" s="43">
        <v>0.13194444444444445</v>
      </c>
      <c r="E33" s="43">
        <v>0.9166666666666666</v>
      </c>
      <c r="F33" s="43">
        <v>0.20416666666666666</v>
      </c>
      <c r="G33" s="70" t="s">
        <v>415</v>
      </c>
      <c r="H33" s="70"/>
      <c r="I33" s="70"/>
    </row>
    <row r="34">
      <c r="A34" s="177">
        <v>43014.0</v>
      </c>
      <c r="B34" s="43" t="str">
        <f>VLOOKUP(A34,Table!A:D,4,false)</f>
        <v>Period 2</v>
      </c>
      <c r="C34" s="43">
        <v>0.12569444444444444</v>
      </c>
      <c r="D34" s="43">
        <v>0.1736111111111111</v>
      </c>
      <c r="E34" s="43">
        <v>0.9166666666666666</v>
      </c>
      <c r="F34" s="43">
        <v>0.24513888888888888</v>
      </c>
      <c r="G34" s="70" t="s">
        <v>415</v>
      </c>
      <c r="H34" s="70"/>
      <c r="I34" s="70"/>
    </row>
    <row r="35">
      <c r="A35" s="177">
        <v>43015.0</v>
      </c>
      <c r="B35" s="43" t="str">
        <f>VLOOKUP(A35,Table!A:D,4,false)</f>
        <v>Period 2</v>
      </c>
      <c r="C35" s="43">
        <v>0.10833333333333334</v>
      </c>
      <c r="D35" s="43">
        <v>0.12083333333333333</v>
      </c>
      <c r="E35" s="43">
        <v>0.9166666666666666</v>
      </c>
      <c r="F35" s="43">
        <v>0.18819444444444444</v>
      </c>
      <c r="G35" s="70" t="s">
        <v>415</v>
      </c>
      <c r="H35" s="70"/>
      <c r="I35" s="70"/>
    </row>
    <row r="36">
      <c r="A36" s="177">
        <v>43016.0</v>
      </c>
      <c r="B36" s="43" t="str">
        <f>VLOOKUP(A36,Table!A:D,4,false)</f>
        <v>Period 2</v>
      </c>
      <c r="C36" s="43">
        <v>0.1701388888888889</v>
      </c>
      <c r="D36" s="43">
        <v>0.19166666666666668</v>
      </c>
      <c r="E36" s="43">
        <v>0.9166666666666666</v>
      </c>
      <c r="F36" s="43">
        <v>0.23819444444444443</v>
      </c>
      <c r="G36" s="70" t="s">
        <v>415</v>
      </c>
      <c r="H36" s="70"/>
      <c r="I36" s="70"/>
    </row>
    <row r="37">
      <c r="A37" s="177">
        <v>43017.0</v>
      </c>
      <c r="B37" s="43" t="str">
        <f>VLOOKUP(A37,Table!A:D,4,false)</f>
        <v>Period 2</v>
      </c>
      <c r="C37" s="43">
        <v>0.12916666666666668</v>
      </c>
      <c r="D37" s="43">
        <v>0.14375</v>
      </c>
      <c r="E37" s="43">
        <v>0.9166666666666666</v>
      </c>
      <c r="F37" s="43">
        <v>0.2125</v>
      </c>
      <c r="G37" s="70" t="s">
        <v>415</v>
      </c>
      <c r="H37" s="70"/>
      <c r="I37" s="70"/>
    </row>
    <row r="38">
      <c r="A38" s="177">
        <v>43018.0</v>
      </c>
      <c r="B38" s="43" t="str">
        <f>VLOOKUP(A38,Table!A:D,4,false)</f>
        <v>Period 2</v>
      </c>
      <c r="C38" s="43">
        <v>0.11458333333333333</v>
      </c>
      <c r="D38" s="43">
        <v>0.13819444444444445</v>
      </c>
      <c r="E38" s="43">
        <v>0.9166666666666666</v>
      </c>
      <c r="F38" s="43">
        <v>0.3333333333333333</v>
      </c>
      <c r="G38" s="70" t="s">
        <v>416</v>
      </c>
      <c r="H38" s="70"/>
      <c r="I38" s="70"/>
    </row>
    <row r="39">
      <c r="A39" s="177">
        <v>43019.0</v>
      </c>
      <c r="B39" s="43" t="str">
        <f>VLOOKUP(A39,Table!A:D,4,false)</f>
        <v>Period 2</v>
      </c>
      <c r="C39" s="43">
        <v>0.11597222222222223</v>
      </c>
      <c r="D39" s="43">
        <v>0.14166666666666666</v>
      </c>
      <c r="E39" s="43">
        <v>0.9166666666666666</v>
      </c>
      <c r="F39" s="43">
        <v>0.21875</v>
      </c>
      <c r="G39" s="70" t="s">
        <v>415</v>
      </c>
      <c r="H39" s="70"/>
      <c r="I39" s="70"/>
    </row>
    <row r="40">
      <c r="A40" s="177">
        <v>43020.0</v>
      </c>
      <c r="B40" s="43" t="str">
        <f>VLOOKUP(A40,Table!A:D,4,false)</f>
        <v>Period 2</v>
      </c>
      <c r="C40" s="43">
        <v>0.12152777777777778</v>
      </c>
      <c r="D40" s="43">
        <v>0.14652777777777778</v>
      </c>
      <c r="E40" s="43">
        <v>0.9166666666666666</v>
      </c>
      <c r="F40" s="43">
        <v>0.22291666666666668</v>
      </c>
      <c r="G40" s="70" t="s">
        <v>415</v>
      </c>
      <c r="H40" s="70"/>
      <c r="I40" s="70"/>
    </row>
    <row r="41">
      <c r="A41" s="177">
        <v>43021.0</v>
      </c>
      <c r="B41" s="43" t="str">
        <f>VLOOKUP(A41,Table!A:D,4,false)</f>
        <v>Period 2</v>
      </c>
      <c r="C41" s="43">
        <v>0.1326388888888889</v>
      </c>
      <c r="D41" s="43">
        <v>0.1597222222222222</v>
      </c>
      <c r="E41" s="43">
        <v>0.9166666666666666</v>
      </c>
      <c r="F41" s="43">
        <v>0.3263888888888889</v>
      </c>
      <c r="G41" s="70" t="s">
        <v>416</v>
      </c>
      <c r="H41" s="70"/>
      <c r="I41" s="70"/>
    </row>
    <row r="42">
      <c r="A42" s="177">
        <v>43022.0</v>
      </c>
      <c r="B42" s="43" t="str">
        <f>VLOOKUP(A42,Table!A:D,4,false)</f>
        <v>Period 2</v>
      </c>
      <c r="C42" s="43">
        <v>0.12708333333333333</v>
      </c>
      <c r="D42" s="43">
        <v>0.14444444444444443</v>
      </c>
      <c r="E42" s="43">
        <v>0.9166666666666666</v>
      </c>
      <c r="F42" s="43">
        <v>0.20208333333333334</v>
      </c>
      <c r="G42" s="70" t="s">
        <v>415</v>
      </c>
      <c r="H42" s="70"/>
      <c r="I42" s="70"/>
    </row>
    <row r="43">
      <c r="A43" s="177">
        <v>43023.0</v>
      </c>
      <c r="B43" s="43" t="str">
        <f>VLOOKUP(A43,Table!A:D,4,false)</f>
        <v>Period 2</v>
      </c>
      <c r="C43" s="43">
        <v>0.15069444444444444</v>
      </c>
      <c r="D43" s="43">
        <v>0.17847222222222223</v>
      </c>
      <c r="E43" s="43">
        <v>0.9166666666666666</v>
      </c>
      <c r="F43" s="43">
        <v>0.22291666666666668</v>
      </c>
      <c r="G43" s="70" t="s">
        <v>415</v>
      </c>
      <c r="H43" s="70"/>
      <c r="I43" s="70"/>
    </row>
    <row r="44">
      <c r="A44" s="177">
        <v>43024.0</v>
      </c>
      <c r="B44" s="43" t="str">
        <f>VLOOKUP(A44,Table!A:D,4,false)</f>
        <v>Period 2</v>
      </c>
      <c r="C44" s="43">
        <v>0.10833333333333334</v>
      </c>
      <c r="D44" s="43">
        <v>0.21458333333333332</v>
      </c>
      <c r="E44" s="43">
        <v>0.9166666666666666</v>
      </c>
      <c r="F44" s="43">
        <v>0.3236111111111111</v>
      </c>
      <c r="G44" s="70" t="s">
        <v>416</v>
      </c>
      <c r="H44" s="70"/>
      <c r="I44" s="70"/>
    </row>
    <row r="45">
      <c r="A45" s="177">
        <v>43025.0</v>
      </c>
      <c r="B45" s="43" t="str">
        <f>VLOOKUP(A45,Table!A:D,4,false)</f>
        <v>Period 2</v>
      </c>
      <c r="C45" s="43">
        <v>0.14097222222222222</v>
      </c>
      <c r="D45" s="43">
        <v>0.17222222222222222</v>
      </c>
      <c r="E45" s="43">
        <v>0.9166666666666666</v>
      </c>
      <c r="F45" s="43">
        <v>0.2708333333333333</v>
      </c>
      <c r="G45" s="70" t="s">
        <v>415</v>
      </c>
      <c r="H45" s="70"/>
      <c r="I45" s="70"/>
    </row>
    <row r="46">
      <c r="A46" s="177">
        <v>43026.0</v>
      </c>
      <c r="B46" s="43" t="str">
        <f>VLOOKUP(A46,Table!A:D,4,false)</f>
        <v>Period 2</v>
      </c>
      <c r="C46" s="43">
        <v>0.12638888888888888</v>
      </c>
      <c r="D46" s="43">
        <v>0.15555555555555556</v>
      </c>
      <c r="E46" s="43">
        <v>0.9166666666666666</v>
      </c>
      <c r="F46" s="43">
        <v>0.22430555555555556</v>
      </c>
      <c r="G46" s="70" t="s">
        <v>415</v>
      </c>
      <c r="H46" s="70"/>
      <c r="I46" s="70"/>
    </row>
    <row r="47">
      <c r="A47" s="177">
        <v>43027.0</v>
      </c>
      <c r="B47" s="43" t="str">
        <f>VLOOKUP(A47,Table!A:D,4,false)</f>
        <v>Period 2</v>
      </c>
      <c r="C47" s="43">
        <v>0.11319444444444444</v>
      </c>
      <c r="D47" s="43">
        <v>0.14652777777777778</v>
      </c>
      <c r="E47" s="43">
        <v>0.9166666666666666</v>
      </c>
      <c r="F47" s="43">
        <v>0.2048611111111111</v>
      </c>
      <c r="G47" s="70" t="s">
        <v>415</v>
      </c>
      <c r="H47" s="70"/>
      <c r="I47" s="70"/>
    </row>
    <row r="48">
      <c r="A48" s="177">
        <v>43028.0</v>
      </c>
      <c r="B48" s="43" t="str">
        <f>VLOOKUP(A48,Table!A:D,4,false)</f>
        <v>Period 2</v>
      </c>
      <c r="C48" s="43">
        <v>0.11319444444444444</v>
      </c>
      <c r="D48" s="43">
        <v>0.13680555555555557</v>
      </c>
      <c r="E48" s="43">
        <v>0.9166666666666666</v>
      </c>
      <c r="F48" s="43">
        <v>0.20625</v>
      </c>
      <c r="G48" s="70" t="s">
        <v>415</v>
      </c>
      <c r="H48" s="70"/>
      <c r="I48" s="70"/>
    </row>
    <row r="49">
      <c r="A49" s="177">
        <v>43029.0</v>
      </c>
      <c r="B49" s="43" t="str">
        <f>VLOOKUP(A49,Table!A:D,4,false)</f>
        <v>Period 2</v>
      </c>
      <c r="C49" s="43">
        <v>0.12013888888888889</v>
      </c>
      <c r="D49" s="43">
        <v>0.13541666666666666</v>
      </c>
      <c r="E49" s="43">
        <v>0.9166666666666666</v>
      </c>
      <c r="F49" s="43">
        <v>0.20069444444444445</v>
      </c>
      <c r="G49" s="70" t="s">
        <v>415</v>
      </c>
      <c r="H49" s="70"/>
      <c r="I49" s="70"/>
    </row>
    <row r="50">
      <c r="A50" s="177">
        <v>43030.0</v>
      </c>
      <c r="B50" s="43" t="str">
        <f>VLOOKUP(A50,Table!A:D,4,false)</f>
        <v>Period 2</v>
      </c>
      <c r="C50" s="43">
        <v>0.1375</v>
      </c>
      <c r="D50" s="43">
        <v>0.25555555555555554</v>
      </c>
      <c r="E50" s="43">
        <v>0.9166666666666666</v>
      </c>
      <c r="F50" s="43">
        <v>0.28680555555555554</v>
      </c>
      <c r="G50" s="70" t="s">
        <v>416</v>
      </c>
      <c r="H50" s="70"/>
      <c r="I50" s="70"/>
    </row>
    <row r="51">
      <c r="A51" s="177">
        <v>43031.0</v>
      </c>
      <c r="B51" s="43" t="str">
        <f>VLOOKUP(A51,Table!A:D,4,false)</f>
        <v>Period 2</v>
      </c>
      <c r="C51" s="43">
        <v>0.10972222222222222</v>
      </c>
      <c r="D51" s="43">
        <v>0.15</v>
      </c>
      <c r="E51" s="43">
        <v>0.9166666666666666</v>
      </c>
      <c r="F51" s="43">
        <v>0.19791666666666666</v>
      </c>
      <c r="G51" s="70" t="s">
        <v>415</v>
      </c>
      <c r="H51" s="70"/>
      <c r="I51" s="70"/>
    </row>
    <row r="52">
      <c r="A52" s="177">
        <v>43032.0</v>
      </c>
      <c r="B52" s="43" t="str">
        <f>VLOOKUP(A52,Table!A:D,4,false)</f>
        <v>Period 2</v>
      </c>
      <c r="C52" s="43">
        <v>0.1486111111111111</v>
      </c>
      <c r="D52" s="43">
        <v>0.1798611111111111</v>
      </c>
      <c r="E52" s="43">
        <v>0.9166666666666666</v>
      </c>
      <c r="F52" s="43">
        <v>0.25069444444444444</v>
      </c>
      <c r="G52" s="70" t="s">
        <v>415</v>
      </c>
      <c r="H52" s="70"/>
      <c r="I52" s="70"/>
    </row>
    <row r="53">
      <c r="A53" s="177">
        <v>43033.0</v>
      </c>
      <c r="B53" s="43" t="str">
        <f>VLOOKUP(A53,Table!A:D,4,false)</f>
        <v>Period 2</v>
      </c>
      <c r="C53" s="43">
        <v>0.11041666666666666</v>
      </c>
      <c r="D53" s="43">
        <v>0.14652777777777778</v>
      </c>
      <c r="E53" s="43">
        <v>0.9166666666666666</v>
      </c>
      <c r="F53" s="43">
        <v>0.23958333333333334</v>
      </c>
      <c r="G53" s="70" t="s">
        <v>415</v>
      </c>
      <c r="H53" s="70"/>
      <c r="I53" s="70"/>
    </row>
    <row r="54">
      <c r="A54" s="177">
        <v>43034.0</v>
      </c>
      <c r="B54" s="43" t="str">
        <f>VLOOKUP(A54,Table!A:D,4,false)</f>
        <v>Period 2</v>
      </c>
      <c r="C54" s="43">
        <v>0.11041666666666666</v>
      </c>
      <c r="D54" s="43">
        <v>0.1486111111111111</v>
      </c>
      <c r="E54" s="43">
        <v>0.9166666666666666</v>
      </c>
      <c r="F54" s="43">
        <v>0.20694444444444443</v>
      </c>
      <c r="G54" s="70" t="s">
        <v>415</v>
      </c>
      <c r="H54" s="70"/>
      <c r="I54" s="70"/>
    </row>
    <row r="55">
      <c r="A55" s="177">
        <v>43035.0</v>
      </c>
      <c r="B55" s="43" t="str">
        <f>VLOOKUP(A55,Table!A:D,4,false)</f>
        <v>Period 2</v>
      </c>
      <c r="C55" s="43">
        <v>0.11041666666666666</v>
      </c>
      <c r="D55" s="43">
        <v>0.13819444444444445</v>
      </c>
      <c r="E55" s="43">
        <v>0.9166666666666666</v>
      </c>
      <c r="F55" s="43">
        <v>0.22013888888888888</v>
      </c>
      <c r="G55" s="70" t="s">
        <v>415</v>
      </c>
      <c r="H55" s="70"/>
      <c r="I55" s="70"/>
    </row>
    <row r="56">
      <c r="A56" s="177">
        <v>43036.0</v>
      </c>
      <c r="B56" s="43" t="str">
        <f>VLOOKUP(A56,Table!A:D,4,false)</f>
        <v>Period 2</v>
      </c>
      <c r="C56" s="43">
        <v>0.125</v>
      </c>
      <c r="D56" s="43">
        <v>0.1423611111111111</v>
      </c>
      <c r="E56" s="43">
        <v>0.9166666666666666</v>
      </c>
      <c r="F56" s="43">
        <v>0.19722222222222222</v>
      </c>
      <c r="G56" s="70" t="s">
        <v>415</v>
      </c>
      <c r="H56" s="70"/>
      <c r="I56" s="70"/>
    </row>
    <row r="57">
      <c r="A57" s="177">
        <v>43037.0</v>
      </c>
      <c r="B57" s="43" t="str">
        <f>VLOOKUP(A57,Table!A:D,4,false)</f>
        <v>Period 2</v>
      </c>
      <c r="C57" s="43">
        <v>0.16875</v>
      </c>
      <c r="D57" s="43">
        <v>0.23541666666666666</v>
      </c>
      <c r="E57" s="43">
        <v>0.9166666666666666</v>
      </c>
      <c r="F57" s="43">
        <v>0.2722222222222222</v>
      </c>
      <c r="G57" s="70" t="s">
        <v>416</v>
      </c>
      <c r="H57" s="70"/>
      <c r="I57" s="70"/>
    </row>
    <row r="58">
      <c r="A58" s="177">
        <v>43038.0</v>
      </c>
      <c r="B58" s="43" t="str">
        <f>VLOOKUP(A58,Table!A:D,4,false)</f>
        <v>Period 3</v>
      </c>
      <c r="C58" s="43">
        <v>0.1326388888888889</v>
      </c>
      <c r="D58" s="43">
        <v>0.1625</v>
      </c>
      <c r="E58" s="43">
        <v>0.9166666666666666</v>
      </c>
      <c r="F58" s="43">
        <v>0.2534722222222222</v>
      </c>
      <c r="G58" s="70" t="s">
        <v>415</v>
      </c>
      <c r="H58" s="70"/>
      <c r="I58" s="70"/>
    </row>
    <row r="59">
      <c r="A59" s="177">
        <v>43039.0</v>
      </c>
      <c r="B59" s="43" t="str">
        <f>VLOOKUP(A59,Table!A:D,4,false)</f>
        <v>Period 3</v>
      </c>
      <c r="C59" s="43">
        <v>0.1451388888888889</v>
      </c>
      <c r="D59" s="43">
        <v>0.21388888888888888</v>
      </c>
      <c r="E59" s="43">
        <v>0.9166666666666666</v>
      </c>
      <c r="F59" s="43">
        <v>0.30694444444444446</v>
      </c>
      <c r="G59" s="70" t="s">
        <v>416</v>
      </c>
      <c r="H59" s="70"/>
      <c r="I59" s="70"/>
    </row>
    <row r="60">
      <c r="A60" s="177">
        <v>43040.0</v>
      </c>
      <c r="B60" s="43" t="str">
        <f>VLOOKUP(A60,Table!A:D,4,false)</f>
        <v>Period 3</v>
      </c>
      <c r="C60" s="43">
        <v>0.14444444444444443</v>
      </c>
      <c r="D60" s="43">
        <v>0.17569444444444443</v>
      </c>
      <c r="E60" s="43">
        <v>0.9166666666666666</v>
      </c>
      <c r="F60" s="43">
        <v>0.23333333333333334</v>
      </c>
      <c r="G60" s="70" t="s">
        <v>415</v>
      </c>
      <c r="H60" s="70"/>
      <c r="I60" s="70"/>
    </row>
    <row r="61">
      <c r="A61" s="177">
        <v>43041.0</v>
      </c>
      <c r="B61" s="43" t="str">
        <f>VLOOKUP(A61,Table!A:D,4,false)</f>
        <v>Period 3</v>
      </c>
      <c r="C61" s="43">
        <v>0.10833333333333334</v>
      </c>
      <c r="D61" s="43">
        <v>0.13541666666666666</v>
      </c>
      <c r="E61" s="43">
        <v>0.9166666666666666</v>
      </c>
      <c r="F61" s="43">
        <v>0.20625</v>
      </c>
      <c r="G61" s="70" t="s">
        <v>415</v>
      </c>
      <c r="H61" s="70"/>
      <c r="I61" s="70"/>
    </row>
    <row r="62">
      <c r="A62" s="177">
        <v>43042.0</v>
      </c>
      <c r="B62" s="43" t="str">
        <f>VLOOKUP(A62,Table!A:D,4,false)</f>
        <v>Period 3</v>
      </c>
      <c r="C62" s="43">
        <v>0.11944444444444445</v>
      </c>
      <c r="D62" s="43">
        <v>0.14305555555555555</v>
      </c>
      <c r="E62" s="43">
        <v>0.9166666666666666</v>
      </c>
      <c r="F62" s="43">
        <v>0.20694444444444443</v>
      </c>
      <c r="G62" s="70" t="s">
        <v>415</v>
      </c>
      <c r="H62" s="70"/>
      <c r="I62" s="70"/>
    </row>
    <row r="63">
      <c r="A63" s="177">
        <v>43043.0</v>
      </c>
      <c r="B63" s="43" t="str">
        <f>VLOOKUP(A63,Table!A:D,4,false)</f>
        <v>Period 3</v>
      </c>
      <c r="C63" s="43">
        <v>0.1527777777777778</v>
      </c>
      <c r="D63" s="43">
        <v>0.16597222222222222</v>
      </c>
      <c r="E63" s="43">
        <v>0.9166666666666666</v>
      </c>
      <c r="F63" s="43">
        <v>0.2375</v>
      </c>
      <c r="G63" s="70" t="s">
        <v>415</v>
      </c>
      <c r="H63" s="70"/>
      <c r="I63" s="70"/>
    </row>
    <row r="64">
      <c r="A64" s="177">
        <v>43044.0</v>
      </c>
      <c r="B64" s="43" t="str">
        <f>VLOOKUP(A64,Table!A:D,4,false)</f>
        <v>Period 3</v>
      </c>
      <c r="C64" s="43">
        <v>0.14444444444444443</v>
      </c>
      <c r="D64" s="43">
        <v>0.16597222222222222</v>
      </c>
      <c r="E64" s="43">
        <v>0.9166666666666666</v>
      </c>
      <c r="F64" s="43">
        <v>0.22847222222222222</v>
      </c>
      <c r="G64" s="70" t="s">
        <v>415</v>
      </c>
      <c r="H64" s="70"/>
      <c r="I64" s="70"/>
    </row>
    <row r="65">
      <c r="A65" s="177">
        <v>43045.0</v>
      </c>
      <c r="B65" s="43" t="str">
        <f>VLOOKUP(A65,Table!A:D,4,false)</f>
        <v>Period 3</v>
      </c>
      <c r="C65" s="43">
        <v>0.10833333333333334</v>
      </c>
      <c r="D65" s="43">
        <v>0.13958333333333334</v>
      </c>
      <c r="E65" s="43">
        <v>0.9166666666666666</v>
      </c>
      <c r="F65" s="43">
        <v>0.19930555555555557</v>
      </c>
      <c r="G65" s="70" t="s">
        <v>415</v>
      </c>
      <c r="H65" s="70"/>
      <c r="I65" s="70"/>
    </row>
    <row r="66">
      <c r="A66" s="177">
        <v>43046.0</v>
      </c>
      <c r="B66" s="43" t="str">
        <f>VLOOKUP(A66,Table!A:D,4,false)</f>
        <v>Period 3</v>
      </c>
      <c r="C66" s="43">
        <v>0.17777777777777778</v>
      </c>
      <c r="D66" s="43">
        <v>0.2076388888888889</v>
      </c>
      <c r="E66" s="43">
        <v>0.9166666666666666</v>
      </c>
      <c r="F66" s="43">
        <v>0.26944444444444443</v>
      </c>
      <c r="G66" s="70" t="s">
        <v>415</v>
      </c>
      <c r="H66" s="70"/>
      <c r="I66" s="70"/>
    </row>
    <row r="67">
      <c r="A67" s="177">
        <v>43047.0</v>
      </c>
      <c r="B67" s="43" t="str">
        <f>VLOOKUP(A67,Table!A:D,4,false)</f>
        <v>Period 3</v>
      </c>
      <c r="C67" s="43">
        <v>0.13680555555555557</v>
      </c>
      <c r="D67" s="43">
        <v>0.16458333333333333</v>
      </c>
      <c r="E67" s="43">
        <v>0.9166666666666666</v>
      </c>
      <c r="F67" s="43">
        <v>0.2298611111111111</v>
      </c>
      <c r="G67" s="70" t="s">
        <v>415</v>
      </c>
      <c r="H67" s="70"/>
      <c r="I67" s="70"/>
    </row>
    <row r="68">
      <c r="A68" s="177">
        <v>43048.0</v>
      </c>
      <c r="B68" s="43" t="str">
        <f>VLOOKUP(A68,Table!A:D,4,false)</f>
        <v>Period 3</v>
      </c>
      <c r="C68" s="43">
        <v>0.19236111111111112</v>
      </c>
      <c r="D68" s="43">
        <v>0.22152777777777777</v>
      </c>
      <c r="E68" s="43">
        <v>0.9166666666666666</v>
      </c>
      <c r="F68" s="43">
        <v>0.2833333333333333</v>
      </c>
      <c r="G68" s="70" t="s">
        <v>416</v>
      </c>
      <c r="H68" s="70"/>
      <c r="I68" s="70"/>
    </row>
    <row r="69">
      <c r="A69" s="177">
        <v>43049.0</v>
      </c>
      <c r="B69" s="43" t="str">
        <f>VLOOKUP(A69,Table!A:D,4,false)</f>
        <v>Period 3</v>
      </c>
      <c r="C69" s="43">
        <v>0.13680555555555557</v>
      </c>
      <c r="D69" s="43">
        <v>0.17222222222222222</v>
      </c>
      <c r="E69" s="43">
        <v>0.9166666666666666</v>
      </c>
      <c r="F69" s="43">
        <v>0.25763888888888886</v>
      </c>
      <c r="G69" s="70" t="s">
        <v>415</v>
      </c>
      <c r="H69" s="70"/>
      <c r="I69" s="70"/>
    </row>
    <row r="70">
      <c r="A70" s="177">
        <v>43050.0</v>
      </c>
      <c r="B70" s="43" t="str">
        <f>VLOOKUP(A70,Table!A:D,4,false)</f>
        <v>Period 3</v>
      </c>
      <c r="C70" s="43">
        <v>0.125</v>
      </c>
      <c r="D70" s="43">
        <v>0.14027777777777778</v>
      </c>
      <c r="E70" s="43">
        <v>0.9166666666666666</v>
      </c>
      <c r="F70" s="43">
        <v>0.20902777777777778</v>
      </c>
      <c r="G70" s="70" t="s">
        <v>415</v>
      </c>
      <c r="H70" s="70"/>
      <c r="I70" s="70"/>
    </row>
    <row r="71">
      <c r="A71" s="177">
        <v>43051.0</v>
      </c>
      <c r="B71" s="43" t="str">
        <f>VLOOKUP(A71,Table!A:D,4,false)</f>
        <v>Period 3</v>
      </c>
      <c r="C71" s="43">
        <v>0.14444444444444443</v>
      </c>
      <c r="D71" s="43">
        <v>0.15694444444444444</v>
      </c>
      <c r="E71" s="43">
        <v>0.9166666666666666</v>
      </c>
      <c r="F71" s="43">
        <v>0.22847222222222222</v>
      </c>
      <c r="G71" s="70" t="s">
        <v>415</v>
      </c>
      <c r="H71" s="70"/>
      <c r="I71" s="70"/>
    </row>
    <row r="72">
      <c r="A72" s="177">
        <v>43052.0</v>
      </c>
      <c r="B72" s="43" t="str">
        <f>VLOOKUP(A72,Table!A:D,4,false)</f>
        <v>Period 3</v>
      </c>
      <c r="C72" s="43">
        <v>0.1111111111111111</v>
      </c>
      <c r="D72" s="43">
        <v>0.14722222222222223</v>
      </c>
      <c r="E72" s="43">
        <v>0.9166666666666666</v>
      </c>
      <c r="F72" s="43">
        <v>0.22777777777777777</v>
      </c>
      <c r="G72" s="70" t="s">
        <v>415</v>
      </c>
      <c r="H72" s="70"/>
      <c r="I72" s="70"/>
    </row>
    <row r="73">
      <c r="A73" s="177">
        <v>43053.0</v>
      </c>
      <c r="B73" s="43" t="str">
        <f>VLOOKUP(A73,Table!A:D,4,false)</f>
        <v>Period 3</v>
      </c>
      <c r="C73" s="43">
        <v>0.17430555555555555</v>
      </c>
      <c r="D73" s="43">
        <v>0.20972222222222223</v>
      </c>
      <c r="E73" s="43">
        <v>0.9166666666666666</v>
      </c>
      <c r="F73" s="43">
        <v>0.3236111111111111</v>
      </c>
      <c r="G73" s="70" t="s">
        <v>416</v>
      </c>
      <c r="H73" s="70"/>
      <c r="I73" s="70"/>
    </row>
    <row r="74">
      <c r="A74" s="177">
        <v>43054.0</v>
      </c>
      <c r="B74" s="43" t="str">
        <f>VLOOKUP(A74,Table!A:D,4,false)</f>
        <v>Period 3</v>
      </c>
      <c r="C74" s="43">
        <v>0.20208333333333334</v>
      </c>
      <c r="D74" s="43">
        <v>0.23402777777777778</v>
      </c>
      <c r="E74" s="43">
        <v>0.9166666666666666</v>
      </c>
      <c r="F74" s="43">
        <v>0.3159722222222222</v>
      </c>
      <c r="G74" s="70" t="s">
        <v>416</v>
      </c>
      <c r="H74" s="70"/>
      <c r="I74" s="70"/>
    </row>
    <row r="75">
      <c r="A75" s="177">
        <v>43055.0</v>
      </c>
      <c r="B75" s="43" t="str">
        <f>VLOOKUP(A75,Table!A:D,4,false)</f>
        <v>Period 3</v>
      </c>
      <c r="C75" s="43">
        <v>0.16111111111111112</v>
      </c>
      <c r="D75" s="43">
        <v>0.19652777777777777</v>
      </c>
      <c r="E75" s="43">
        <v>0.9166666666666666</v>
      </c>
      <c r="F75" s="43">
        <v>0.2659722222222222</v>
      </c>
      <c r="G75" s="70" t="s">
        <v>415</v>
      </c>
      <c r="H75" s="70"/>
      <c r="I75" s="70"/>
    </row>
    <row r="76">
      <c r="A76" s="177">
        <v>43056.0</v>
      </c>
      <c r="B76" s="43" t="str">
        <f>VLOOKUP(A76,Table!A:D,4,false)</f>
        <v>Period 3</v>
      </c>
      <c r="C76" s="43">
        <v>0.17291666666666666</v>
      </c>
      <c r="D76" s="43">
        <v>0.20625</v>
      </c>
      <c r="E76" s="43">
        <v>0.9166666666666666</v>
      </c>
      <c r="F76" s="43">
        <v>0.32222222222222224</v>
      </c>
      <c r="G76" s="70" t="s">
        <v>416</v>
      </c>
      <c r="H76" s="70"/>
      <c r="I76" s="70"/>
    </row>
    <row r="77">
      <c r="A77" s="177">
        <v>43057.0</v>
      </c>
      <c r="B77" s="43" t="str">
        <f>VLOOKUP(A77,Table!A:D,4,false)</f>
        <v>Period 3</v>
      </c>
      <c r="C77" s="43">
        <v>0.12777777777777777</v>
      </c>
      <c r="D77" s="43">
        <v>0.14027777777777778</v>
      </c>
      <c r="E77" s="43">
        <v>0.9166666666666666</v>
      </c>
      <c r="F77" s="43">
        <v>0.2298611111111111</v>
      </c>
      <c r="G77" s="70" t="s">
        <v>415</v>
      </c>
      <c r="H77" s="70"/>
      <c r="I77" s="70"/>
    </row>
    <row r="78">
      <c r="A78" s="177">
        <v>43058.0</v>
      </c>
      <c r="B78" s="43" t="str">
        <f>VLOOKUP(A78,Table!A:D,4,false)</f>
        <v>Period 3</v>
      </c>
      <c r="C78" s="43">
        <v>0.14305555555555555</v>
      </c>
      <c r="D78" s="43">
        <v>0.17083333333333334</v>
      </c>
      <c r="E78" s="43">
        <v>0.9166666666666666</v>
      </c>
      <c r="F78" s="43">
        <v>0.22916666666666666</v>
      </c>
      <c r="G78" s="70" t="s">
        <v>415</v>
      </c>
      <c r="H78" s="70"/>
      <c r="I78" s="70"/>
    </row>
    <row r="79">
      <c r="A79" s="177">
        <v>43059.0</v>
      </c>
      <c r="B79" s="43" t="str">
        <f>VLOOKUP(A79,Table!A:D,4,false)</f>
        <v>Period 3</v>
      </c>
      <c r="C79" s="43">
        <v>0.28125</v>
      </c>
      <c r="D79" s="43">
        <v>0.3388888888888889</v>
      </c>
      <c r="E79" s="43">
        <v>0.9166666666666666</v>
      </c>
      <c r="F79" s="43">
        <v>0.37569444444444444</v>
      </c>
      <c r="G79" s="70" t="s">
        <v>416</v>
      </c>
      <c r="H79" s="70"/>
      <c r="I79" s="70"/>
    </row>
    <row r="80">
      <c r="A80" s="177">
        <v>43060.0</v>
      </c>
      <c r="B80" s="43" t="str">
        <f>VLOOKUP(A80,Table!A:D,4,false)</f>
        <v>Period 3</v>
      </c>
      <c r="C80" s="43">
        <v>0.22013888888888888</v>
      </c>
      <c r="D80" s="43">
        <v>0.2534722222222222</v>
      </c>
      <c r="E80" s="43">
        <v>0.9166666666666666</v>
      </c>
      <c r="F80" s="43">
        <v>0.3194444444444444</v>
      </c>
      <c r="G80" s="70" t="s">
        <v>416</v>
      </c>
      <c r="H80" s="70"/>
      <c r="I80" s="70"/>
    </row>
    <row r="81">
      <c r="A81" s="177">
        <v>43061.0</v>
      </c>
      <c r="B81" s="43" t="str">
        <f>VLOOKUP(A81,Table!A:D,4,false)</f>
        <v>Period 3</v>
      </c>
      <c r="C81" s="43">
        <v>0.18888888888888888</v>
      </c>
      <c r="D81" s="43">
        <v>0.21597222222222223</v>
      </c>
      <c r="E81" s="43">
        <v>0.9166666666666666</v>
      </c>
      <c r="F81" s="43">
        <v>0.2951388888888889</v>
      </c>
      <c r="G81" s="70" t="s">
        <v>416</v>
      </c>
      <c r="H81" s="70"/>
      <c r="I81" s="70"/>
    </row>
    <row r="82">
      <c r="A82" s="177">
        <v>43062.0</v>
      </c>
      <c r="B82" s="43" t="str">
        <f>VLOOKUP(A82,Table!A:D,4,false)</f>
        <v>Period 3</v>
      </c>
      <c r="C82" s="43">
        <v>0.12777777777777777</v>
      </c>
      <c r="D82" s="43">
        <v>0.1486111111111111</v>
      </c>
      <c r="E82" s="43">
        <v>0.9166666666666666</v>
      </c>
      <c r="F82" s="43">
        <v>0.20347222222222222</v>
      </c>
      <c r="G82" s="70" t="s">
        <v>415</v>
      </c>
      <c r="H82" s="70"/>
      <c r="I82" s="70"/>
    </row>
    <row r="83">
      <c r="A83" s="177">
        <v>43063.0</v>
      </c>
      <c r="B83" s="43" t="str">
        <f>VLOOKUP(A83,Table!A:D,4,false)</f>
        <v>Period 3</v>
      </c>
      <c r="C83" s="43">
        <v>0.13472222222222222</v>
      </c>
      <c r="D83" s="43">
        <v>0.15347222222222223</v>
      </c>
      <c r="E83" s="43">
        <v>0.9166666666666666</v>
      </c>
      <c r="F83" s="43">
        <v>0.23958333333333334</v>
      </c>
      <c r="G83" s="70" t="s">
        <v>415</v>
      </c>
      <c r="H83" s="70"/>
      <c r="I83" s="70"/>
    </row>
    <row r="84">
      <c r="A84" s="177">
        <v>43064.0</v>
      </c>
      <c r="B84" s="43" t="str">
        <f>VLOOKUP(A84,Table!A:D,4,false)</f>
        <v>Period 3</v>
      </c>
      <c r="C84" s="43">
        <v>0.19583333333333333</v>
      </c>
      <c r="D84" s="43">
        <v>0.2125</v>
      </c>
      <c r="E84" s="43">
        <v>0.9166666666666666</v>
      </c>
      <c r="F84" s="43">
        <v>0.25763888888888886</v>
      </c>
      <c r="G84" s="70" t="s">
        <v>415</v>
      </c>
      <c r="H84" s="70"/>
      <c r="I84" s="70"/>
    </row>
    <row r="85">
      <c r="A85" s="177">
        <v>43065.0</v>
      </c>
      <c r="B85" s="43" t="str">
        <f>VLOOKUP(A85,Table!A:D,4,false)</f>
        <v>Period 3</v>
      </c>
      <c r="C85" s="43">
        <v>0.21388888888888888</v>
      </c>
      <c r="D85" s="43">
        <v>0.28541666666666665</v>
      </c>
      <c r="E85" s="43">
        <v>0.9166666666666666</v>
      </c>
      <c r="F85" s="43">
        <v>0.3125</v>
      </c>
      <c r="G85" s="70" t="s">
        <v>416</v>
      </c>
      <c r="H85" s="70"/>
      <c r="I85" s="70"/>
    </row>
    <row r="86">
      <c r="A86" s="177">
        <v>43066.0</v>
      </c>
      <c r="B86" s="43" t="str">
        <f>VLOOKUP(A86,Table!A:D,4,false)</f>
        <v>Period 4</v>
      </c>
      <c r="C86" s="43">
        <v>0.13541666666666666</v>
      </c>
      <c r="D86" s="43">
        <v>0.16527777777777777</v>
      </c>
      <c r="E86" s="43">
        <v>0.9166666666666666</v>
      </c>
      <c r="F86" s="43">
        <v>0.23680555555555555</v>
      </c>
      <c r="G86" s="70" t="s">
        <v>415</v>
      </c>
      <c r="H86" s="70"/>
      <c r="I86" s="70"/>
    </row>
    <row r="87">
      <c r="A87" s="177">
        <v>43067.0</v>
      </c>
      <c r="B87" s="43" t="str">
        <f>VLOOKUP(A87,Table!A:D,4,false)</f>
        <v>Period 4</v>
      </c>
      <c r="C87" s="146">
        <v>0.2263888888888889</v>
      </c>
      <c r="D87" s="146">
        <v>0.2638888888888889</v>
      </c>
      <c r="E87" s="43">
        <v>0.9166666666666666</v>
      </c>
      <c r="F87" s="146">
        <v>0.32916666666666666</v>
      </c>
      <c r="G87" s="70" t="s">
        <v>416</v>
      </c>
      <c r="H87" s="70"/>
      <c r="I87" s="70"/>
    </row>
    <row r="88">
      <c r="A88" s="177">
        <v>43068.0</v>
      </c>
      <c r="B88" s="43" t="str">
        <f>VLOOKUP(A88,Table!A:D,4,false)</f>
        <v>Period 4</v>
      </c>
      <c r="C88" s="146">
        <v>0.14305555555555555</v>
      </c>
      <c r="D88" s="146">
        <v>0.17430555555555555</v>
      </c>
      <c r="E88" s="43">
        <v>0.9166666666666666</v>
      </c>
      <c r="F88" s="146">
        <v>0.2638888888888889</v>
      </c>
      <c r="G88" s="70" t="s">
        <v>415</v>
      </c>
      <c r="H88" s="70"/>
      <c r="I88" s="70"/>
    </row>
    <row r="89">
      <c r="A89" s="177">
        <v>43069.0</v>
      </c>
      <c r="B89" s="43" t="str">
        <f>VLOOKUP(A89,Table!A:D,4,false)</f>
        <v>Period 4</v>
      </c>
      <c r="C89" s="146">
        <v>0.18125</v>
      </c>
      <c r="D89" s="146">
        <v>0.20833333333333334</v>
      </c>
      <c r="E89" s="43">
        <v>0.9166666666666666</v>
      </c>
      <c r="F89" s="146">
        <v>0.29444444444444445</v>
      </c>
      <c r="G89" s="70" t="s">
        <v>416</v>
      </c>
      <c r="H89" s="70"/>
      <c r="I89" s="70"/>
    </row>
    <row r="90">
      <c r="A90" s="177">
        <v>43070.0</v>
      </c>
      <c r="B90" s="43" t="str">
        <f>VLOOKUP(A90,Table!A:D,4,false)</f>
        <v>Period 4</v>
      </c>
      <c r="C90" s="146">
        <v>0.1284722222222222</v>
      </c>
      <c r="D90" s="146">
        <v>0.15347222222222223</v>
      </c>
      <c r="E90" s="43">
        <v>0.9166666666666666</v>
      </c>
      <c r="F90" s="146">
        <v>0.22291666666666668</v>
      </c>
      <c r="G90" s="70" t="s">
        <v>415</v>
      </c>
      <c r="H90" s="70"/>
      <c r="I90" s="70"/>
    </row>
    <row r="91">
      <c r="A91" s="177">
        <v>43071.0</v>
      </c>
      <c r="B91" s="43" t="str">
        <f>VLOOKUP(A91,Table!A:D,4,false)</f>
        <v>Period 4</v>
      </c>
      <c r="C91" s="146">
        <v>0.10902777777777778</v>
      </c>
      <c r="D91" s="146">
        <v>0.12361111111111112</v>
      </c>
      <c r="E91" s="43">
        <v>0.9166666666666666</v>
      </c>
      <c r="F91" s="146">
        <v>0.20069444444444445</v>
      </c>
      <c r="G91" s="70" t="s">
        <v>415</v>
      </c>
      <c r="H91" s="70"/>
      <c r="I91" s="70"/>
    </row>
    <row r="92">
      <c r="A92" s="177">
        <v>43072.0</v>
      </c>
      <c r="B92" s="43" t="str">
        <f>VLOOKUP(A92,Table!A:D,4,false)</f>
        <v>Period 4</v>
      </c>
      <c r="C92" s="146">
        <v>0.175</v>
      </c>
      <c r="D92" s="146">
        <v>0.18819444444444444</v>
      </c>
      <c r="E92" s="43">
        <v>0.9166666666666666</v>
      </c>
      <c r="F92" s="146">
        <v>0.2548611111111111</v>
      </c>
      <c r="G92" s="70" t="s">
        <v>415</v>
      </c>
      <c r="H92" s="70"/>
      <c r="I92" s="70"/>
    </row>
    <row r="93">
      <c r="A93" s="177">
        <v>43073.0</v>
      </c>
      <c r="B93" s="43" t="str">
        <f>VLOOKUP(A93,Table!A:D,4,false)</f>
        <v>Period 4</v>
      </c>
      <c r="C93" s="146">
        <v>0.12916666666666668</v>
      </c>
      <c r="D93" s="146">
        <v>0.14444444444444443</v>
      </c>
      <c r="E93" s="43">
        <v>0.9166666666666666</v>
      </c>
      <c r="F93" s="146">
        <v>0.20625</v>
      </c>
      <c r="G93" s="70" t="s">
        <v>415</v>
      </c>
      <c r="H93" s="70"/>
      <c r="I93" s="70"/>
    </row>
    <row r="94">
      <c r="A94" s="177">
        <v>43074.0</v>
      </c>
      <c r="B94" s="43" t="str">
        <f>VLOOKUP(A94,Table!A:D,4,false)</f>
        <v>Period 4</v>
      </c>
      <c r="C94" s="146">
        <v>0.16319444444444445</v>
      </c>
      <c r="D94" s="146">
        <v>0.25277777777777777</v>
      </c>
      <c r="E94" s="43">
        <v>0.9166666666666666</v>
      </c>
      <c r="F94" s="146">
        <v>0.33819444444444446</v>
      </c>
      <c r="G94" s="70" t="s">
        <v>416</v>
      </c>
      <c r="H94" s="70"/>
      <c r="I94" s="70"/>
    </row>
    <row r="95">
      <c r="A95" s="177">
        <v>43075.0</v>
      </c>
      <c r="B95" s="43" t="str">
        <f>VLOOKUP(A95,Table!A:D,4,false)</f>
        <v>Period 4</v>
      </c>
      <c r="C95" s="146">
        <v>0.13055555555555556</v>
      </c>
      <c r="D95" s="146">
        <v>0.16180555555555556</v>
      </c>
      <c r="E95" s="43">
        <v>0.9166666666666666</v>
      </c>
      <c r="F95" s="146">
        <v>0.22291666666666668</v>
      </c>
      <c r="G95" s="70" t="s">
        <v>415</v>
      </c>
      <c r="H95" s="70"/>
      <c r="I95" s="70"/>
    </row>
    <row r="96">
      <c r="A96" s="177">
        <v>43076.0</v>
      </c>
      <c r="B96" s="43" t="str">
        <f>VLOOKUP(A96,Table!A:D,4,false)</f>
        <v>Period 4</v>
      </c>
      <c r="C96" s="146">
        <v>0.12083333333333333</v>
      </c>
      <c r="D96" s="146">
        <v>0.2048611111111111</v>
      </c>
      <c r="E96" s="43">
        <v>0.9166666666666666</v>
      </c>
      <c r="F96" s="146">
        <v>0.6736111111111112</v>
      </c>
      <c r="G96" s="70" t="s">
        <v>416</v>
      </c>
      <c r="H96" s="70"/>
      <c r="I96" s="70"/>
    </row>
    <row r="97">
      <c r="A97" s="177">
        <v>43077.0</v>
      </c>
      <c r="B97" s="43" t="str">
        <f>VLOOKUP(A97,Table!A:D,4,false)</f>
        <v>Period 4</v>
      </c>
      <c r="C97" s="146">
        <v>0.13055555555555556</v>
      </c>
      <c r="D97" s="146">
        <v>0.3388888888888889</v>
      </c>
      <c r="E97" s="43">
        <v>0.9166666666666666</v>
      </c>
      <c r="F97" s="146">
        <v>0.5680555555555555</v>
      </c>
      <c r="G97" s="70" t="s">
        <v>416</v>
      </c>
      <c r="H97" s="70"/>
      <c r="I97" s="70"/>
    </row>
    <row r="98">
      <c r="A98" s="177">
        <v>43078.0</v>
      </c>
      <c r="B98" s="43" t="str">
        <f>VLOOKUP(A98,Table!A:D,4,false)</f>
        <v>Period 4</v>
      </c>
      <c r="C98" s="146">
        <v>0.10972222222222222</v>
      </c>
      <c r="D98" s="146">
        <v>0.11805555555555555</v>
      </c>
      <c r="E98" s="43">
        <v>0.9166666666666666</v>
      </c>
      <c r="F98" s="146">
        <v>0.19375</v>
      </c>
      <c r="G98" s="70" t="s">
        <v>415</v>
      </c>
      <c r="H98" s="70"/>
      <c r="I98" s="70"/>
    </row>
    <row r="99">
      <c r="A99" s="177">
        <v>43079.0</v>
      </c>
      <c r="B99" s="43" t="str">
        <f>VLOOKUP(A99,Table!A:D,4,false)</f>
        <v>Period 4</v>
      </c>
      <c r="C99" s="146">
        <v>0.1423611111111111</v>
      </c>
      <c r="D99" s="146">
        <v>0.16180555555555556</v>
      </c>
      <c r="E99" s="43">
        <v>0.9166666666666666</v>
      </c>
      <c r="F99" s="146">
        <v>0.21458333333333332</v>
      </c>
      <c r="G99" s="70" t="s">
        <v>415</v>
      </c>
      <c r="H99" s="70"/>
      <c r="I99" s="70"/>
    </row>
    <row r="100">
      <c r="A100" s="177">
        <v>43080.0</v>
      </c>
      <c r="B100" s="43" t="str">
        <f>VLOOKUP(A100,Table!A:D,4,false)</f>
        <v>Period 4</v>
      </c>
      <c r="C100" s="146">
        <v>0.11319444444444444</v>
      </c>
      <c r="D100" s="146">
        <v>0.24027777777777778</v>
      </c>
      <c r="E100" s="43">
        <v>0.9166666666666666</v>
      </c>
      <c r="F100" s="146">
        <v>0.31805555555555554</v>
      </c>
      <c r="G100" s="70" t="s">
        <v>416</v>
      </c>
      <c r="H100" s="70"/>
      <c r="I100" s="70"/>
    </row>
    <row r="101">
      <c r="A101" s="177">
        <v>43081.0</v>
      </c>
      <c r="B101" s="43" t="str">
        <f>VLOOKUP(A101,Table!A:D,4,false)</f>
        <v>Period 4</v>
      </c>
      <c r="C101" s="146">
        <v>0.17222222222222222</v>
      </c>
      <c r="D101" s="146">
        <v>0.20347222222222222</v>
      </c>
      <c r="E101" s="43">
        <v>0.9166666666666666</v>
      </c>
      <c r="F101" s="146">
        <v>0.26875</v>
      </c>
      <c r="G101" s="70" t="s">
        <v>415</v>
      </c>
      <c r="H101" s="70"/>
      <c r="I101" s="70"/>
    </row>
    <row r="102">
      <c r="A102" s="177">
        <v>43082.0</v>
      </c>
      <c r="B102" s="43" t="str">
        <f>VLOOKUP(A102,Table!A:D,4,false)</f>
        <v>Period 4</v>
      </c>
      <c r="C102" s="146">
        <v>0.14930555555555555</v>
      </c>
      <c r="D102" s="146">
        <v>0.1763888888888889</v>
      </c>
      <c r="E102" s="43">
        <v>0.9166666666666666</v>
      </c>
      <c r="F102" s="146">
        <v>0.24722222222222223</v>
      </c>
      <c r="G102" s="70" t="s">
        <v>415</v>
      </c>
      <c r="H102" s="70"/>
      <c r="I102" s="70"/>
    </row>
    <row r="103">
      <c r="A103" s="177">
        <v>43083.0</v>
      </c>
      <c r="B103" s="43" t="str">
        <f>VLOOKUP(A103,Table!A:D,4,false)</f>
        <v>Period 4</v>
      </c>
      <c r="C103" s="146">
        <v>0.14652777777777778</v>
      </c>
      <c r="D103" s="146">
        <v>0.18611111111111112</v>
      </c>
      <c r="E103" s="43">
        <v>0.9166666666666666</v>
      </c>
      <c r="F103" s="146">
        <v>0.23472222222222222</v>
      </c>
      <c r="G103" s="70" t="s">
        <v>415</v>
      </c>
      <c r="H103" s="70"/>
      <c r="I103" s="70"/>
    </row>
    <row r="104">
      <c r="A104" s="177">
        <v>43084.0</v>
      </c>
      <c r="B104" s="43" t="str">
        <f>VLOOKUP(A104,Table!A:D,4,false)</f>
        <v>Period 4</v>
      </c>
      <c r="C104" s="146">
        <v>0.18472222222222223</v>
      </c>
      <c r="D104" s="146">
        <v>0.21805555555555556</v>
      </c>
      <c r="E104" s="43">
        <v>0.9166666666666666</v>
      </c>
      <c r="F104" s="146">
        <v>0.2791666666666667</v>
      </c>
      <c r="G104" s="70" t="s">
        <v>416</v>
      </c>
      <c r="H104" s="70"/>
      <c r="I104" s="70"/>
    </row>
    <row r="105">
      <c r="A105" s="177">
        <v>43085.0</v>
      </c>
      <c r="B105" s="43" t="str">
        <f>VLOOKUP(A105,Table!A:D,4,false)</f>
        <v>Period 4</v>
      </c>
      <c r="C105" s="146">
        <v>0.12916666666666668</v>
      </c>
      <c r="D105" s="146">
        <v>0.14027777777777778</v>
      </c>
      <c r="E105" s="43">
        <v>0.9166666666666666</v>
      </c>
      <c r="F105" s="146">
        <v>0.2152777777777778</v>
      </c>
      <c r="G105" s="70" t="s">
        <v>415</v>
      </c>
      <c r="H105" s="70"/>
      <c r="I105" s="70"/>
    </row>
    <row r="106">
      <c r="A106" s="177">
        <v>43086.0</v>
      </c>
      <c r="B106" s="43" t="str">
        <f>VLOOKUP(A106,Table!A:D,4,false)</f>
        <v>Period 4</v>
      </c>
      <c r="C106" s="146">
        <v>0.17708333333333334</v>
      </c>
      <c r="D106" s="146">
        <v>0.1986111111111111</v>
      </c>
      <c r="E106" s="43">
        <v>0.9166666666666666</v>
      </c>
      <c r="F106" s="146">
        <v>0.2513888888888889</v>
      </c>
      <c r="G106" s="70" t="s">
        <v>415</v>
      </c>
      <c r="H106" s="70"/>
      <c r="I106" s="70"/>
    </row>
    <row r="107">
      <c r="A107" s="177">
        <v>43087.0</v>
      </c>
      <c r="B107" s="43" t="str">
        <f>VLOOKUP(A107,Table!A:D,4,false)</f>
        <v>Period 4</v>
      </c>
      <c r="C107" s="146">
        <v>0.10972222222222222</v>
      </c>
      <c r="D107" s="146">
        <v>0.175</v>
      </c>
      <c r="E107" s="43">
        <v>0.9166666666666666</v>
      </c>
      <c r="F107" s="146">
        <v>0.24166666666666667</v>
      </c>
      <c r="G107" s="70" t="s">
        <v>415</v>
      </c>
      <c r="H107" s="70"/>
      <c r="I107" s="70"/>
    </row>
    <row r="108">
      <c r="A108" s="177">
        <v>43088.0</v>
      </c>
      <c r="B108" s="43" t="str">
        <f>VLOOKUP(A108,Table!A:D,4,false)</f>
        <v>Period 4</v>
      </c>
      <c r="C108" s="146">
        <v>0.20694444444444443</v>
      </c>
      <c r="D108" s="146">
        <v>0.2361111111111111</v>
      </c>
      <c r="E108" s="43">
        <v>0.9166666666666666</v>
      </c>
      <c r="F108" s="146">
        <v>0.29583333333333334</v>
      </c>
      <c r="G108" s="70" t="s">
        <v>416</v>
      </c>
      <c r="H108" s="70"/>
      <c r="I108" s="70"/>
    </row>
    <row r="109">
      <c r="A109" s="177">
        <v>43089.0</v>
      </c>
      <c r="B109" s="43" t="str">
        <f>VLOOKUP(A109,Table!A:D,4,false)</f>
        <v>Period 4</v>
      </c>
      <c r="C109" s="146">
        <v>0.15347222222222223</v>
      </c>
      <c r="D109" s="146">
        <v>0.18263888888888888</v>
      </c>
      <c r="E109" s="43">
        <v>0.9166666666666666</v>
      </c>
      <c r="F109" s="146">
        <v>0.2673611111111111</v>
      </c>
      <c r="G109" s="70" t="s">
        <v>415</v>
      </c>
      <c r="H109" s="70"/>
      <c r="I109" s="70"/>
    </row>
    <row r="110">
      <c r="A110" s="177">
        <v>43090.0</v>
      </c>
      <c r="B110" s="43" t="str">
        <f>VLOOKUP(A110,Table!A:D,4,false)</f>
        <v>Period 4</v>
      </c>
      <c r="C110" s="146">
        <v>0.11041666666666666</v>
      </c>
      <c r="D110" s="146">
        <v>0.1486111111111111</v>
      </c>
      <c r="E110" s="43">
        <v>0.9166666666666666</v>
      </c>
      <c r="F110" s="146">
        <v>0.225</v>
      </c>
      <c r="G110" s="70" t="s">
        <v>415</v>
      </c>
      <c r="H110" s="70"/>
      <c r="I110" s="70"/>
    </row>
    <row r="111">
      <c r="A111" s="177">
        <v>43091.0</v>
      </c>
      <c r="B111" s="43" t="str">
        <f>VLOOKUP(A111,Table!A:D,4,false)</f>
        <v>Period 4</v>
      </c>
      <c r="C111" s="146">
        <v>0.1111111111111111</v>
      </c>
      <c r="D111" s="146">
        <v>0.14027777777777778</v>
      </c>
      <c r="E111" s="43">
        <v>0.9166666666666666</v>
      </c>
      <c r="F111" s="146">
        <v>0.1986111111111111</v>
      </c>
      <c r="G111" s="70" t="s">
        <v>415</v>
      </c>
      <c r="H111" s="70"/>
      <c r="I111" s="70"/>
    </row>
    <row r="112">
      <c r="A112" s="177">
        <v>43092.0</v>
      </c>
      <c r="B112" s="43" t="str">
        <f>VLOOKUP(A112,Table!A:D,4,false)</f>
        <v>Period 4</v>
      </c>
      <c r="C112" s="146">
        <v>0.18680555555555556</v>
      </c>
      <c r="D112" s="146">
        <v>0.20347222222222222</v>
      </c>
      <c r="E112" s="43">
        <v>0.9166666666666666</v>
      </c>
      <c r="F112" s="146">
        <v>0.24791666666666667</v>
      </c>
      <c r="G112" s="70" t="s">
        <v>415</v>
      </c>
      <c r="H112" s="70"/>
      <c r="I112" s="70"/>
    </row>
    <row r="113">
      <c r="A113" s="177">
        <v>43093.0</v>
      </c>
      <c r="B113" s="43" t="str">
        <f>VLOOKUP(A113,Table!A:D,4,false)</f>
        <v>Period 4</v>
      </c>
      <c r="C113" s="146">
        <v>0.17222222222222222</v>
      </c>
      <c r="D113" s="146">
        <v>0.18541666666666667</v>
      </c>
      <c r="E113" s="43">
        <v>0.9166666666666666</v>
      </c>
      <c r="F113" s="146">
        <v>0.24375</v>
      </c>
      <c r="G113" s="70" t="s">
        <v>415</v>
      </c>
      <c r="H113" s="70"/>
      <c r="I113" s="70"/>
    </row>
    <row r="114">
      <c r="A114" s="177">
        <v>43094.0</v>
      </c>
      <c r="B114" s="43" t="str">
        <f>VLOOKUP(A114,Table!A:D,4,false)</f>
        <v>Period 5</v>
      </c>
      <c r="C114" s="146">
        <v>0.175</v>
      </c>
      <c r="D114" s="146">
        <v>0.2048611111111111</v>
      </c>
      <c r="E114" s="43">
        <v>0.9166666666666666</v>
      </c>
      <c r="F114" s="146">
        <v>0.2548611111111111</v>
      </c>
      <c r="G114" s="70" t="s">
        <v>415</v>
      </c>
      <c r="H114" s="70"/>
      <c r="I114" s="70"/>
    </row>
    <row r="115">
      <c r="A115" s="177">
        <v>43095.0</v>
      </c>
      <c r="B115" s="43" t="str">
        <f>VLOOKUP(A115,Table!A:D,4,false)</f>
        <v>Period 5</v>
      </c>
      <c r="C115" s="146">
        <v>0.16111111111111112</v>
      </c>
      <c r="D115" s="146">
        <v>0.19652777777777777</v>
      </c>
      <c r="E115" s="43">
        <v>0.9166666666666666</v>
      </c>
      <c r="F115" s="146">
        <v>0.25069444444444444</v>
      </c>
      <c r="G115" s="70" t="s">
        <v>415</v>
      </c>
      <c r="H115" s="70"/>
      <c r="I115" s="70"/>
    </row>
    <row r="116">
      <c r="A116" s="177">
        <v>43096.0</v>
      </c>
      <c r="B116" s="43" t="str">
        <f>VLOOKUP(A116,Table!A:D,4,false)</f>
        <v>Period 5</v>
      </c>
      <c r="C116" s="146">
        <v>0.1597222222222222</v>
      </c>
      <c r="D116" s="146">
        <v>0.19166666666666668</v>
      </c>
      <c r="E116" s="43">
        <v>0.9166666666666666</v>
      </c>
      <c r="F116" s="146">
        <v>0.24722222222222223</v>
      </c>
      <c r="G116" s="70" t="s">
        <v>415</v>
      </c>
      <c r="H116" s="70"/>
      <c r="I116" s="70"/>
    </row>
    <row r="117">
      <c r="A117" s="177">
        <v>43097.0</v>
      </c>
      <c r="B117" s="43" t="str">
        <f>VLOOKUP(A117,Table!A:D,4,false)</f>
        <v>Period 5</v>
      </c>
      <c r="C117" s="146">
        <v>0.3909722222222222</v>
      </c>
      <c r="D117" s="146">
        <v>0.42430555555555555</v>
      </c>
      <c r="E117" s="43">
        <v>0.9166666666666666</v>
      </c>
      <c r="F117" s="146">
        <v>0.5034722222222222</v>
      </c>
      <c r="G117" s="70" t="s">
        <v>416</v>
      </c>
      <c r="H117" s="70"/>
      <c r="I117" s="70"/>
    </row>
    <row r="118">
      <c r="A118" s="177">
        <v>43098.0</v>
      </c>
      <c r="B118" s="43" t="str">
        <f>VLOOKUP(A118,Table!A:D,4,false)</f>
        <v>Period 5</v>
      </c>
      <c r="C118" s="146">
        <v>0.11319444444444444</v>
      </c>
      <c r="D118" s="146">
        <v>0.1388888888888889</v>
      </c>
      <c r="E118" s="43">
        <v>0.9166666666666666</v>
      </c>
      <c r="F118" s="146">
        <v>0.24722222222222223</v>
      </c>
      <c r="G118" s="70" t="s">
        <v>415</v>
      </c>
      <c r="H118" s="70"/>
      <c r="I118" s="70"/>
    </row>
    <row r="119">
      <c r="A119" s="177">
        <v>43099.0</v>
      </c>
      <c r="B119" s="43" t="str">
        <f>VLOOKUP(A119,Table!A:D,4,false)</f>
        <v>Period 5</v>
      </c>
      <c r="C119" s="146">
        <v>0.14097222222222222</v>
      </c>
      <c r="D119" s="146">
        <v>0.16041666666666668</v>
      </c>
      <c r="E119" s="43">
        <v>0.9166666666666666</v>
      </c>
      <c r="F119" s="146">
        <v>0.28402777777777777</v>
      </c>
      <c r="G119" s="70" t="s">
        <v>416</v>
      </c>
      <c r="H119" s="70"/>
      <c r="I119" s="70"/>
    </row>
    <row r="120">
      <c r="A120" s="177">
        <v>43100.0</v>
      </c>
      <c r="B120" s="43" t="str">
        <f>VLOOKUP(A120,Table!A:D,4,false)</f>
        <v>Period 5</v>
      </c>
      <c r="C120" s="146">
        <v>0.24513888888888888</v>
      </c>
      <c r="D120" s="146">
        <v>0.26458333333333334</v>
      </c>
      <c r="E120" s="43">
        <v>0.9166666666666666</v>
      </c>
      <c r="F120" s="146">
        <v>0.34791666666666665</v>
      </c>
      <c r="G120" s="70" t="s">
        <v>416</v>
      </c>
      <c r="H120" s="70"/>
      <c r="I120" s="70"/>
    </row>
    <row r="121">
      <c r="A121" s="177">
        <v>43101.0</v>
      </c>
      <c r="B121" s="43" t="str">
        <f>VLOOKUP(A121,Table!A:D,4,false)</f>
        <v>Period 5</v>
      </c>
      <c r="C121" s="146">
        <v>0.13472222222222222</v>
      </c>
      <c r="D121" s="146">
        <v>0.1486111111111111</v>
      </c>
      <c r="E121" s="43">
        <v>0.9166666666666666</v>
      </c>
      <c r="F121" s="146">
        <v>0.2777777777777778</v>
      </c>
      <c r="G121" s="70" t="s">
        <v>416</v>
      </c>
      <c r="H121" s="70"/>
      <c r="I121" s="70"/>
    </row>
    <row r="122">
      <c r="A122" s="177">
        <v>43102.0</v>
      </c>
      <c r="B122" s="43" t="str">
        <f>VLOOKUP(A122,Table!A:D,4,false)</f>
        <v>Period 5</v>
      </c>
      <c r="C122" s="146">
        <v>0.12916666666666668</v>
      </c>
      <c r="D122" s="146">
        <v>0.1451388888888889</v>
      </c>
      <c r="E122" s="43">
        <v>0.9166666666666666</v>
      </c>
      <c r="F122" s="146">
        <v>0.23472222222222222</v>
      </c>
      <c r="G122" s="70" t="s">
        <v>415</v>
      </c>
      <c r="H122" s="70"/>
      <c r="I122" s="70"/>
    </row>
    <row r="123">
      <c r="A123" s="177">
        <v>43103.0</v>
      </c>
      <c r="B123" s="43" t="str">
        <f>VLOOKUP(A123,Table!A:D,4,false)</f>
        <v>Period 5</v>
      </c>
      <c r="C123" s="146">
        <v>0.12708333333333333</v>
      </c>
      <c r="D123" s="146">
        <v>0.15486111111111112</v>
      </c>
      <c r="E123" s="43">
        <v>0.9166666666666666</v>
      </c>
      <c r="F123" s="146">
        <v>0.24791666666666667</v>
      </c>
      <c r="G123" s="70" t="s">
        <v>415</v>
      </c>
      <c r="H123" s="70"/>
      <c r="I123" s="70"/>
    </row>
    <row r="124">
      <c r="A124" s="177">
        <v>43104.0</v>
      </c>
      <c r="B124" s="43" t="str">
        <f>VLOOKUP(A124,Table!A:D,4,false)</f>
        <v>Period 5</v>
      </c>
      <c r="C124" s="146">
        <v>0.11041666666666666</v>
      </c>
      <c r="D124" s="146">
        <v>0.14444444444444443</v>
      </c>
      <c r="E124" s="43">
        <v>0.9166666666666666</v>
      </c>
      <c r="F124" s="146">
        <v>0.2423611111111111</v>
      </c>
      <c r="G124" s="70" t="s">
        <v>415</v>
      </c>
      <c r="H124" s="70"/>
      <c r="I124" s="70"/>
    </row>
    <row r="125">
      <c r="A125" s="177">
        <v>43105.0</v>
      </c>
      <c r="B125" s="43" t="str">
        <f>VLOOKUP(A125,Table!A:D,4,false)</f>
        <v>Period 5</v>
      </c>
      <c r="C125" s="146">
        <v>0.11041666666666666</v>
      </c>
      <c r="D125" s="146">
        <v>0.13402777777777777</v>
      </c>
      <c r="E125" s="43">
        <v>0.9166666666666666</v>
      </c>
      <c r="F125" s="146">
        <v>0.2298611111111111</v>
      </c>
      <c r="G125" s="70" t="s">
        <v>415</v>
      </c>
      <c r="H125" s="70"/>
      <c r="I125" s="70"/>
    </row>
    <row r="126">
      <c r="A126" s="177">
        <v>43106.0</v>
      </c>
      <c r="B126" s="43" t="str">
        <f>VLOOKUP(A126,Table!A:D,4,false)</f>
        <v>Period 5</v>
      </c>
      <c r="C126" s="146">
        <v>0.11180555555555556</v>
      </c>
      <c r="D126" s="146">
        <v>0.13333333333333333</v>
      </c>
      <c r="E126" s="43">
        <v>0.9166666666666666</v>
      </c>
      <c r="F126" s="146">
        <v>0.20277777777777778</v>
      </c>
      <c r="G126" s="70" t="s">
        <v>415</v>
      </c>
      <c r="H126" s="70"/>
      <c r="I126" s="70"/>
    </row>
    <row r="127">
      <c r="A127" s="177">
        <v>43107.0</v>
      </c>
      <c r="B127" s="43" t="str">
        <f>VLOOKUP(A127,Table!A:D,4,false)</f>
        <v>Period 5</v>
      </c>
      <c r="C127" s="146">
        <v>0.14583333333333334</v>
      </c>
      <c r="D127" s="146">
        <v>0.16527777777777777</v>
      </c>
      <c r="E127" s="43">
        <v>0.9166666666666666</v>
      </c>
      <c r="F127" s="146">
        <v>0.2263888888888889</v>
      </c>
      <c r="G127" s="70" t="s">
        <v>415</v>
      </c>
      <c r="H127" s="70"/>
      <c r="I127" s="70"/>
    </row>
    <row r="128">
      <c r="A128" s="177">
        <v>43108.0</v>
      </c>
      <c r="B128" s="43" t="str">
        <f>VLOOKUP(A128,Table!A:D,4,false)</f>
        <v>Period 5</v>
      </c>
      <c r="C128" s="146">
        <v>0.14444444444444443</v>
      </c>
      <c r="D128" s="146">
        <v>0.1763888888888889</v>
      </c>
      <c r="E128" s="43">
        <v>0.9166666666666666</v>
      </c>
      <c r="F128" s="146">
        <v>0.25069444444444444</v>
      </c>
      <c r="G128" s="70" t="s">
        <v>415</v>
      </c>
      <c r="H128" s="70"/>
      <c r="I128" s="70"/>
    </row>
    <row r="129">
      <c r="A129" s="177">
        <v>43109.0</v>
      </c>
      <c r="B129" s="43" t="str">
        <f>VLOOKUP(A129,Table!A:D,4,false)</f>
        <v>Period 5</v>
      </c>
      <c r="C129" s="146">
        <v>0.1076388888888889</v>
      </c>
      <c r="D129" s="146">
        <v>0.1326388888888889</v>
      </c>
      <c r="E129" s="43">
        <v>0.9166666666666666</v>
      </c>
      <c r="F129" s="146">
        <v>0.2916666666666667</v>
      </c>
      <c r="G129" s="70" t="s">
        <v>416</v>
      </c>
      <c r="H129" s="70"/>
      <c r="I129" s="70"/>
    </row>
    <row r="130">
      <c r="A130" s="177">
        <v>43110.0</v>
      </c>
      <c r="B130" s="43" t="str">
        <f>VLOOKUP(A130,Table!A:D,4,false)</f>
        <v>Period 5</v>
      </c>
      <c r="C130" s="146">
        <v>0.1111111111111111</v>
      </c>
      <c r="D130" s="146">
        <v>0.14652777777777778</v>
      </c>
      <c r="E130" s="43">
        <v>0.9166666666666666</v>
      </c>
      <c r="F130" s="146">
        <v>0.2916666666666667</v>
      </c>
      <c r="G130" s="70" t="s">
        <v>416</v>
      </c>
      <c r="H130" s="70"/>
      <c r="I130" s="70"/>
    </row>
    <row r="131">
      <c r="A131" s="177">
        <v>43111.0</v>
      </c>
      <c r="B131" s="43" t="str">
        <f>VLOOKUP(A131,Table!A:D,4,false)</f>
        <v>Period 5</v>
      </c>
      <c r="C131" s="146">
        <v>0.09722222222222222</v>
      </c>
      <c r="D131" s="146">
        <v>0.14583333333333334</v>
      </c>
      <c r="E131" s="43">
        <v>0.9166666666666666</v>
      </c>
      <c r="F131" s="146">
        <v>0.22152777777777777</v>
      </c>
      <c r="G131" s="70" t="s">
        <v>415</v>
      </c>
      <c r="H131" s="70"/>
      <c r="I131" s="70"/>
    </row>
    <row r="132">
      <c r="A132" s="177">
        <v>43112.0</v>
      </c>
      <c r="B132" s="43" t="str">
        <f>VLOOKUP(A132,Table!A:D,4,false)</f>
        <v>Period 5</v>
      </c>
      <c r="C132" s="146">
        <v>0.09375</v>
      </c>
      <c r="D132" s="146">
        <v>0.11041666666666666</v>
      </c>
      <c r="E132" s="43">
        <v>0.9166666666666666</v>
      </c>
      <c r="F132" s="146">
        <v>0.19236111111111112</v>
      </c>
      <c r="G132" s="70" t="s">
        <v>415</v>
      </c>
      <c r="H132" s="70"/>
      <c r="I132" s="70"/>
    </row>
    <row r="133">
      <c r="A133" s="177">
        <v>43113.0</v>
      </c>
      <c r="B133" s="43" t="str">
        <f>VLOOKUP(A133,Table!A:D,4,false)</f>
        <v>Period 5</v>
      </c>
      <c r="C133" s="146">
        <v>0.11041666666666666</v>
      </c>
      <c r="D133" s="146">
        <v>0.11875</v>
      </c>
      <c r="E133" s="43">
        <v>0.9166666666666666</v>
      </c>
      <c r="F133" s="146">
        <v>0.19166666666666668</v>
      </c>
      <c r="G133" s="70" t="s">
        <v>415</v>
      </c>
      <c r="H133" s="70"/>
      <c r="I133" s="70"/>
    </row>
    <row r="134">
      <c r="A134" s="177">
        <v>43114.0</v>
      </c>
      <c r="B134" s="43" t="str">
        <f>VLOOKUP(A134,Table!A:D,4,false)</f>
        <v>Period 5</v>
      </c>
      <c r="C134" s="146">
        <v>0.13402777777777777</v>
      </c>
      <c r="D134" s="146">
        <v>0.14722222222222223</v>
      </c>
      <c r="E134" s="43">
        <v>0.9166666666666666</v>
      </c>
      <c r="F134" s="146">
        <v>0.2222222222222222</v>
      </c>
      <c r="G134" s="70" t="s">
        <v>415</v>
      </c>
      <c r="H134" s="70"/>
      <c r="I134" s="70"/>
    </row>
    <row r="135">
      <c r="A135" s="177">
        <v>43115.0</v>
      </c>
      <c r="B135" s="43" t="str">
        <f>VLOOKUP(A135,Table!A:D,4,false)</f>
        <v>Period 5</v>
      </c>
      <c r="C135" s="146">
        <v>0.08402777777777778</v>
      </c>
      <c r="D135" s="146">
        <v>0.1451388888888889</v>
      </c>
      <c r="E135" s="43">
        <v>0.9166666666666666</v>
      </c>
      <c r="F135" s="146">
        <v>0.19027777777777777</v>
      </c>
      <c r="G135" s="70" t="s">
        <v>415</v>
      </c>
      <c r="H135" s="70"/>
      <c r="I135" s="70"/>
    </row>
    <row r="136">
      <c r="A136" s="177">
        <v>43116.0</v>
      </c>
      <c r="B136" s="43" t="str">
        <f>VLOOKUP(A136,Table!A:D,4,false)</f>
        <v>Period 5</v>
      </c>
      <c r="C136" s="146">
        <v>0.10208333333333333</v>
      </c>
      <c r="D136" s="146">
        <v>0.15208333333333332</v>
      </c>
      <c r="E136" s="43">
        <v>0.9166666666666666</v>
      </c>
      <c r="F136" s="146">
        <v>0.21875</v>
      </c>
      <c r="G136" s="70" t="s">
        <v>415</v>
      </c>
      <c r="H136" s="70"/>
      <c r="I136" s="70"/>
    </row>
    <row r="137">
      <c r="A137" s="177">
        <v>43117.0</v>
      </c>
      <c r="B137" s="43" t="str">
        <f>VLOOKUP(A137,Table!A:D,4,false)</f>
        <v>Period 5</v>
      </c>
      <c r="C137" s="146">
        <v>0.10347222222222222</v>
      </c>
      <c r="D137" s="146">
        <v>0.14583333333333334</v>
      </c>
      <c r="E137" s="43">
        <v>0.9166666666666666</v>
      </c>
      <c r="F137" s="146">
        <v>0.20833333333333334</v>
      </c>
      <c r="G137" s="70" t="s">
        <v>415</v>
      </c>
      <c r="H137" s="70"/>
      <c r="I137" s="70"/>
    </row>
    <row r="138">
      <c r="A138" s="177">
        <v>43118.0</v>
      </c>
      <c r="B138" s="43" t="str">
        <f>VLOOKUP(A138,Table!A:D,4,false)</f>
        <v>Period 5</v>
      </c>
      <c r="C138" s="146">
        <v>0.17222222222222222</v>
      </c>
      <c r="D138" s="146">
        <v>0.20555555555555555</v>
      </c>
      <c r="E138" s="43">
        <v>0.9166666666666666</v>
      </c>
      <c r="F138" s="146">
        <v>0.27569444444444446</v>
      </c>
      <c r="G138" s="70" t="s">
        <v>416</v>
      </c>
      <c r="H138" s="70"/>
      <c r="I138" s="70"/>
    </row>
    <row r="139">
      <c r="A139" s="177">
        <v>43119.0</v>
      </c>
      <c r="B139" s="43" t="str">
        <f>VLOOKUP(A139,Table!A:D,4,false)</f>
        <v>Period 5</v>
      </c>
      <c r="C139" s="146">
        <v>0.12916666666666668</v>
      </c>
      <c r="D139" s="146">
        <v>0.1527777777777778</v>
      </c>
      <c r="E139" s="43">
        <v>0.9166666666666666</v>
      </c>
      <c r="F139" s="146">
        <v>0.21597222222222223</v>
      </c>
      <c r="G139" s="70" t="s">
        <v>415</v>
      </c>
      <c r="H139" s="70"/>
      <c r="I139" s="70"/>
    </row>
    <row r="140">
      <c r="A140" s="177">
        <v>43120.0</v>
      </c>
      <c r="B140" s="43" t="str">
        <f>VLOOKUP(A140,Table!A:D,4,false)</f>
        <v>Period 5</v>
      </c>
      <c r="C140" s="146">
        <v>0.1527777777777778</v>
      </c>
      <c r="D140" s="146">
        <v>0.1673611111111111</v>
      </c>
      <c r="E140" s="43">
        <v>0.9166666666666666</v>
      </c>
      <c r="F140" s="146">
        <v>0.21041666666666667</v>
      </c>
      <c r="G140" s="70" t="s">
        <v>415</v>
      </c>
      <c r="H140" s="70"/>
      <c r="I140" s="70"/>
    </row>
    <row r="141">
      <c r="A141" s="177">
        <v>43121.0</v>
      </c>
      <c r="B141" s="43" t="str">
        <f>VLOOKUP(A141,Table!A:D,4,false)</f>
        <v>Period 5</v>
      </c>
      <c r="C141" s="146">
        <v>0.21666666666666667</v>
      </c>
      <c r="D141" s="146">
        <v>0.23958333333333334</v>
      </c>
      <c r="E141" s="43">
        <v>0.9166666666666666</v>
      </c>
      <c r="F141" s="146">
        <v>0.29444444444444445</v>
      </c>
      <c r="G141" s="70" t="s">
        <v>416</v>
      </c>
      <c r="H141" s="70"/>
      <c r="I141" s="70"/>
    </row>
    <row r="142">
      <c r="A142" s="177">
        <v>43122.0</v>
      </c>
      <c r="B142" s="43" t="str">
        <f>VLOOKUP(A142,Table!A:D,4,false)</f>
        <v>Period 6</v>
      </c>
      <c r="C142" s="146">
        <v>0.13819444444444445</v>
      </c>
      <c r="D142" s="146">
        <v>0.16597222222222222</v>
      </c>
      <c r="E142" s="43">
        <v>0.9166666666666666</v>
      </c>
      <c r="F142" s="146">
        <v>0.23680555555555555</v>
      </c>
      <c r="G142" s="70" t="s">
        <v>415</v>
      </c>
      <c r="H142" s="70"/>
      <c r="I142" s="70"/>
    </row>
    <row r="143">
      <c r="A143" s="177">
        <v>43123.0</v>
      </c>
      <c r="B143" s="43" t="str">
        <f>VLOOKUP(A143,Table!A:D,4,false)</f>
        <v>Period 6</v>
      </c>
      <c r="C143" s="146">
        <v>0.12361111111111112</v>
      </c>
      <c r="D143" s="146">
        <v>0.15486111111111112</v>
      </c>
      <c r="E143" s="43">
        <v>0.9166666666666666</v>
      </c>
      <c r="F143" s="146">
        <v>0.23055555555555557</v>
      </c>
      <c r="G143" s="70" t="s">
        <v>415</v>
      </c>
      <c r="H143" s="70"/>
      <c r="I143" s="70"/>
    </row>
    <row r="144">
      <c r="A144" s="177">
        <v>43124.0</v>
      </c>
      <c r="B144" s="43" t="str">
        <f>VLOOKUP(A144,Table!A:D,4,false)</f>
        <v>Period 6</v>
      </c>
      <c r="C144" s="146">
        <v>0.12569444444444444</v>
      </c>
      <c r="D144" s="146">
        <v>0.14305555555555555</v>
      </c>
      <c r="E144" s="43">
        <v>0.9166666666666666</v>
      </c>
      <c r="F144" s="146">
        <v>0.21875</v>
      </c>
      <c r="G144" s="70" t="s">
        <v>415</v>
      </c>
      <c r="H144" s="70"/>
      <c r="I144" s="70"/>
    </row>
    <row r="145">
      <c r="A145" s="177">
        <v>43125.0</v>
      </c>
      <c r="B145" s="43" t="str">
        <f>VLOOKUP(A145,Table!A:D,4,false)</f>
        <v>Period 6</v>
      </c>
      <c r="C145" s="146">
        <v>0.10833333333333334</v>
      </c>
      <c r="D145" s="146">
        <v>0.125</v>
      </c>
      <c r="E145" s="43">
        <v>0.9166666666666666</v>
      </c>
      <c r="F145" s="146">
        <v>0.2125</v>
      </c>
      <c r="G145" s="70" t="s">
        <v>415</v>
      </c>
      <c r="H145" s="70"/>
      <c r="I145" s="70"/>
    </row>
    <row r="146">
      <c r="A146" s="177">
        <v>43126.0</v>
      </c>
      <c r="B146" s="43" t="str">
        <f>VLOOKUP(A146,Table!A:D,4,false)</f>
        <v>Period 6</v>
      </c>
      <c r="C146" s="146">
        <v>0.09652777777777778</v>
      </c>
      <c r="D146" s="146">
        <v>0.1125</v>
      </c>
      <c r="E146" s="43">
        <v>0.9166666666666666</v>
      </c>
      <c r="F146" s="146">
        <v>0.19236111111111112</v>
      </c>
      <c r="G146" s="70" t="s">
        <v>415</v>
      </c>
      <c r="H146" s="70"/>
      <c r="I146" s="70"/>
    </row>
    <row r="147">
      <c r="A147" s="177">
        <v>43127.0</v>
      </c>
      <c r="B147" s="43" t="str">
        <f>VLOOKUP(A147,Table!A:D,4,false)</f>
        <v>Period 6</v>
      </c>
      <c r="C147" s="146">
        <v>0.0875</v>
      </c>
      <c r="D147" s="146">
        <v>0.10208333333333333</v>
      </c>
      <c r="E147" s="43">
        <v>0.9166666666666666</v>
      </c>
      <c r="F147" s="146">
        <v>0.18333333333333332</v>
      </c>
      <c r="G147" s="70" t="s">
        <v>415</v>
      </c>
      <c r="H147" s="70"/>
      <c r="I147" s="70"/>
    </row>
    <row r="148">
      <c r="A148" s="177">
        <v>43128.0</v>
      </c>
      <c r="B148" s="43" t="str">
        <f>VLOOKUP(A148,Table!A:D,4,false)</f>
        <v>Period 6</v>
      </c>
      <c r="C148" s="146">
        <v>0.13402777777777777</v>
      </c>
      <c r="D148" s="146">
        <v>0.15555555555555556</v>
      </c>
      <c r="E148" s="43">
        <v>0.9166666666666666</v>
      </c>
      <c r="F148" s="146">
        <v>0.21388888888888888</v>
      </c>
      <c r="G148" s="70" t="s">
        <v>415</v>
      </c>
      <c r="H148" s="70"/>
      <c r="I148" s="70"/>
    </row>
    <row r="149">
      <c r="A149" s="177">
        <v>43129.0</v>
      </c>
      <c r="B149" s="43" t="str">
        <f>VLOOKUP(A149,Table!A:D,4,false)</f>
        <v>Period 6</v>
      </c>
      <c r="C149" s="146">
        <v>0.08958333333333333</v>
      </c>
      <c r="D149" s="146">
        <v>0.10416666666666667</v>
      </c>
      <c r="E149" s="43">
        <v>0.9166666666666666</v>
      </c>
      <c r="F149" s="146">
        <v>0.1875</v>
      </c>
      <c r="G149" s="70" t="s">
        <v>415</v>
      </c>
      <c r="H149" s="70"/>
      <c r="I149" s="70"/>
    </row>
    <row r="150">
      <c r="A150" s="177">
        <v>43130.0</v>
      </c>
      <c r="B150" s="43" t="str">
        <f>VLOOKUP(A150,Table!A:D,4,false)</f>
        <v>Period 6</v>
      </c>
      <c r="C150" s="146">
        <v>0.09097222222222222</v>
      </c>
      <c r="D150" s="146">
        <v>0.11805555555555555</v>
      </c>
      <c r="E150" s="43">
        <v>0.9166666666666666</v>
      </c>
      <c r="F150" s="146">
        <v>0.1986111111111111</v>
      </c>
      <c r="G150" s="70" t="s">
        <v>415</v>
      </c>
      <c r="H150" s="70"/>
      <c r="I150" s="70"/>
    </row>
    <row r="151">
      <c r="A151" s="177">
        <v>43131.0</v>
      </c>
      <c r="B151" s="43" t="str">
        <f>VLOOKUP(A151,Table!A:D,4,false)</f>
        <v>Period 6</v>
      </c>
      <c r="C151" s="146">
        <v>0.10694444444444444</v>
      </c>
      <c r="D151" s="146">
        <v>0.13125</v>
      </c>
      <c r="E151" s="43">
        <v>0.9166666666666666</v>
      </c>
      <c r="F151" s="146">
        <v>0.20625</v>
      </c>
      <c r="G151" s="70" t="s">
        <v>415</v>
      </c>
      <c r="H151" s="70"/>
      <c r="I151" s="70"/>
    </row>
    <row r="152">
      <c r="A152" s="177">
        <v>43132.0</v>
      </c>
      <c r="B152" s="43" t="str">
        <f>VLOOKUP(A152,Table!A:D,4,false)</f>
        <v>Period 6</v>
      </c>
      <c r="C152" s="43">
        <v>0.08263888888888889</v>
      </c>
      <c r="D152" s="43">
        <v>0.1125</v>
      </c>
      <c r="E152" s="42">
        <v>0.9166666666666666</v>
      </c>
      <c r="F152" s="159">
        <v>0.19444444444444445</v>
      </c>
      <c r="G152" s="70" t="s">
        <v>415</v>
      </c>
      <c r="H152" s="70"/>
      <c r="I152" s="70"/>
    </row>
    <row r="153">
      <c r="A153" s="177">
        <v>43133.0</v>
      </c>
      <c r="B153" s="43" t="str">
        <f>VLOOKUP(A153,Table!A:D,4,false)</f>
        <v>Period 6</v>
      </c>
      <c r="C153" s="43">
        <v>0.09791666666666667</v>
      </c>
      <c r="D153" s="43">
        <v>0.1125</v>
      </c>
      <c r="E153" s="42">
        <v>0.9166666666666666</v>
      </c>
      <c r="F153" s="42">
        <v>0.1909722222222222</v>
      </c>
      <c r="G153" s="70" t="s">
        <v>415</v>
      </c>
      <c r="H153" s="70"/>
      <c r="I153" s="70"/>
    </row>
    <row r="154">
      <c r="A154" s="177">
        <v>43134.0</v>
      </c>
      <c r="B154" s="43" t="str">
        <f>VLOOKUP(A154,Table!A:D,4,false)</f>
        <v>Period 6</v>
      </c>
      <c r="C154" s="146">
        <v>0.11875</v>
      </c>
      <c r="D154" s="146">
        <v>0.13125</v>
      </c>
      <c r="E154" s="43">
        <v>0.9166666666666666</v>
      </c>
      <c r="F154" s="43">
        <v>0.2</v>
      </c>
      <c r="G154" s="70" t="s">
        <v>415</v>
      </c>
      <c r="H154" s="70"/>
      <c r="I154" s="70"/>
    </row>
    <row r="155">
      <c r="A155" s="177">
        <v>43135.0</v>
      </c>
      <c r="B155" s="43" t="str">
        <f>VLOOKUP(A155,Table!A:D,4,false)</f>
        <v>Period 6</v>
      </c>
      <c r="C155" s="146">
        <v>0.12569444444444444</v>
      </c>
      <c r="D155" s="146">
        <v>0.14930555555555555</v>
      </c>
      <c r="E155" s="43">
        <v>0.9166666666666666</v>
      </c>
      <c r="F155" s="43">
        <v>0.20625</v>
      </c>
      <c r="G155" s="70" t="s">
        <v>415</v>
      </c>
      <c r="H155" s="70"/>
      <c r="I155" s="70"/>
    </row>
    <row r="156">
      <c r="A156" s="177">
        <v>43136.0</v>
      </c>
      <c r="B156" s="43" t="str">
        <f>VLOOKUP(A156,Table!A:D,4,false)</f>
        <v>Period 6</v>
      </c>
      <c r="C156" s="146">
        <v>0.10972222222222222</v>
      </c>
      <c r="D156" s="146">
        <v>0.12569444444444444</v>
      </c>
      <c r="E156" s="43">
        <v>0.9166666666666666</v>
      </c>
      <c r="F156" s="43">
        <v>0.19930555555555557</v>
      </c>
      <c r="G156" s="70" t="s">
        <v>415</v>
      </c>
      <c r="H156" s="70"/>
      <c r="I156" s="70"/>
    </row>
    <row r="157">
      <c r="A157" s="177">
        <v>43137.0</v>
      </c>
      <c r="B157" s="43" t="str">
        <f>VLOOKUP(A157,Table!A:D,4,false)</f>
        <v>Period 6</v>
      </c>
      <c r="C157" s="146">
        <v>0.08888888888888889</v>
      </c>
      <c r="D157" s="146">
        <v>0.10625</v>
      </c>
      <c r="E157" s="43">
        <v>0.9166666666666666</v>
      </c>
      <c r="F157" s="43">
        <v>0.1986111111111111</v>
      </c>
      <c r="G157" s="70" t="s">
        <v>415</v>
      </c>
      <c r="H157" s="70"/>
      <c r="I157" s="70"/>
    </row>
    <row r="158">
      <c r="A158" s="177">
        <v>43138.0</v>
      </c>
      <c r="B158" s="43" t="str">
        <f>VLOOKUP(A158,Table!A:D,4,false)</f>
        <v>Period 6</v>
      </c>
      <c r="C158" s="146">
        <v>0.1111111111111111</v>
      </c>
      <c r="D158" s="146">
        <v>0.12569444444444444</v>
      </c>
      <c r="E158" s="43">
        <v>0.9166666666666666</v>
      </c>
      <c r="F158" s="43">
        <v>0.20902777777777778</v>
      </c>
      <c r="G158" s="70" t="s">
        <v>415</v>
      </c>
      <c r="H158" s="70"/>
      <c r="I158" s="70"/>
    </row>
    <row r="159">
      <c r="A159" s="177">
        <v>43139.0</v>
      </c>
      <c r="B159" s="43" t="str">
        <f>VLOOKUP(A159,Table!A:D,4,false)</f>
        <v>Period 6</v>
      </c>
      <c r="C159" s="146">
        <v>0.08541666666666667</v>
      </c>
      <c r="D159" s="146">
        <v>0.10972222222222222</v>
      </c>
      <c r="E159" s="43">
        <v>0.9166666666666666</v>
      </c>
      <c r="F159" s="43">
        <v>0.20694444444444443</v>
      </c>
      <c r="G159" s="70" t="s">
        <v>415</v>
      </c>
      <c r="H159" s="70"/>
      <c r="I159" s="70"/>
    </row>
    <row r="160">
      <c r="A160" s="177">
        <v>43140.0</v>
      </c>
      <c r="B160" s="43" t="str">
        <f>VLOOKUP(A160,Table!A:D,4,false)</f>
        <v>Period 6</v>
      </c>
      <c r="C160" s="146">
        <v>0.07430555555555556</v>
      </c>
      <c r="D160" s="146">
        <v>0.13472222222222222</v>
      </c>
      <c r="E160" s="43">
        <v>0.9166666666666666</v>
      </c>
      <c r="F160" s="43">
        <v>0.2326388888888889</v>
      </c>
      <c r="G160" s="70" t="s">
        <v>415</v>
      </c>
      <c r="H160" s="70"/>
      <c r="I160" s="70"/>
    </row>
    <row r="161">
      <c r="A161" s="177">
        <v>43141.0</v>
      </c>
      <c r="B161" s="43" t="str">
        <f>VLOOKUP(A161,Table!A:D,4,false)</f>
        <v>Period 6</v>
      </c>
      <c r="C161" s="146">
        <v>0.08958333333333333</v>
      </c>
      <c r="D161" s="146">
        <v>0.10069444444444445</v>
      </c>
      <c r="E161" s="43">
        <v>0.9166666666666666</v>
      </c>
      <c r="F161" s="43">
        <v>0.20625</v>
      </c>
      <c r="G161" s="70" t="s">
        <v>415</v>
      </c>
      <c r="H161" s="70"/>
      <c r="I161" s="70"/>
    </row>
    <row r="162">
      <c r="A162" s="177">
        <v>43142.0</v>
      </c>
      <c r="B162" s="43" t="str">
        <f>VLOOKUP(A162,Table!A:D,4,false)</f>
        <v>Period 6</v>
      </c>
      <c r="C162" s="146">
        <v>0.1284722222222222</v>
      </c>
      <c r="D162" s="146">
        <v>0.15208333333333332</v>
      </c>
      <c r="E162" s="43">
        <v>0.9166666666666666</v>
      </c>
      <c r="F162" s="43">
        <v>0.2076388888888889</v>
      </c>
      <c r="G162" s="70" t="s">
        <v>415</v>
      </c>
      <c r="H162" s="70"/>
      <c r="I162" s="70"/>
    </row>
    <row r="163">
      <c r="A163" s="177">
        <v>43143.0</v>
      </c>
      <c r="B163" s="43" t="str">
        <f>VLOOKUP(A163,Table!A:D,4,false)</f>
        <v>Period 6</v>
      </c>
      <c r="C163" s="146">
        <v>0.15208333333333332</v>
      </c>
      <c r="D163" s="146">
        <v>0.17083333333333334</v>
      </c>
      <c r="E163" s="43">
        <v>0.9166666666666666</v>
      </c>
      <c r="F163" s="43">
        <v>0.2375</v>
      </c>
      <c r="G163" s="70" t="s">
        <v>415</v>
      </c>
      <c r="H163" s="70"/>
      <c r="I163" s="70"/>
    </row>
    <row r="164">
      <c r="A164" s="177">
        <v>43144.0</v>
      </c>
      <c r="B164" s="43" t="str">
        <f>VLOOKUP(A164,Table!A:D,4,false)</f>
        <v>Period 6</v>
      </c>
      <c r="C164" s="146">
        <v>0.19305555555555556</v>
      </c>
      <c r="D164" s="146">
        <v>0.22083333333333333</v>
      </c>
      <c r="E164" s="43">
        <v>0.9166666666666666</v>
      </c>
      <c r="F164" s="43">
        <v>0.2847222222222222</v>
      </c>
      <c r="G164" s="70" t="s">
        <v>416</v>
      </c>
      <c r="H164" s="70"/>
      <c r="I164" s="70"/>
    </row>
    <row r="165">
      <c r="A165" s="177">
        <v>43145.0</v>
      </c>
      <c r="B165" s="43" t="str">
        <f>VLOOKUP(A165,Table!A:D,4,false)</f>
        <v>Period 6</v>
      </c>
      <c r="C165" s="146">
        <v>0.12708333333333333</v>
      </c>
      <c r="D165" s="146">
        <v>0.1527777777777778</v>
      </c>
      <c r="E165" s="43">
        <v>0.9166666666666666</v>
      </c>
      <c r="F165" s="43">
        <v>0.22916666666666666</v>
      </c>
      <c r="G165" s="70" t="s">
        <v>415</v>
      </c>
      <c r="H165" s="70"/>
      <c r="I165" s="70"/>
    </row>
    <row r="166">
      <c r="A166" s="177">
        <v>43146.0</v>
      </c>
      <c r="B166" s="43" t="str">
        <f>VLOOKUP(A166,Table!A:D,4,false)</f>
        <v>Period 6</v>
      </c>
      <c r="C166" s="146">
        <v>0.12986111111111112</v>
      </c>
      <c r="D166" s="146">
        <v>0.15138888888888888</v>
      </c>
      <c r="E166" s="43">
        <v>0.9166666666666666</v>
      </c>
      <c r="F166" s="43">
        <v>0.24027777777777778</v>
      </c>
      <c r="G166" s="70" t="s">
        <v>415</v>
      </c>
      <c r="H166" s="70"/>
      <c r="I166" s="70"/>
    </row>
    <row r="167">
      <c r="A167" s="177">
        <v>43147.0</v>
      </c>
      <c r="B167" s="43" t="str">
        <f>VLOOKUP(A167,Table!A:D,4,false)</f>
        <v>Period 6</v>
      </c>
      <c r="C167" s="146">
        <v>0.09444444444444444</v>
      </c>
      <c r="D167" s="146">
        <v>0.10902777777777778</v>
      </c>
      <c r="E167" s="43">
        <v>0.9166666666666666</v>
      </c>
      <c r="F167" s="43">
        <v>0.19444444444444445</v>
      </c>
      <c r="G167" s="70" t="s">
        <v>415</v>
      </c>
      <c r="H167" s="70"/>
      <c r="I167" s="70"/>
    </row>
    <row r="168">
      <c r="A168" s="177">
        <v>43148.0</v>
      </c>
      <c r="B168" s="43" t="str">
        <f>VLOOKUP(A168,Table!A:D,4,false)</f>
        <v>Period 6</v>
      </c>
      <c r="C168" s="146">
        <v>0.15763888888888888</v>
      </c>
      <c r="D168" s="146">
        <v>0.17430555555555555</v>
      </c>
      <c r="E168" s="43">
        <v>0.9166666666666666</v>
      </c>
      <c r="F168" s="43">
        <v>0.22083333333333333</v>
      </c>
      <c r="G168" s="70" t="s">
        <v>415</v>
      </c>
      <c r="H168" s="70"/>
      <c r="I168" s="70"/>
    </row>
    <row r="169">
      <c r="A169" s="177">
        <v>43149.0</v>
      </c>
      <c r="B169" s="43" t="str">
        <f>VLOOKUP(A169,Table!A:D,4,false)</f>
        <v>Period 6</v>
      </c>
      <c r="C169" s="146">
        <v>0.16319444444444445</v>
      </c>
      <c r="D169" s="146">
        <v>0.19305555555555556</v>
      </c>
      <c r="E169" s="43">
        <v>0.9166666666666666</v>
      </c>
      <c r="F169" s="43">
        <v>0.23680555555555555</v>
      </c>
      <c r="G169" s="70" t="s">
        <v>415</v>
      </c>
      <c r="H169" s="70"/>
      <c r="I169" s="70"/>
    </row>
    <row r="170">
      <c r="A170" s="177">
        <v>43150.0</v>
      </c>
      <c r="B170" s="43" t="str">
        <f>VLOOKUP(A170,Table!A:D,4,false)</f>
        <v>Period 7</v>
      </c>
      <c r="C170" s="146">
        <v>0.13402777777777777</v>
      </c>
      <c r="D170" s="146">
        <v>0.15902777777777777</v>
      </c>
      <c r="E170" s="43">
        <v>0.9166666666666666</v>
      </c>
      <c r="F170" s="43">
        <v>0.21458333333333332</v>
      </c>
      <c r="G170" s="70" t="s">
        <v>415</v>
      </c>
      <c r="H170" s="70"/>
      <c r="I170" s="70"/>
    </row>
    <row r="171">
      <c r="A171" s="177">
        <v>43151.0</v>
      </c>
      <c r="B171" s="43" t="str">
        <f>VLOOKUP(A171,Table!A:D,4,false)</f>
        <v>Period 7</v>
      </c>
      <c r="C171" s="146">
        <v>0.1423611111111111</v>
      </c>
      <c r="D171" s="146">
        <v>0.16597222222222222</v>
      </c>
      <c r="E171" s="43">
        <v>0.9166666666666666</v>
      </c>
      <c r="F171" s="43">
        <v>0.22291666666666668</v>
      </c>
      <c r="G171" s="70" t="s">
        <v>415</v>
      </c>
      <c r="H171" s="70"/>
      <c r="I171" s="70"/>
    </row>
    <row r="172">
      <c r="A172" s="177">
        <v>43152.0</v>
      </c>
      <c r="B172" s="43" t="str">
        <f>VLOOKUP(A172,Table!A:D,4,false)</f>
        <v>Period 7</v>
      </c>
      <c r="C172" s="146">
        <v>0.08541666666666667</v>
      </c>
      <c r="D172" s="146">
        <v>0.10833333333333334</v>
      </c>
      <c r="E172" s="43">
        <v>0.9166666666666666</v>
      </c>
      <c r="F172" s="43">
        <v>0.1986111111111111</v>
      </c>
      <c r="G172" s="70" t="s">
        <v>415</v>
      </c>
      <c r="H172" s="70"/>
      <c r="I172" s="70"/>
    </row>
    <row r="173">
      <c r="A173" s="177">
        <v>43153.0</v>
      </c>
      <c r="B173" s="43" t="str">
        <f>VLOOKUP(A173,Table!A:D,4,false)</f>
        <v>Period 7</v>
      </c>
      <c r="C173" s="146">
        <v>0.09513888888888888</v>
      </c>
      <c r="D173" s="146">
        <v>0.1125</v>
      </c>
      <c r="E173" s="43">
        <v>0.9166666666666666</v>
      </c>
      <c r="F173" s="43">
        <v>0.1986111111111111</v>
      </c>
      <c r="G173" s="70" t="s">
        <v>415</v>
      </c>
      <c r="H173" s="70"/>
      <c r="I173" s="70"/>
    </row>
    <row r="174">
      <c r="A174" s="177">
        <v>43154.0</v>
      </c>
      <c r="B174" s="43" t="str">
        <f>VLOOKUP(A174,Table!A:D,4,false)</f>
        <v>Period 7</v>
      </c>
      <c r="C174" s="146">
        <v>0.09375</v>
      </c>
      <c r="D174" s="146">
        <v>0.11041666666666666</v>
      </c>
      <c r="E174" s="43">
        <v>0.9166666666666666</v>
      </c>
      <c r="F174" s="43">
        <v>0.19722222222222222</v>
      </c>
      <c r="G174" s="70" t="s">
        <v>415</v>
      </c>
      <c r="H174" s="70"/>
      <c r="I174" s="70"/>
    </row>
    <row r="175">
      <c r="A175" s="177">
        <v>43155.0</v>
      </c>
      <c r="B175" s="43" t="str">
        <f>VLOOKUP(A175,Table!A:D,4,false)</f>
        <v>Period 7</v>
      </c>
      <c r="C175" s="146">
        <v>0.1076388888888889</v>
      </c>
      <c r="D175" s="146">
        <v>0.12083333333333333</v>
      </c>
      <c r="E175" s="43">
        <v>0.9166666666666666</v>
      </c>
      <c r="F175" s="43">
        <v>0.19652777777777777</v>
      </c>
      <c r="G175" s="70" t="s">
        <v>415</v>
      </c>
      <c r="H175" s="70"/>
      <c r="I175" s="70"/>
    </row>
    <row r="176">
      <c r="A176" s="177">
        <v>43156.0</v>
      </c>
      <c r="B176" s="43" t="str">
        <f>VLOOKUP(A176,Table!A:D,4,false)</f>
        <v>Period 7</v>
      </c>
      <c r="C176" s="146">
        <v>0.12708333333333333</v>
      </c>
      <c r="D176" s="146">
        <v>0.13958333333333334</v>
      </c>
      <c r="E176" s="43">
        <v>0.9166666666666666</v>
      </c>
      <c r="F176" s="43">
        <v>0.2111111111111111</v>
      </c>
      <c r="G176" s="70" t="s">
        <v>415</v>
      </c>
      <c r="H176" s="70"/>
      <c r="I176" s="70"/>
    </row>
    <row r="177">
      <c r="A177" s="177">
        <v>43157.0</v>
      </c>
      <c r="B177" s="43" t="str">
        <f>VLOOKUP(A177,Table!A:D,4,false)</f>
        <v>Period 7</v>
      </c>
      <c r="C177" s="146">
        <v>0.09236111111111112</v>
      </c>
      <c r="D177" s="146">
        <v>0.10902777777777778</v>
      </c>
      <c r="E177" s="43">
        <v>0.9166666666666666</v>
      </c>
      <c r="F177" s="43">
        <v>0.21875</v>
      </c>
      <c r="G177" s="70" t="s">
        <v>415</v>
      </c>
      <c r="H177" s="70"/>
      <c r="I177" s="70"/>
    </row>
    <row r="178">
      <c r="A178" s="177">
        <v>43158.0</v>
      </c>
      <c r="B178" s="43" t="str">
        <f>VLOOKUP(A178,Table!A:D,4,false)</f>
        <v>Period 7</v>
      </c>
      <c r="C178" s="146">
        <v>0.1451388888888889</v>
      </c>
      <c r="D178" s="146">
        <v>0.16875</v>
      </c>
      <c r="E178" s="43">
        <v>0.9166666666666666</v>
      </c>
      <c r="F178" s="43">
        <v>0.23402777777777778</v>
      </c>
      <c r="G178" s="70" t="s">
        <v>415</v>
      </c>
      <c r="H178" s="70"/>
      <c r="I178" s="70"/>
    </row>
    <row r="179">
      <c r="A179" s="177">
        <v>43159.0</v>
      </c>
      <c r="B179" s="43" t="str">
        <f>VLOOKUP(A179,Table!A:D,4,false)</f>
        <v>Period 7</v>
      </c>
      <c r="C179" s="146">
        <v>0.08611111111111111</v>
      </c>
      <c r="D179" s="146">
        <v>0.10902777777777778</v>
      </c>
      <c r="E179" s="43">
        <v>0.9166666666666666</v>
      </c>
      <c r="F179" s="43">
        <v>0.20347222222222222</v>
      </c>
      <c r="G179" s="70" t="s">
        <v>415</v>
      </c>
      <c r="H179" s="70"/>
      <c r="I179" s="70"/>
    </row>
    <row r="180">
      <c r="A180" s="177">
        <v>43160.0</v>
      </c>
      <c r="B180" s="43" t="str">
        <f>VLOOKUP(A180,Table!A:D,4,false)</f>
        <v>Period 7</v>
      </c>
      <c r="C180" s="146">
        <v>0.12013888888888889</v>
      </c>
      <c r="D180" s="146">
        <v>0.15763888888888888</v>
      </c>
      <c r="E180" s="43">
        <v>0.9166666666666666</v>
      </c>
      <c r="F180" s="43">
        <v>0.28888888888888886</v>
      </c>
      <c r="G180" s="70" t="s">
        <v>416</v>
      </c>
      <c r="H180" s="70"/>
      <c r="I180" s="70"/>
    </row>
    <row r="181">
      <c r="A181" s="177">
        <v>43161.0</v>
      </c>
      <c r="B181" s="43" t="str">
        <f>VLOOKUP(A181,Table!A:D,4,false)</f>
        <v>Period 7</v>
      </c>
      <c r="C181" s="146">
        <v>0.09791666666666667</v>
      </c>
      <c r="D181" s="146">
        <v>0.12083333333333333</v>
      </c>
      <c r="E181" s="43">
        <v>0.9166666666666666</v>
      </c>
      <c r="F181" s="43">
        <v>0.2</v>
      </c>
      <c r="G181" s="70" t="s">
        <v>415</v>
      </c>
      <c r="H181" s="70"/>
      <c r="I181" s="70"/>
    </row>
    <row r="182">
      <c r="A182" s="177">
        <v>43162.0</v>
      </c>
      <c r="B182" s="43" t="str">
        <f>VLOOKUP(A182,Table!A:D,4,false)</f>
        <v>Period 7</v>
      </c>
      <c r="C182" s="146">
        <v>0.1284722222222222</v>
      </c>
      <c r="D182" s="146">
        <v>0.14097222222222222</v>
      </c>
      <c r="E182" s="43">
        <v>0.9166666666666666</v>
      </c>
      <c r="F182" s="43">
        <v>0.2152777777777778</v>
      </c>
      <c r="G182" s="70" t="s">
        <v>415</v>
      </c>
      <c r="H182" s="70"/>
      <c r="I182" s="70"/>
    </row>
    <row r="183">
      <c r="A183" s="177">
        <v>43163.0</v>
      </c>
      <c r="B183" s="43" t="str">
        <f>VLOOKUP(A183,Table!A:D,4,false)</f>
        <v>Period 7</v>
      </c>
      <c r="C183" s="146">
        <v>0.12569444444444444</v>
      </c>
      <c r="D183" s="146">
        <v>0.14930555555555555</v>
      </c>
      <c r="E183" s="43">
        <v>0.9166666666666666</v>
      </c>
      <c r="F183" s="43">
        <v>0.20833333333333334</v>
      </c>
      <c r="G183" s="70" t="s">
        <v>415</v>
      </c>
      <c r="H183" s="70"/>
      <c r="I183" s="70"/>
    </row>
    <row r="184">
      <c r="A184" s="177">
        <v>43164.0</v>
      </c>
      <c r="B184" s="43" t="str">
        <f>VLOOKUP(A184,Table!A:D,4,false)</f>
        <v>Period 7</v>
      </c>
      <c r="C184" s="146">
        <v>0.08680555555555555</v>
      </c>
      <c r="D184" s="146">
        <v>0.10416666666666667</v>
      </c>
      <c r="E184" s="43">
        <v>0.9166666666666666</v>
      </c>
      <c r="F184" s="43">
        <v>0.19027777777777777</v>
      </c>
      <c r="G184" s="70" t="s">
        <v>415</v>
      </c>
      <c r="H184" s="70"/>
      <c r="I184" s="70"/>
    </row>
    <row r="185">
      <c r="A185" s="177">
        <v>43165.0</v>
      </c>
      <c r="B185" s="43" t="str">
        <f>VLOOKUP(A185,Table!A:D,4,false)</f>
        <v>Period 7</v>
      </c>
      <c r="C185" s="146"/>
      <c r="D185" s="146"/>
      <c r="E185" s="43">
        <v>0.9166666666666666</v>
      </c>
      <c r="F185" s="43">
        <v>0.2111111111111111</v>
      </c>
      <c r="G185" s="70" t="s">
        <v>415</v>
      </c>
      <c r="H185" s="70"/>
      <c r="I185" s="70"/>
    </row>
    <row r="186">
      <c r="A186" s="177">
        <v>43166.0</v>
      </c>
      <c r="B186" s="43" t="str">
        <f>VLOOKUP(A186,Table!A:D,4,false)</f>
        <v>Period 7</v>
      </c>
      <c r="C186" s="178"/>
      <c r="D186" s="178"/>
      <c r="E186" s="43">
        <v>0.9166666666666666</v>
      </c>
      <c r="F186" s="43">
        <v>0.24166666666666667</v>
      </c>
      <c r="G186" s="70" t="s">
        <v>415</v>
      </c>
      <c r="H186" s="70"/>
      <c r="I186" s="70"/>
    </row>
    <row r="187">
      <c r="A187" s="177">
        <v>43167.0</v>
      </c>
      <c r="B187" s="43" t="str">
        <f>VLOOKUP(A187,Table!A:D,4,false)</f>
        <v>Period 7</v>
      </c>
      <c r="C187" s="178"/>
      <c r="D187" s="178"/>
      <c r="E187" s="43">
        <v>0.9166666666666666</v>
      </c>
      <c r="F187" s="43">
        <v>0.2013888888888889</v>
      </c>
      <c r="G187" s="70" t="s">
        <v>415</v>
      </c>
      <c r="H187" s="70"/>
      <c r="I187" s="70"/>
    </row>
    <row r="188">
      <c r="A188" s="177">
        <v>43168.0</v>
      </c>
      <c r="B188" s="43" t="str">
        <f>VLOOKUP(A188,Table!A:D,4,false)</f>
        <v>Period 7</v>
      </c>
      <c r="C188" s="178"/>
      <c r="D188" s="178"/>
      <c r="E188" s="43">
        <v>0.9166666666666666</v>
      </c>
      <c r="F188" s="43">
        <v>0.2222222222222222</v>
      </c>
      <c r="G188" s="70" t="s">
        <v>415</v>
      </c>
      <c r="H188" s="70"/>
      <c r="I188" s="70"/>
    </row>
    <row r="189">
      <c r="A189" s="177">
        <v>43169.0</v>
      </c>
      <c r="B189" s="43" t="str">
        <f>VLOOKUP(A189,Table!A:D,4,false)</f>
        <v>Period 7</v>
      </c>
      <c r="C189" s="178"/>
      <c r="D189" s="178"/>
      <c r="E189" s="43">
        <v>0.9166666666666666</v>
      </c>
      <c r="F189" s="43">
        <v>0.2590277777777778</v>
      </c>
      <c r="G189" s="70" t="s">
        <v>415</v>
      </c>
      <c r="H189" s="70"/>
      <c r="I189" s="70"/>
    </row>
    <row r="190">
      <c r="A190" s="179">
        <v>43170.75020833333</v>
      </c>
      <c r="B190" s="70" t="s">
        <v>348</v>
      </c>
      <c r="C190" s="43">
        <v>43170.17606481481</v>
      </c>
      <c r="D190" s="43">
        <v>43170.188784722224</v>
      </c>
      <c r="E190" s="43">
        <v>0.9166666666666666</v>
      </c>
      <c r="F190" s="43">
        <v>0.21736111111111112</v>
      </c>
      <c r="G190" s="70" t="s">
        <v>415</v>
      </c>
      <c r="H190" s="70"/>
      <c r="I190" s="70"/>
    </row>
    <row r="191">
      <c r="A191" s="179">
        <v>43171.75016203704</v>
      </c>
      <c r="B191" s="70" t="s">
        <v>348</v>
      </c>
      <c r="C191" s="43">
        <v>43171.13715277778</v>
      </c>
      <c r="D191" s="43">
        <v>43171.15840277778</v>
      </c>
      <c r="E191" s="43">
        <v>0.9166666666666666</v>
      </c>
      <c r="F191" s="43">
        <v>0.20555555555555555</v>
      </c>
      <c r="G191" s="70" t="s">
        <v>415</v>
      </c>
      <c r="H191" s="70"/>
      <c r="I191" s="70"/>
    </row>
    <row r="192">
      <c r="A192" s="179">
        <v>43172.75021990741</v>
      </c>
      <c r="B192" s="70" t="s">
        <v>348</v>
      </c>
      <c r="C192" s="43">
        <v>43172.11064814815</v>
      </c>
      <c r="D192" s="43">
        <v>43172.12347222222</v>
      </c>
      <c r="E192" s="43">
        <v>0.9166666666666666</v>
      </c>
      <c r="F192" s="43">
        <v>0.23958333333333334</v>
      </c>
      <c r="G192" s="70" t="s">
        <v>415</v>
      </c>
      <c r="H192" s="70"/>
      <c r="I192" s="70"/>
    </row>
    <row r="193">
      <c r="A193" s="179">
        <v>43173.750231481485</v>
      </c>
      <c r="B193" s="70" t="s">
        <v>348</v>
      </c>
      <c r="C193" s="43">
        <v>43173.12479166667</v>
      </c>
      <c r="D193" s="43">
        <v>43173.14822916667</v>
      </c>
      <c r="E193" s="43">
        <v>0.9166666666666666</v>
      </c>
      <c r="F193" s="43">
        <v>0.2263888888888889</v>
      </c>
      <c r="G193" s="70" t="s">
        <v>415</v>
      </c>
      <c r="H193" s="70"/>
      <c r="I193" s="70"/>
    </row>
    <row r="194">
      <c r="A194" s="179">
        <v>43174.750023148146</v>
      </c>
      <c r="B194" s="70" t="s">
        <v>348</v>
      </c>
      <c r="C194" s="43">
        <v>43174.123078703706</v>
      </c>
      <c r="D194" s="43">
        <v>43174.146469907406</v>
      </c>
      <c r="E194" s="43">
        <v>0.9166666666666666</v>
      </c>
      <c r="F194" s="43">
        <v>0.21805555555555556</v>
      </c>
      <c r="G194" s="70" t="s">
        <v>415</v>
      </c>
      <c r="H194" s="70"/>
      <c r="I194" s="70"/>
    </row>
    <row r="195">
      <c r="A195" s="179">
        <v>43175.750023148146</v>
      </c>
      <c r="B195" s="70" t="s">
        <v>348</v>
      </c>
      <c r="C195" s="43">
        <v>43175.12225694444</v>
      </c>
      <c r="D195" s="43">
        <v>43175.14572916667</v>
      </c>
      <c r="E195" s="43">
        <v>0.9166666666666666</v>
      </c>
      <c r="F195" s="43">
        <v>0.25277777777777777</v>
      </c>
      <c r="G195" s="70" t="s">
        <v>415</v>
      </c>
      <c r="H195" s="70"/>
      <c r="I195" s="70"/>
    </row>
    <row r="196">
      <c r="A196" s="179">
        <v>43176.75016203704</v>
      </c>
      <c r="B196" s="70" t="s">
        <v>348</v>
      </c>
      <c r="C196" s="146">
        <v>0.15555555555555556</v>
      </c>
      <c r="D196" s="146">
        <v>0.17222222222222222</v>
      </c>
      <c r="E196" s="43">
        <v>0.9166666666666666</v>
      </c>
      <c r="F196" s="43">
        <v>0.22361111111111112</v>
      </c>
      <c r="G196" s="70" t="s">
        <v>415</v>
      </c>
      <c r="H196" s="70"/>
      <c r="I196" s="70"/>
    </row>
    <row r="197">
      <c r="A197" s="179">
        <v>43177.75009259259</v>
      </c>
      <c r="B197" s="70" t="s">
        <v>348</v>
      </c>
      <c r="C197" s="146">
        <v>0.18611111111111112</v>
      </c>
      <c r="D197" s="146">
        <v>0.2076388888888889</v>
      </c>
      <c r="E197" s="43">
        <v>0.9166666666666666</v>
      </c>
      <c r="F197" s="146">
        <v>0.25416666666666665</v>
      </c>
      <c r="G197" s="70" t="s">
        <v>415</v>
      </c>
      <c r="H197" s="70"/>
      <c r="I197" s="70"/>
    </row>
    <row r="198">
      <c r="A198" s="179">
        <v>43178.75020833333</v>
      </c>
      <c r="B198" s="169" t="s">
        <v>349</v>
      </c>
      <c r="C198" s="146">
        <v>0.14583333333333334</v>
      </c>
      <c r="D198" s="146">
        <v>0.16944444444444445</v>
      </c>
      <c r="E198" s="43">
        <v>0.9166666666666666</v>
      </c>
      <c r="F198" s="146">
        <v>0.2388888888888889</v>
      </c>
      <c r="G198" s="70" t="s">
        <v>415</v>
      </c>
      <c r="H198" s="70"/>
      <c r="I198" s="70"/>
    </row>
    <row r="199">
      <c r="A199" s="179">
        <v>43179.59315972222</v>
      </c>
      <c r="B199" s="169" t="s">
        <v>349</v>
      </c>
      <c r="C199" s="146">
        <v>0.28055555555555556</v>
      </c>
      <c r="D199" s="146">
        <v>0.33402777777777776</v>
      </c>
      <c r="E199" s="43">
        <v>0.9166666666666666</v>
      </c>
      <c r="F199" s="146">
        <v>0.4340277777777778</v>
      </c>
      <c r="G199" s="70" t="s">
        <v>416</v>
      </c>
      <c r="H199" s="70"/>
      <c r="I199" s="70"/>
    </row>
    <row r="200">
      <c r="A200" s="179">
        <v>43180.75001157408</v>
      </c>
      <c r="B200" s="169" t="s">
        <v>349</v>
      </c>
      <c r="C200" s="146">
        <v>0.1076388888888889</v>
      </c>
      <c r="D200" s="146">
        <v>0.12430555555555556</v>
      </c>
      <c r="E200" s="43">
        <v>0.9166666666666666</v>
      </c>
      <c r="F200" s="146">
        <v>0.2708333333333333</v>
      </c>
      <c r="G200" s="70" t="s">
        <v>415</v>
      </c>
      <c r="H200" s="70"/>
      <c r="I200" s="70"/>
    </row>
    <row r="201">
      <c r="A201" s="179">
        <v>43181.75013888889</v>
      </c>
      <c r="B201" s="169" t="s">
        <v>349</v>
      </c>
      <c r="C201" s="146">
        <v>0.12222222222222222</v>
      </c>
      <c r="D201" s="146">
        <v>0.1388888888888889</v>
      </c>
      <c r="E201" s="43">
        <v>0.9166666666666666</v>
      </c>
      <c r="F201" s="146">
        <v>0.22361111111111112</v>
      </c>
      <c r="G201" s="70" t="s">
        <v>415</v>
      </c>
      <c r="H201" s="70"/>
      <c r="I201" s="70"/>
    </row>
    <row r="202">
      <c r="A202" s="179">
        <v>43182.75015046296</v>
      </c>
      <c r="B202" s="169" t="s">
        <v>349</v>
      </c>
      <c r="C202" s="146">
        <v>0.10833333333333334</v>
      </c>
      <c r="D202" s="146">
        <v>0.125</v>
      </c>
      <c r="E202" s="43">
        <v>0.9166666666666666</v>
      </c>
      <c r="F202" s="146">
        <v>0.21736111111111112</v>
      </c>
      <c r="G202" s="70" t="s">
        <v>415</v>
      </c>
      <c r="H202" s="70"/>
      <c r="I202" s="70"/>
    </row>
    <row r="203">
      <c r="A203" s="179">
        <v>43183.75016203704</v>
      </c>
      <c r="B203" s="169" t="s">
        <v>349</v>
      </c>
      <c r="C203" s="146">
        <v>0.09861111111111111</v>
      </c>
      <c r="D203" s="146">
        <v>0.11319444444444444</v>
      </c>
      <c r="E203" s="43">
        <v>0.9166666666666666</v>
      </c>
      <c r="F203" s="146">
        <v>0.1951388888888889</v>
      </c>
      <c r="G203" s="70" t="s">
        <v>415</v>
      </c>
      <c r="H203" s="70"/>
      <c r="I203" s="70"/>
    </row>
    <row r="204">
      <c r="A204" s="179">
        <v>43184.7500462963</v>
      </c>
      <c r="B204" s="169" t="s">
        <v>349</v>
      </c>
      <c r="C204" s="146">
        <v>0.12569444444444444</v>
      </c>
      <c r="D204" s="146">
        <v>0.14722222222222223</v>
      </c>
      <c r="E204" s="43">
        <v>0.9166666666666666</v>
      </c>
      <c r="F204" s="146">
        <v>0.21875</v>
      </c>
      <c r="G204" s="70" t="s">
        <v>415</v>
      </c>
      <c r="H204" s="70"/>
      <c r="I204" s="70"/>
    </row>
    <row r="205">
      <c r="A205" s="179">
        <v>43185.75019675926</v>
      </c>
      <c r="B205" s="169" t="s">
        <v>349</v>
      </c>
      <c r="C205" s="146">
        <v>0.11041666666666666</v>
      </c>
      <c r="D205" s="146">
        <v>0.12986111111111112</v>
      </c>
      <c r="E205" s="43">
        <v>0.9166666666666666</v>
      </c>
      <c r="F205" s="146">
        <v>0.2111111111111111</v>
      </c>
      <c r="G205" s="70" t="s">
        <v>415</v>
      </c>
      <c r="H205" s="70"/>
      <c r="I205" s="70"/>
    </row>
    <row r="206">
      <c r="A206" s="179">
        <v>43186.750069444446</v>
      </c>
      <c r="B206" s="169" t="s">
        <v>349</v>
      </c>
      <c r="C206" s="146">
        <v>0.10972222222222222</v>
      </c>
      <c r="D206" s="146">
        <v>0.13541666666666666</v>
      </c>
      <c r="E206" s="43">
        <v>0.9166666666666666</v>
      </c>
      <c r="F206" s="146">
        <v>0.21666666666666667</v>
      </c>
      <c r="G206" s="70" t="s">
        <v>415</v>
      </c>
      <c r="H206" s="70"/>
      <c r="I206" s="70"/>
    </row>
    <row r="207">
      <c r="A207" s="179">
        <v>43187.750127314815</v>
      </c>
      <c r="B207" s="169" t="s">
        <v>349</v>
      </c>
      <c r="C207" s="146">
        <v>0.10902777777777778</v>
      </c>
      <c r="D207" s="146">
        <v>0.1284722222222222</v>
      </c>
      <c r="E207" s="43">
        <v>0.9166666666666666</v>
      </c>
      <c r="F207" s="146">
        <v>0.21666666666666667</v>
      </c>
      <c r="G207" s="70" t="s">
        <v>415</v>
      </c>
      <c r="H207" s="70"/>
      <c r="I207" s="70"/>
    </row>
    <row r="208">
      <c r="A208" s="179">
        <v>43188.75020833333</v>
      </c>
      <c r="B208" s="169" t="s">
        <v>349</v>
      </c>
      <c r="C208" s="146">
        <v>0.12361111111111112</v>
      </c>
      <c r="D208" s="146">
        <v>0.15763888888888888</v>
      </c>
      <c r="E208" s="43">
        <v>0.9166666666666666</v>
      </c>
      <c r="F208" s="146">
        <v>0.22152777777777777</v>
      </c>
      <c r="G208" s="70" t="s">
        <v>415</v>
      </c>
      <c r="H208" s="70"/>
      <c r="I208" s="70"/>
    </row>
    <row r="209">
      <c r="A209" s="179">
        <v>43189.7500462963</v>
      </c>
      <c r="B209" s="169" t="s">
        <v>349</v>
      </c>
      <c r="C209" s="146">
        <v>0.12361111111111112</v>
      </c>
      <c r="D209" s="146">
        <v>0.1423611111111111</v>
      </c>
      <c r="E209" s="43">
        <v>0.9166666666666666</v>
      </c>
      <c r="F209" s="146">
        <v>0.21736111111111112</v>
      </c>
      <c r="G209" s="70" t="s">
        <v>415</v>
      </c>
      <c r="H209" s="70"/>
      <c r="I209" s="70"/>
    </row>
    <row r="210">
      <c r="A210" s="179">
        <v>43190.750069444446</v>
      </c>
      <c r="B210" s="169" t="s">
        <v>349</v>
      </c>
      <c r="C210" s="146">
        <v>0.12777777777777777</v>
      </c>
      <c r="D210" s="146">
        <v>0.14652777777777778</v>
      </c>
      <c r="E210" s="43">
        <v>0.9166666666666666</v>
      </c>
      <c r="F210" s="146">
        <v>0.2222222222222222</v>
      </c>
      <c r="G210" s="70" t="s">
        <v>415</v>
      </c>
      <c r="H210" s="70"/>
      <c r="I210" s="70"/>
    </row>
    <row r="211">
      <c r="A211" s="179">
        <v>43191.7500462963</v>
      </c>
      <c r="B211" s="169" t="s">
        <v>349</v>
      </c>
      <c r="C211" s="146">
        <v>0.12777777777777777</v>
      </c>
      <c r="D211" s="146">
        <v>0.14930555555555555</v>
      </c>
      <c r="E211" s="43">
        <v>0.9166666666666666</v>
      </c>
      <c r="F211" s="146">
        <v>0.21319444444444444</v>
      </c>
      <c r="G211" s="70" t="s">
        <v>415</v>
      </c>
      <c r="H211" s="70"/>
      <c r="I211" s="70"/>
    </row>
    <row r="212">
      <c r="A212" s="179">
        <v>43192.75010416667</v>
      </c>
      <c r="B212" s="169" t="s">
        <v>349</v>
      </c>
      <c r="C212" s="146">
        <v>0.125</v>
      </c>
      <c r="D212" s="146">
        <v>0.1423611111111111</v>
      </c>
      <c r="E212" s="43">
        <v>0.9166666666666666</v>
      </c>
      <c r="F212" s="146">
        <v>0.22291666666666668</v>
      </c>
      <c r="G212" s="70" t="s">
        <v>415</v>
      </c>
      <c r="H212" s="70"/>
      <c r="I212" s="70"/>
    </row>
    <row r="213">
      <c r="A213" s="179">
        <v>43193.75011574074</v>
      </c>
      <c r="B213" s="169" t="s">
        <v>349</v>
      </c>
      <c r="C213" s="146">
        <v>0.10972222222222222</v>
      </c>
      <c r="D213" s="146">
        <v>0.12291666666666666</v>
      </c>
      <c r="E213" s="43">
        <v>0.9166666666666666</v>
      </c>
      <c r="F213" s="146">
        <v>0.22361111111111112</v>
      </c>
      <c r="G213" s="70" t="s">
        <v>415</v>
      </c>
      <c r="H213" s="70"/>
      <c r="I213" s="70"/>
    </row>
    <row r="214">
      <c r="A214" s="179">
        <v>43194.75016203704</v>
      </c>
      <c r="B214" s="169" t="s">
        <v>349</v>
      </c>
      <c r="C214" s="146">
        <v>0.10416666666666667</v>
      </c>
      <c r="D214" s="146">
        <v>0.11666666666666667</v>
      </c>
      <c r="E214" s="43">
        <v>0.9166666666666666</v>
      </c>
      <c r="F214" s="146">
        <v>0.20625</v>
      </c>
      <c r="G214" s="70" t="s">
        <v>415</v>
      </c>
      <c r="H214" s="70"/>
      <c r="I214" s="70"/>
    </row>
    <row r="215">
      <c r="A215" s="179">
        <v>43195.75015046296</v>
      </c>
      <c r="B215" s="169" t="s">
        <v>349</v>
      </c>
      <c r="C215" s="146">
        <v>0.12430555555555556</v>
      </c>
      <c r="D215" s="146">
        <v>0.14166666666666666</v>
      </c>
      <c r="E215" s="43">
        <v>0.9166666666666666</v>
      </c>
      <c r="F215" s="146">
        <v>0.2263888888888889</v>
      </c>
      <c r="G215" s="70" t="s">
        <v>415</v>
      </c>
      <c r="H215" s="70"/>
      <c r="I215" s="70"/>
    </row>
    <row r="216">
      <c r="A216" s="179">
        <v>43196.75003472222</v>
      </c>
      <c r="B216" s="169" t="s">
        <v>349</v>
      </c>
      <c r="C216" s="146">
        <v>0.10972222222222222</v>
      </c>
      <c r="D216" s="146">
        <v>0.14722222222222223</v>
      </c>
      <c r="E216" s="43">
        <v>0.9166666666666666</v>
      </c>
      <c r="F216" s="146">
        <v>0.24861111111111112</v>
      </c>
      <c r="G216" s="70" t="s">
        <v>415</v>
      </c>
      <c r="H216" s="70"/>
      <c r="I216" s="70"/>
    </row>
    <row r="217">
      <c r="A217" s="179">
        <v>43197.75003472222</v>
      </c>
      <c r="B217" s="169" t="s">
        <v>349</v>
      </c>
      <c r="C217" s="146">
        <v>0.1111111111111111</v>
      </c>
      <c r="D217" s="146">
        <v>0.12569444444444444</v>
      </c>
      <c r="E217" s="43">
        <v>0.9166666666666666</v>
      </c>
      <c r="F217" s="146">
        <v>0.20902777777777778</v>
      </c>
      <c r="G217" s="70" t="s">
        <v>415</v>
      </c>
      <c r="H217" s="70"/>
      <c r="I217" s="70"/>
    </row>
    <row r="218">
      <c r="A218" s="179">
        <v>43198.75009259259</v>
      </c>
      <c r="B218" s="169" t="s">
        <v>349</v>
      </c>
      <c r="C218" s="146">
        <v>0.1625</v>
      </c>
      <c r="D218" s="146">
        <v>0.18611111111111112</v>
      </c>
      <c r="E218" s="43">
        <v>0.9166666666666666</v>
      </c>
      <c r="F218" s="146">
        <v>0.24930555555555556</v>
      </c>
      <c r="G218" s="70" t="s">
        <v>415</v>
      </c>
      <c r="H218" s="70"/>
      <c r="I218" s="70"/>
    </row>
    <row r="219">
      <c r="A219" s="179">
        <v>43199.75013888889</v>
      </c>
      <c r="B219" s="169" t="s">
        <v>349</v>
      </c>
      <c r="C219" s="146">
        <v>0.125</v>
      </c>
      <c r="D219" s="146">
        <v>0.1375</v>
      </c>
      <c r="E219" s="43">
        <v>0.9166666666666666</v>
      </c>
      <c r="F219" s="146">
        <v>0.22708333333333333</v>
      </c>
      <c r="G219" s="70" t="s">
        <v>415</v>
      </c>
      <c r="H219" s="70"/>
      <c r="I219" s="70"/>
    </row>
    <row r="220">
      <c r="A220" s="179">
        <v>43200.7500462963</v>
      </c>
      <c r="B220" s="169" t="s">
        <v>349</v>
      </c>
      <c r="C220" s="146">
        <v>0.11319444444444444</v>
      </c>
      <c r="D220" s="146">
        <v>0.1388888888888889</v>
      </c>
      <c r="E220" s="43">
        <v>0.9166666666666666</v>
      </c>
      <c r="F220" s="146">
        <v>0.2263888888888889</v>
      </c>
      <c r="G220" s="70" t="s">
        <v>415</v>
      </c>
      <c r="H220" s="70"/>
      <c r="I220" s="70"/>
    </row>
    <row r="221">
      <c r="A221" s="179">
        <v>43201.75010416667</v>
      </c>
      <c r="B221" s="169" t="s">
        <v>349</v>
      </c>
      <c r="C221" s="146">
        <v>0.14097222222222222</v>
      </c>
      <c r="D221" s="146">
        <v>0.19166666666666668</v>
      </c>
      <c r="E221" s="43">
        <v>0.9166666666666666</v>
      </c>
      <c r="F221" s="146">
        <v>0.35</v>
      </c>
      <c r="G221" s="70" t="s">
        <v>416</v>
      </c>
      <c r="H221" s="70"/>
      <c r="I221" s="70"/>
    </row>
    <row r="222">
      <c r="A222" s="179">
        <v>43202.0</v>
      </c>
      <c r="B222" s="43" t="str">
        <f>VLOOKUP(A222,Table!A:D,4,false)</f>
        <v>Period 8</v>
      </c>
      <c r="C222" s="146">
        <v>0.125</v>
      </c>
      <c r="D222" s="146">
        <v>0.1486111111111111</v>
      </c>
      <c r="E222" s="43">
        <v>0.9166666666666666</v>
      </c>
      <c r="F222" s="146">
        <v>0.2298611111111111</v>
      </c>
      <c r="G222" s="70" t="s">
        <v>415</v>
      </c>
      <c r="H222" s="70"/>
      <c r="I222" s="70"/>
    </row>
    <row r="223">
      <c r="A223" s="179">
        <v>43203.0</v>
      </c>
      <c r="B223" s="43" t="str">
        <f>VLOOKUP(A223,Table!A:D,4,false)</f>
        <v>Period 8</v>
      </c>
      <c r="C223" s="146">
        <v>0.125</v>
      </c>
      <c r="D223" s="146">
        <v>0.1375</v>
      </c>
      <c r="E223" s="43">
        <v>0.9166666666666666</v>
      </c>
      <c r="F223" s="146">
        <v>0.22777777777777777</v>
      </c>
      <c r="G223" s="70" t="s">
        <v>415</v>
      </c>
      <c r="H223" s="70"/>
      <c r="I223" s="70"/>
    </row>
    <row r="224">
      <c r="A224" s="179">
        <v>43204.0</v>
      </c>
      <c r="B224" s="43" t="str">
        <f>VLOOKUP(A224,Table!A:D,4,false)</f>
        <v>Period 8</v>
      </c>
      <c r="C224" s="146">
        <v>0.17847222222222223</v>
      </c>
      <c r="D224" s="146">
        <v>0.1951388888888889</v>
      </c>
      <c r="E224" s="43">
        <v>0.9166666666666666</v>
      </c>
      <c r="F224" s="146">
        <v>0.24375</v>
      </c>
      <c r="G224" s="70" t="s">
        <v>415</v>
      </c>
      <c r="H224" s="70"/>
      <c r="I224" s="70"/>
    </row>
    <row r="225">
      <c r="A225" s="179">
        <v>43205.0</v>
      </c>
      <c r="B225" s="43" t="str">
        <f>VLOOKUP(A225,Table!A:D,4,false)</f>
        <v>Period 8</v>
      </c>
      <c r="C225" s="146">
        <v>0.22152777777777777</v>
      </c>
      <c r="D225" s="146">
        <v>0.24513888888888888</v>
      </c>
      <c r="E225" s="43">
        <v>0.9166666666666666</v>
      </c>
      <c r="F225" s="146">
        <v>0.3076388888888889</v>
      </c>
      <c r="G225" s="70" t="s">
        <v>416</v>
      </c>
      <c r="H225" s="70"/>
      <c r="I225" s="70"/>
    </row>
    <row r="226">
      <c r="A226" s="179">
        <v>43206.0</v>
      </c>
      <c r="B226" s="43" t="str">
        <f>VLOOKUP(A226,Table!A:D,4,false)</f>
        <v>Period 9</v>
      </c>
      <c r="C226" s="146">
        <v>0.13333333333333333</v>
      </c>
      <c r="D226" s="146">
        <v>0.15486111111111112</v>
      </c>
      <c r="E226" s="43">
        <v>0.9166666666666666</v>
      </c>
      <c r="F226" s="146">
        <v>0.21944444444444444</v>
      </c>
      <c r="G226" s="70" t="s">
        <v>415</v>
      </c>
      <c r="H226" s="70"/>
      <c r="I226" s="70"/>
    </row>
    <row r="227">
      <c r="A227" s="179">
        <v>43207.0</v>
      </c>
      <c r="B227" s="43" t="str">
        <f>VLOOKUP(A227,Table!A:D,4,false)</f>
        <v>Period 9</v>
      </c>
      <c r="C227" s="43">
        <v>0.17430555555555555</v>
      </c>
      <c r="D227" s="43">
        <v>0.19236111111111112</v>
      </c>
      <c r="E227" s="43">
        <v>0.9166666666666666</v>
      </c>
      <c r="F227" s="43">
        <v>0.26875</v>
      </c>
      <c r="G227" s="70" t="s">
        <v>415</v>
      </c>
      <c r="H227" s="70"/>
      <c r="I227" s="70"/>
    </row>
    <row r="228">
      <c r="A228" s="179">
        <v>43208.0</v>
      </c>
      <c r="B228" s="43" t="str">
        <f>VLOOKUP(A228,Table!A:D,4,false)</f>
        <v>Period 9</v>
      </c>
      <c r="C228" s="43">
        <v>0.12986111111111112</v>
      </c>
      <c r="D228" s="43">
        <v>0.1486111111111111</v>
      </c>
      <c r="E228" s="43">
        <v>0.9166666666666666</v>
      </c>
      <c r="F228" s="43">
        <v>0.24097222222222223</v>
      </c>
      <c r="G228" s="70" t="s">
        <v>415</v>
      </c>
      <c r="H228" s="70"/>
      <c r="I228" s="70"/>
    </row>
    <row r="229">
      <c r="A229" s="179">
        <v>43209.0</v>
      </c>
      <c r="B229" s="43" t="str">
        <f>VLOOKUP(A229,Table!A:D,4,false)</f>
        <v>Period 9</v>
      </c>
      <c r="C229" s="43">
        <v>0.12986111111111112</v>
      </c>
      <c r="D229" s="43">
        <v>0.1486111111111111</v>
      </c>
      <c r="E229" s="43">
        <v>0.9166666666666666</v>
      </c>
      <c r="F229" s="43">
        <v>0.22361111111111112</v>
      </c>
      <c r="G229" s="70" t="s">
        <v>415</v>
      </c>
      <c r="H229" s="70"/>
      <c r="I229" s="70"/>
    </row>
    <row r="230">
      <c r="A230" s="179">
        <v>43210.0</v>
      </c>
      <c r="B230" s="43" t="str">
        <f>VLOOKUP(A230,Table!A:D,4,false)</f>
        <v>Period 9</v>
      </c>
      <c r="C230" s="43">
        <v>0.11597222222222223</v>
      </c>
      <c r="D230" s="43">
        <v>0.13541666666666666</v>
      </c>
      <c r="E230" s="43">
        <v>0.9166666666666666</v>
      </c>
      <c r="F230" s="43">
        <v>0.21388888888888888</v>
      </c>
      <c r="G230" s="70" t="s">
        <v>415</v>
      </c>
      <c r="H230" s="70"/>
      <c r="I230" s="70"/>
    </row>
    <row r="231">
      <c r="A231" s="179">
        <v>43211.0</v>
      </c>
      <c r="B231" s="43" t="str">
        <f>VLOOKUP(A231,Table!A:D,4,false)</f>
        <v>Period 9</v>
      </c>
      <c r="C231" s="43">
        <v>0.1673611111111111</v>
      </c>
      <c r="D231" s="43">
        <v>0.18263888888888888</v>
      </c>
      <c r="E231" s="43">
        <v>0.9166666666666666</v>
      </c>
      <c r="F231" s="43">
        <v>0.2625</v>
      </c>
      <c r="G231" s="70" t="s">
        <v>415</v>
      </c>
      <c r="H231" s="70"/>
      <c r="I231" s="70"/>
    </row>
    <row r="232">
      <c r="A232" s="179">
        <v>43212.0</v>
      </c>
      <c r="B232" s="43" t="str">
        <f>VLOOKUP(A232,Table!A:D,4,false)</f>
        <v>Period 9</v>
      </c>
      <c r="C232" s="43">
        <v>0.12569444444444444</v>
      </c>
      <c r="D232" s="43">
        <v>0.14930555555555555</v>
      </c>
      <c r="E232" s="43">
        <v>0.9166666666666666</v>
      </c>
      <c r="F232" s="43">
        <v>0.22777777777777777</v>
      </c>
      <c r="G232" s="70" t="s">
        <v>415</v>
      </c>
      <c r="H232" s="70"/>
      <c r="I232" s="70"/>
    </row>
    <row r="233">
      <c r="A233" s="179">
        <v>43213.0</v>
      </c>
      <c r="B233" s="43" t="str">
        <f>VLOOKUP(A233,Table!A:D,4,false)</f>
        <v>Period 9</v>
      </c>
      <c r="C233" s="43">
        <v>0.12222222222222222</v>
      </c>
      <c r="D233" s="43">
        <v>0.13958333333333334</v>
      </c>
      <c r="E233" s="43">
        <v>0.9166666666666666</v>
      </c>
      <c r="F233" s="43">
        <v>0.22291666666666668</v>
      </c>
      <c r="G233" s="70" t="s">
        <v>415</v>
      </c>
      <c r="H233" s="70"/>
      <c r="I233" s="70"/>
    </row>
    <row r="234">
      <c r="A234" s="179">
        <v>43214.0</v>
      </c>
      <c r="B234" s="43" t="str">
        <f>VLOOKUP(A234,Table!A:D,4,false)</f>
        <v>Period 9</v>
      </c>
      <c r="C234" s="43">
        <v>0.125</v>
      </c>
      <c r="D234" s="43">
        <v>0.17291666666666666</v>
      </c>
      <c r="E234" s="43">
        <v>0.9166666666666666</v>
      </c>
      <c r="F234" s="43">
        <v>0.2652777777777778</v>
      </c>
      <c r="G234" s="70" t="s">
        <v>415</v>
      </c>
      <c r="H234" s="70"/>
      <c r="I234" s="70"/>
    </row>
    <row r="235">
      <c r="A235" s="179">
        <v>43215.0</v>
      </c>
      <c r="B235" s="43" t="str">
        <f>VLOOKUP(A235,Table!A:D,4,false)</f>
        <v>Period 9</v>
      </c>
      <c r="C235" s="43">
        <v>0.10972222222222222</v>
      </c>
      <c r="D235" s="43">
        <v>0.12708333333333333</v>
      </c>
      <c r="E235" s="43">
        <v>0.9166666666666666</v>
      </c>
      <c r="F235" s="43">
        <v>0.21875</v>
      </c>
      <c r="G235" s="70" t="s">
        <v>415</v>
      </c>
      <c r="H235" s="70"/>
      <c r="I235" s="70"/>
    </row>
    <row r="236">
      <c r="A236" s="179">
        <v>43216.0</v>
      </c>
      <c r="B236" s="43" t="str">
        <f>VLOOKUP(A236,Table!A:D,4,false)</f>
        <v>Period 9</v>
      </c>
      <c r="C236" s="43">
        <v>0.125</v>
      </c>
      <c r="D236" s="43">
        <v>0.15902777777777777</v>
      </c>
      <c r="E236" s="43">
        <v>0.9166666666666666</v>
      </c>
      <c r="F236" s="43">
        <v>0.2375</v>
      </c>
      <c r="G236" s="70" t="s">
        <v>415</v>
      </c>
      <c r="H236" s="70"/>
      <c r="I236" s="70"/>
    </row>
    <row r="237">
      <c r="A237" s="179">
        <v>43217.0</v>
      </c>
      <c r="B237" s="43" t="str">
        <f>VLOOKUP(A237,Table!A:D,4,false)</f>
        <v>Period 9</v>
      </c>
      <c r="C237" s="43">
        <v>0.10972222222222222</v>
      </c>
      <c r="D237" s="43">
        <v>0.1284722222222222</v>
      </c>
      <c r="E237" s="43">
        <v>0.9166666666666666</v>
      </c>
      <c r="F237" s="43">
        <v>0.22083333333333333</v>
      </c>
      <c r="G237" s="70" t="s">
        <v>415</v>
      </c>
      <c r="H237" s="70"/>
      <c r="I237" s="70"/>
    </row>
    <row r="238">
      <c r="A238" s="179">
        <v>43218.0</v>
      </c>
      <c r="B238" s="43" t="str">
        <f>VLOOKUP(A238,Table!A:D,4,false)</f>
        <v>Period 9</v>
      </c>
      <c r="C238" s="43">
        <v>0.12777777777777777</v>
      </c>
      <c r="D238" s="43">
        <v>0.1423611111111111</v>
      </c>
      <c r="E238" s="43">
        <v>0.9166666666666666</v>
      </c>
      <c r="F238" s="43">
        <v>0.23819444444444443</v>
      </c>
      <c r="G238" s="70" t="s">
        <v>415</v>
      </c>
      <c r="H238" s="70"/>
      <c r="I238" s="70"/>
    </row>
    <row r="239">
      <c r="A239" s="179">
        <v>43219.0</v>
      </c>
      <c r="B239" s="43" t="str">
        <f>VLOOKUP(A239,Table!A:D,4,false)</f>
        <v>Period 9</v>
      </c>
      <c r="C239" s="43">
        <v>0.12569444444444444</v>
      </c>
      <c r="D239" s="43">
        <v>0.14027777777777778</v>
      </c>
      <c r="E239" s="43">
        <v>0.9166666666666666</v>
      </c>
      <c r="F239" s="43">
        <v>0.22916666666666666</v>
      </c>
      <c r="G239" s="70" t="s">
        <v>415</v>
      </c>
      <c r="H239" s="70"/>
      <c r="I239" s="70"/>
    </row>
    <row r="240">
      <c r="A240" s="179">
        <v>43220.0</v>
      </c>
      <c r="B240" s="43" t="str">
        <f>VLOOKUP(A240,Table!A:D,4,false)</f>
        <v>Period 9</v>
      </c>
      <c r="C240" s="43">
        <v>0.10902777777777778</v>
      </c>
      <c r="D240" s="43">
        <v>0.12638888888888888</v>
      </c>
      <c r="E240" s="43">
        <v>0.9166666666666666</v>
      </c>
      <c r="F240" s="43">
        <v>0.2298611111111111</v>
      </c>
      <c r="G240" s="70" t="s">
        <v>415</v>
      </c>
      <c r="H240" s="70"/>
      <c r="I240" s="70"/>
    </row>
    <row r="241">
      <c r="A241" s="179">
        <v>43221.0</v>
      </c>
      <c r="B241" s="43" t="str">
        <f>VLOOKUP(A241,Table!A:D,4,false)</f>
        <v>Period 9</v>
      </c>
      <c r="C241" s="43">
        <v>0.23819444444444443</v>
      </c>
      <c r="D241" s="43">
        <v>0.26805555555555555</v>
      </c>
      <c r="E241" s="43">
        <v>0.9166666666666666</v>
      </c>
      <c r="F241" s="43">
        <v>0.36944444444444446</v>
      </c>
      <c r="G241" s="70" t="s">
        <v>416</v>
      </c>
      <c r="H241" s="70"/>
      <c r="I241" s="70"/>
    </row>
    <row r="242">
      <c r="A242" s="179">
        <v>43222.0</v>
      </c>
      <c r="B242" s="43" t="str">
        <f>VLOOKUP(A242,Table!A:D,4,false)</f>
        <v>Period 9</v>
      </c>
      <c r="C242" s="43">
        <v>0.1423611111111111</v>
      </c>
      <c r="D242" s="43">
        <v>0.1597222222222222</v>
      </c>
      <c r="E242" s="43">
        <v>0.9166666666666666</v>
      </c>
      <c r="F242" s="43">
        <v>0.2722222222222222</v>
      </c>
      <c r="G242" s="70" t="s">
        <v>416</v>
      </c>
      <c r="H242" s="70"/>
      <c r="I242" s="70"/>
    </row>
    <row r="243">
      <c r="A243" s="179">
        <v>43223.0</v>
      </c>
      <c r="B243" s="43" t="str">
        <f>VLOOKUP(A243,Table!A:D,4,false)</f>
        <v>Period 9</v>
      </c>
      <c r="C243" s="43">
        <v>0.125</v>
      </c>
      <c r="D243" s="43">
        <v>0.1423611111111111</v>
      </c>
      <c r="E243" s="43">
        <v>0.9166666666666666</v>
      </c>
      <c r="F243" s="43">
        <v>0.2326388888888889</v>
      </c>
      <c r="G243" s="70" t="s">
        <v>415</v>
      </c>
      <c r="H243" s="70"/>
      <c r="I243" s="70"/>
    </row>
    <row r="244">
      <c r="A244" s="179">
        <v>43224.0</v>
      </c>
      <c r="B244" s="43" t="str">
        <f>VLOOKUP(A244,Table!A:D,4,false)</f>
        <v>Period 9</v>
      </c>
      <c r="C244" s="43">
        <v>0.12291666666666666</v>
      </c>
      <c r="D244" s="43">
        <v>0.14444444444444443</v>
      </c>
      <c r="E244" s="43">
        <v>0.9166666666666666</v>
      </c>
      <c r="F244" s="43">
        <v>0.3076388888888889</v>
      </c>
      <c r="G244" s="70" t="s">
        <v>416</v>
      </c>
      <c r="H244" s="70"/>
      <c r="I244" s="70"/>
    </row>
    <row r="245">
      <c r="A245" s="179">
        <v>43225.0</v>
      </c>
      <c r="B245" s="43" t="str">
        <f>VLOOKUP(A245,Table!A:D,4,false)</f>
        <v>Period 9</v>
      </c>
      <c r="C245" s="43">
        <v>0.10555555555555556</v>
      </c>
      <c r="D245" s="43">
        <v>0.12083333333333333</v>
      </c>
      <c r="E245" s="43">
        <v>0.9166666666666666</v>
      </c>
      <c r="F245" s="43">
        <v>0.21319444444444444</v>
      </c>
      <c r="G245" s="70" t="s">
        <v>415</v>
      </c>
      <c r="H245" s="70"/>
      <c r="I245" s="70"/>
    </row>
    <row r="246">
      <c r="A246" s="179">
        <v>43226.0</v>
      </c>
      <c r="B246" s="43" t="str">
        <f>VLOOKUP(A246,Table!A:D,4,false)</f>
        <v>Period 9</v>
      </c>
      <c r="C246" s="43">
        <v>0.12777777777777777</v>
      </c>
      <c r="D246" s="43">
        <v>0.15138888888888888</v>
      </c>
      <c r="E246" s="43">
        <v>0.9166666666666666</v>
      </c>
      <c r="F246" s="43">
        <v>0.22708333333333333</v>
      </c>
      <c r="G246" s="70" t="s">
        <v>415</v>
      </c>
      <c r="H246" s="70"/>
      <c r="I246" s="70"/>
    </row>
    <row r="247">
      <c r="A247" s="179">
        <v>43227.0</v>
      </c>
      <c r="B247" s="43" t="str">
        <f>VLOOKUP(A247,Table!A:D,4,false)</f>
        <v>Period 9</v>
      </c>
      <c r="C247" s="43">
        <v>0.11041666666666666</v>
      </c>
      <c r="D247" s="43">
        <v>0.12291666666666666</v>
      </c>
      <c r="E247" s="43">
        <v>0.9166666666666666</v>
      </c>
      <c r="F247" s="43">
        <v>0.21944444444444444</v>
      </c>
      <c r="G247" s="70" t="s">
        <v>415</v>
      </c>
      <c r="H247" s="70"/>
      <c r="I247" s="70"/>
    </row>
    <row r="248">
      <c r="A248" s="179">
        <v>43228.0</v>
      </c>
      <c r="B248" s="43" t="str">
        <f>VLOOKUP(A248,Table!A:D,4,false)</f>
        <v>Period 9</v>
      </c>
      <c r="C248" s="43">
        <v>0.11041666666666666</v>
      </c>
      <c r="D248" s="43">
        <v>0.12986111111111112</v>
      </c>
      <c r="E248" s="43">
        <v>0.9166666666666666</v>
      </c>
      <c r="F248" s="43">
        <v>0.24861111111111112</v>
      </c>
      <c r="G248" s="70" t="s">
        <v>415</v>
      </c>
      <c r="H248" s="70"/>
      <c r="I248" s="70"/>
    </row>
    <row r="249">
      <c r="A249" s="179">
        <v>43229.0</v>
      </c>
      <c r="B249" s="43" t="str">
        <f>VLOOKUP(A249,Table!A:D,4,false)</f>
        <v>Period 9</v>
      </c>
      <c r="C249" s="43">
        <v>0.14027777777777778</v>
      </c>
      <c r="D249" s="43">
        <v>0.16805555555555557</v>
      </c>
      <c r="E249" s="43">
        <v>0.9166666666666666</v>
      </c>
      <c r="F249" s="43">
        <v>0.27291666666666664</v>
      </c>
      <c r="G249" s="70" t="s">
        <v>416</v>
      </c>
      <c r="H249" s="70"/>
      <c r="I249" s="70"/>
    </row>
    <row r="250">
      <c r="A250" s="179">
        <v>43230.0</v>
      </c>
      <c r="B250" s="43" t="str">
        <f>VLOOKUP(A250,Table!A:D,4,false)</f>
        <v>Period 9</v>
      </c>
      <c r="C250" s="43">
        <v>0.1111111111111111</v>
      </c>
      <c r="D250" s="43">
        <v>0.13472222222222222</v>
      </c>
      <c r="E250" s="43">
        <v>0.9166666666666666</v>
      </c>
      <c r="F250" s="43">
        <v>0.24444444444444444</v>
      </c>
      <c r="G250" s="70" t="s">
        <v>415</v>
      </c>
      <c r="H250" s="70"/>
      <c r="I250" s="70"/>
    </row>
    <row r="251">
      <c r="A251" s="179">
        <v>43231.0</v>
      </c>
      <c r="B251" s="43" t="str">
        <f>VLOOKUP(A251,Table!A:D,4,false)</f>
        <v>Period 9</v>
      </c>
      <c r="C251" s="43">
        <v>0.10833333333333334</v>
      </c>
      <c r="D251" s="43">
        <v>0.12569444444444444</v>
      </c>
      <c r="E251" s="43">
        <v>0.9166666666666666</v>
      </c>
      <c r="F251" s="43">
        <v>0.24444444444444444</v>
      </c>
      <c r="G251" s="70" t="s">
        <v>415</v>
      </c>
      <c r="H251" s="70"/>
      <c r="I251" s="70"/>
    </row>
    <row r="252">
      <c r="A252" s="179">
        <v>43232.0</v>
      </c>
      <c r="B252" s="43" t="str">
        <f>VLOOKUP(A252,Table!A:D,4,false)</f>
        <v>Period 9</v>
      </c>
      <c r="C252" s="43">
        <v>0.14097222222222222</v>
      </c>
      <c r="D252" s="43">
        <v>0.15625</v>
      </c>
      <c r="E252" s="43">
        <v>0.9166666666666666</v>
      </c>
      <c r="F252" s="43">
        <v>0.2513888888888889</v>
      </c>
      <c r="G252" s="70" t="s">
        <v>415</v>
      </c>
      <c r="H252" s="70"/>
      <c r="I252" s="70"/>
    </row>
    <row r="253">
      <c r="A253" s="179">
        <v>43233.0</v>
      </c>
      <c r="B253" s="43" t="str">
        <f>VLOOKUP(A253,Table!A:D,4,false)</f>
        <v>Period 9</v>
      </c>
      <c r="C253" s="43">
        <v>0.15902777777777777</v>
      </c>
      <c r="D253" s="43">
        <v>0.29444444444444445</v>
      </c>
      <c r="E253" s="43">
        <v>0.9166666666666666</v>
      </c>
      <c r="F253" s="43">
        <v>0.25763888888888886</v>
      </c>
      <c r="G253" s="70" t="s">
        <v>415</v>
      </c>
      <c r="H253" s="70"/>
      <c r="I253" s="70"/>
    </row>
    <row r="254">
      <c r="A254" s="179">
        <v>43234.0</v>
      </c>
      <c r="B254" s="43" t="str">
        <f>VLOOKUP(A254,Table!A:D,4,false)</f>
        <v>Period 10</v>
      </c>
      <c r="C254" s="43">
        <v>0.14444444444444443</v>
      </c>
      <c r="D254" s="43">
        <v>0.17222222222222222</v>
      </c>
      <c r="E254" s="43">
        <v>0.9166666666666666</v>
      </c>
      <c r="F254" s="43">
        <v>0.24027777777777778</v>
      </c>
      <c r="G254" s="70" t="s">
        <v>415</v>
      </c>
      <c r="H254" s="70"/>
      <c r="I254" s="70"/>
    </row>
    <row r="255">
      <c r="A255" s="179">
        <v>43235.0</v>
      </c>
      <c r="B255" s="43" t="str">
        <f>VLOOKUP(A255,Table!A:D,4,false)</f>
        <v>Period 10</v>
      </c>
      <c r="C255" s="43">
        <v>0.1125</v>
      </c>
      <c r="D255" s="43">
        <v>0.13194444444444445</v>
      </c>
      <c r="E255" s="43">
        <v>0.9166666666666666</v>
      </c>
      <c r="F255" s="43">
        <v>0.2833333333333333</v>
      </c>
      <c r="G255" s="70" t="s">
        <v>416</v>
      </c>
      <c r="H255" s="70"/>
      <c r="I255" s="70"/>
    </row>
    <row r="256">
      <c r="A256" s="179">
        <v>43236.0</v>
      </c>
      <c r="B256" s="43" t="str">
        <f>VLOOKUP(A256,Table!A:D,4,false)</f>
        <v>Period 10</v>
      </c>
      <c r="C256" s="43">
        <v>0.10972222222222222</v>
      </c>
      <c r="D256" s="43">
        <v>0.1284722222222222</v>
      </c>
      <c r="E256" s="43">
        <v>0.9166666666666666</v>
      </c>
      <c r="F256" s="43">
        <v>0.22569444444444445</v>
      </c>
      <c r="G256" s="70" t="s">
        <v>415</v>
      </c>
      <c r="H256" s="70"/>
      <c r="I256" s="70"/>
    </row>
    <row r="257">
      <c r="A257" s="179">
        <v>43237.0</v>
      </c>
      <c r="B257" s="43" t="str">
        <f>VLOOKUP(A257,Table!A:D,4,false)</f>
        <v>Period 10</v>
      </c>
      <c r="C257" s="43">
        <v>0.11041666666666666</v>
      </c>
      <c r="D257" s="43">
        <v>0.12916666666666668</v>
      </c>
      <c r="E257" s="43">
        <v>0.9166666666666666</v>
      </c>
      <c r="F257" s="43">
        <v>0.23055555555555557</v>
      </c>
      <c r="G257" s="70" t="s">
        <v>415</v>
      </c>
      <c r="H257" s="70"/>
      <c r="I257" s="70"/>
    </row>
    <row r="258">
      <c r="A258" s="179">
        <v>43238.0</v>
      </c>
      <c r="B258" s="43" t="str">
        <f>VLOOKUP(A258,Table!A:D,4,false)</f>
        <v>Period 10</v>
      </c>
      <c r="C258" s="43">
        <v>0.11041666666666666</v>
      </c>
      <c r="D258" s="43">
        <v>0.13194444444444445</v>
      </c>
      <c r="E258" s="43">
        <v>0.9166666666666666</v>
      </c>
      <c r="F258" s="43">
        <v>0.23125</v>
      </c>
      <c r="G258" s="70" t="s">
        <v>415</v>
      </c>
      <c r="H258" s="70"/>
      <c r="I258" s="70"/>
    </row>
    <row r="259">
      <c r="A259" s="179">
        <v>43239.0</v>
      </c>
      <c r="B259" s="43" t="str">
        <f>VLOOKUP(A259,Table!A:D,4,false)</f>
        <v>Period 10</v>
      </c>
      <c r="C259" s="43">
        <v>0.12708333333333333</v>
      </c>
      <c r="D259" s="43">
        <v>0.14583333333333334</v>
      </c>
      <c r="E259" s="43">
        <v>0.9166666666666666</v>
      </c>
      <c r="F259" s="43">
        <v>0.2222222222222222</v>
      </c>
      <c r="G259" s="70" t="s">
        <v>415</v>
      </c>
      <c r="H259" s="70"/>
      <c r="I259" s="70"/>
    </row>
    <row r="260">
      <c r="A260" s="179">
        <v>43240.0</v>
      </c>
      <c r="B260" s="43" t="str">
        <f>VLOOKUP(A260,Table!A:D,4,false)</f>
        <v>Period 10</v>
      </c>
      <c r="C260" s="43">
        <v>0.12708333333333333</v>
      </c>
      <c r="D260" s="43">
        <v>0.13958333333333334</v>
      </c>
      <c r="E260" s="43">
        <v>0.9166666666666666</v>
      </c>
      <c r="F260" s="43">
        <v>0.21944444444444444</v>
      </c>
      <c r="G260" s="70" t="s">
        <v>415</v>
      </c>
      <c r="H260" s="70"/>
      <c r="I260" s="70"/>
    </row>
    <row r="261">
      <c r="A261" s="179">
        <v>43241.0</v>
      </c>
      <c r="B261" s="43" t="str">
        <f>VLOOKUP(A261,Table!A:D,4,false)</f>
        <v>Period 10</v>
      </c>
      <c r="C261" s="43">
        <v>0.12291666666666666</v>
      </c>
      <c r="D261" s="43">
        <v>0.14166666666666666</v>
      </c>
      <c r="E261" s="43">
        <v>0.9166666666666666</v>
      </c>
      <c r="F261" s="43">
        <v>0.225</v>
      </c>
      <c r="G261" s="70" t="s">
        <v>415</v>
      </c>
      <c r="H261" s="70"/>
      <c r="I261" s="70"/>
    </row>
    <row r="262">
      <c r="A262" s="179">
        <v>43242.0</v>
      </c>
      <c r="B262" s="43" t="str">
        <f>VLOOKUP(A262,Table!A:D,4,false)</f>
        <v>Period 10</v>
      </c>
      <c r="C262" s="43">
        <v>0.11041666666666666</v>
      </c>
      <c r="D262" s="43">
        <v>0.12916666666666668</v>
      </c>
      <c r="E262" s="43">
        <v>0.9166666666666666</v>
      </c>
      <c r="F262" s="43">
        <v>0.25416666666666665</v>
      </c>
      <c r="G262" s="70" t="s">
        <v>415</v>
      </c>
      <c r="H262" s="70"/>
      <c r="I262" s="70"/>
    </row>
    <row r="263">
      <c r="A263" s="179">
        <v>43243.0</v>
      </c>
      <c r="B263" s="43" t="str">
        <f>VLOOKUP(A263,Table!A:D,4,false)</f>
        <v>Period 10</v>
      </c>
      <c r="C263" s="43">
        <v>0.11458333333333333</v>
      </c>
      <c r="D263" s="43">
        <v>0.13958333333333334</v>
      </c>
      <c r="E263" s="43">
        <v>0.9166666666666666</v>
      </c>
      <c r="F263" s="43">
        <v>0.23541666666666666</v>
      </c>
      <c r="G263" s="70" t="s">
        <v>415</v>
      </c>
      <c r="H263" s="70"/>
      <c r="I263" s="70"/>
    </row>
    <row r="264">
      <c r="A264" s="179">
        <v>43244.0</v>
      </c>
      <c r="B264" s="43" t="str">
        <f>VLOOKUP(A264,Table!A:D,4,false)</f>
        <v>Period 10</v>
      </c>
      <c r="C264" s="43">
        <v>0.11180555555555556</v>
      </c>
      <c r="D264" s="43">
        <v>0.22847222222222222</v>
      </c>
      <c r="E264" s="43">
        <v>0.9166666666666666</v>
      </c>
      <c r="F264" s="43">
        <v>0.33958333333333335</v>
      </c>
      <c r="G264" s="70" t="s">
        <v>416</v>
      </c>
      <c r="H264" s="70"/>
      <c r="I264" s="70"/>
    </row>
    <row r="265">
      <c r="A265" s="179">
        <v>43245.0</v>
      </c>
      <c r="B265" s="43" t="str">
        <f>VLOOKUP(A265,Table!A:D,4,false)</f>
        <v>Period 10</v>
      </c>
      <c r="C265" s="43">
        <v>0.1125</v>
      </c>
      <c r="D265" s="43">
        <v>0.13402777777777777</v>
      </c>
      <c r="E265" s="43">
        <v>0.9166666666666666</v>
      </c>
      <c r="F265" s="43">
        <v>0.23680555555555555</v>
      </c>
      <c r="G265" s="70" t="s">
        <v>415</v>
      </c>
      <c r="H265" s="70"/>
      <c r="I265" s="70"/>
    </row>
    <row r="266">
      <c r="A266" s="179">
        <v>43246.0</v>
      </c>
      <c r="B266" s="43" t="str">
        <f>VLOOKUP(A266,Table!A:D,4,false)</f>
        <v>Period 10</v>
      </c>
      <c r="C266" s="43">
        <v>0.1125</v>
      </c>
      <c r="D266" s="43">
        <v>0.12708333333333333</v>
      </c>
      <c r="E266" s="43">
        <v>0.9166666666666666</v>
      </c>
      <c r="F266" s="43">
        <v>0.22361111111111112</v>
      </c>
      <c r="G266" s="70" t="s">
        <v>415</v>
      </c>
      <c r="H266" s="70"/>
      <c r="I266" s="70"/>
    </row>
    <row r="267">
      <c r="A267" s="179">
        <v>43247.0</v>
      </c>
      <c r="B267" s="43" t="str">
        <f>VLOOKUP(A267,Table!A:D,4,false)</f>
        <v>Period 10</v>
      </c>
      <c r="C267" s="43">
        <v>0.12638888888888888</v>
      </c>
      <c r="D267" s="43">
        <v>0.14166666666666666</v>
      </c>
      <c r="E267" s="43">
        <v>0.9166666666666666</v>
      </c>
      <c r="F267" s="43">
        <v>0.22361111111111112</v>
      </c>
      <c r="G267" s="70" t="s">
        <v>415</v>
      </c>
      <c r="H267" s="70"/>
      <c r="I267" s="70"/>
    </row>
    <row r="268">
      <c r="A268" s="179">
        <v>43248.0</v>
      </c>
      <c r="B268" s="43" t="str">
        <f>VLOOKUP(A268,Table!A:D,4,false)</f>
        <v>Period 10</v>
      </c>
      <c r="C268" s="43">
        <v>0.07361111111111111</v>
      </c>
      <c r="D268" s="43">
        <v>0.1111111111111111</v>
      </c>
      <c r="E268" s="43">
        <v>0.9166666666666666</v>
      </c>
      <c r="F268" s="43">
        <v>0.19583333333333333</v>
      </c>
      <c r="G268" s="70" t="s">
        <v>415</v>
      </c>
      <c r="H268" s="70"/>
      <c r="I268" s="70"/>
    </row>
    <row r="269">
      <c r="A269" s="179">
        <v>43249.0</v>
      </c>
      <c r="B269" s="43" t="str">
        <f>VLOOKUP(A269,Table!A:D,4,false)</f>
        <v>Period 10</v>
      </c>
      <c r="C269" s="43">
        <v>0.11388888888888889</v>
      </c>
      <c r="D269" s="43">
        <v>0.13125</v>
      </c>
      <c r="E269" s="43">
        <v>0.9166666666666666</v>
      </c>
      <c r="F269" s="43">
        <v>0.23402777777777778</v>
      </c>
      <c r="G269" s="70" t="s">
        <v>415</v>
      </c>
      <c r="H269" s="70"/>
      <c r="I269" s="70"/>
    </row>
    <row r="270">
      <c r="A270" s="179">
        <v>43250.0</v>
      </c>
      <c r="B270" s="43" t="str">
        <f>VLOOKUP(A270,Table!A:D,4,false)</f>
        <v>Period 10</v>
      </c>
      <c r="C270" s="43">
        <v>0.11180555555555556</v>
      </c>
      <c r="D270" s="43">
        <v>0.1284722222222222</v>
      </c>
      <c r="E270" s="43">
        <v>0.9166666666666666</v>
      </c>
      <c r="F270" s="43">
        <v>0.3388888888888889</v>
      </c>
      <c r="G270" s="70" t="s">
        <v>416</v>
      </c>
      <c r="H270" s="70"/>
      <c r="I270" s="70"/>
    </row>
    <row r="271">
      <c r="A271" s="179">
        <v>43251.0</v>
      </c>
      <c r="B271" s="43" t="str">
        <f>VLOOKUP(A271,Table!A:D,4,false)</f>
        <v>Period 10</v>
      </c>
      <c r="C271" s="43">
        <v>0.13333333333333333</v>
      </c>
      <c r="D271" s="43">
        <v>0.15138888888888888</v>
      </c>
      <c r="E271" s="43">
        <v>0.9166666666666666</v>
      </c>
      <c r="F271" s="43">
        <v>0.275</v>
      </c>
      <c r="G271" s="70" t="s">
        <v>416</v>
      </c>
      <c r="H271" s="70"/>
      <c r="I271" s="70"/>
    </row>
    <row r="272">
      <c r="A272" s="179">
        <v>43252.0</v>
      </c>
      <c r="B272" s="43" t="str">
        <f>VLOOKUP(A272,Table!A:D,4,false)</f>
        <v>Period 10</v>
      </c>
      <c r="C272" s="43">
        <v>0.11319444444444444</v>
      </c>
      <c r="D272" s="43">
        <v>0.13055555555555556</v>
      </c>
      <c r="E272" s="43">
        <v>0.9166666666666666</v>
      </c>
      <c r="F272" s="43">
        <v>0.2465277777777778</v>
      </c>
      <c r="G272" s="70" t="s">
        <v>415</v>
      </c>
      <c r="H272" s="70"/>
      <c r="I272" s="70"/>
    </row>
    <row r="273">
      <c r="A273" s="179">
        <v>43253.0</v>
      </c>
      <c r="B273" s="43" t="str">
        <f>VLOOKUP(A273,Table!A:D,4,false)</f>
        <v>Period 10</v>
      </c>
      <c r="C273" s="43">
        <v>0.1284722222222222</v>
      </c>
      <c r="D273" s="43">
        <v>0.1451388888888889</v>
      </c>
      <c r="E273" s="43">
        <v>0.9166666666666666</v>
      </c>
      <c r="F273" s="43">
        <v>0.27847222222222223</v>
      </c>
      <c r="G273" s="70" t="s">
        <v>416</v>
      </c>
      <c r="H273" s="70"/>
      <c r="I273" s="70"/>
    </row>
    <row r="274">
      <c r="A274" s="179">
        <v>43254.0</v>
      </c>
      <c r="B274" s="43" t="str">
        <f>VLOOKUP(A274,Table!A:D,4,false)</f>
        <v>Period 10</v>
      </c>
      <c r="C274" s="43">
        <v>0.13680555555555557</v>
      </c>
      <c r="D274" s="43">
        <v>0.16666666666666666</v>
      </c>
      <c r="E274" s="43">
        <v>0.9166666666666666</v>
      </c>
      <c r="F274" s="43">
        <v>0.2791666666666667</v>
      </c>
      <c r="G274" s="70" t="s">
        <v>416</v>
      </c>
      <c r="H274" s="70"/>
      <c r="I274" s="70"/>
    </row>
    <row r="275">
      <c r="A275" s="179">
        <v>43255.0</v>
      </c>
      <c r="B275" s="43" t="str">
        <f>VLOOKUP(A275,Table!A:D,4,false)</f>
        <v>Period 10</v>
      </c>
      <c r="C275" s="43">
        <v>0.11180555555555556</v>
      </c>
      <c r="D275" s="43">
        <v>0.13055555555555556</v>
      </c>
      <c r="E275" s="43">
        <v>0.9166666666666666</v>
      </c>
      <c r="F275" s="43">
        <v>0.22916666666666666</v>
      </c>
      <c r="G275" s="70" t="s">
        <v>415</v>
      </c>
      <c r="H275" s="70"/>
      <c r="I275" s="70"/>
    </row>
    <row r="276">
      <c r="A276" s="179">
        <v>43256.0</v>
      </c>
      <c r="B276" s="43" t="str">
        <f>VLOOKUP(A276,Table!A:D,4,false)</f>
        <v>Period 10</v>
      </c>
      <c r="C276" s="43">
        <v>0.11180555555555556</v>
      </c>
      <c r="D276" s="43">
        <v>0.1451388888888889</v>
      </c>
      <c r="E276" s="43">
        <v>0.9166666666666666</v>
      </c>
      <c r="F276" s="43">
        <v>0.24861111111111112</v>
      </c>
      <c r="G276" s="70" t="s">
        <v>415</v>
      </c>
      <c r="H276" s="70"/>
      <c r="I276" s="70"/>
    </row>
    <row r="277">
      <c r="A277" s="179">
        <v>43257.0</v>
      </c>
      <c r="B277" s="43" t="str">
        <f>VLOOKUP(A277,Table!A:D,4,false)</f>
        <v>Period 10</v>
      </c>
      <c r="C277" s="43">
        <v>0.14166666666666666</v>
      </c>
      <c r="D277" s="43">
        <v>0.18541666666666667</v>
      </c>
      <c r="E277" s="43">
        <v>0.9166666666666666</v>
      </c>
      <c r="F277" s="43">
        <v>0.26180555555555557</v>
      </c>
      <c r="G277" s="70" t="s">
        <v>415</v>
      </c>
      <c r="H277" s="70"/>
      <c r="I277" s="70"/>
    </row>
    <row r="278">
      <c r="A278" s="179">
        <v>43258.0</v>
      </c>
      <c r="B278" s="43" t="str">
        <f>VLOOKUP(A278,Table!A:D,4,false)</f>
        <v>Period 10</v>
      </c>
      <c r="C278" s="43">
        <v>0.12708333333333333</v>
      </c>
      <c r="D278" s="43">
        <v>0.15208333333333332</v>
      </c>
      <c r="E278" s="43">
        <v>0.9166666666666666</v>
      </c>
      <c r="F278" s="43">
        <v>0.2701388888888889</v>
      </c>
      <c r="G278" s="70" t="s">
        <v>415</v>
      </c>
      <c r="H278" s="70"/>
      <c r="I278" s="70"/>
    </row>
    <row r="279">
      <c r="A279" s="179">
        <v>43259.0</v>
      </c>
      <c r="B279" s="43" t="str">
        <f>VLOOKUP(A279,Table!A:D,4,false)</f>
        <v>Period 10</v>
      </c>
      <c r="C279" s="43">
        <v>0.14313657407407407</v>
      </c>
      <c r="D279" s="43">
        <v>0.16642361111111112</v>
      </c>
      <c r="E279" s="43">
        <v>0.9166666666666666</v>
      </c>
      <c r="F279" s="43">
        <v>0.3185648148148148</v>
      </c>
      <c r="G279" s="70" t="s">
        <v>416</v>
      </c>
      <c r="H279" s="70"/>
      <c r="I279" s="70"/>
    </row>
    <row r="280">
      <c r="A280" s="179">
        <v>43260.0</v>
      </c>
      <c r="B280" s="43" t="str">
        <f>VLOOKUP(A280,Table!A:D,4,false)</f>
        <v>Period 10</v>
      </c>
      <c r="C280" s="43">
        <v>0.15100694444444446</v>
      </c>
      <c r="D280" s="43">
        <v>0.16576388888888888</v>
      </c>
      <c r="E280" s="43">
        <v>0.9166666666666666</v>
      </c>
      <c r="F280" s="43">
        <v>0.28847222222222224</v>
      </c>
      <c r="G280" s="70" t="s">
        <v>416</v>
      </c>
      <c r="H280" s="70"/>
      <c r="I280" s="70"/>
    </row>
    <row r="281">
      <c r="A281" s="179">
        <v>43261.0</v>
      </c>
      <c r="B281" s="43" t="str">
        <f>VLOOKUP(A281,Table!A:D,4,false)</f>
        <v>Period 10</v>
      </c>
      <c r="C281" s="43">
        <v>0.15981481481481483</v>
      </c>
      <c r="D281" s="43">
        <v>0.19158564814814816</v>
      </c>
      <c r="E281" s="43">
        <v>0.9166666666666666</v>
      </c>
      <c r="F281" s="43">
        <v>0.28185185185185185</v>
      </c>
      <c r="G281" s="70" t="s">
        <v>416</v>
      </c>
      <c r="H281" s="70"/>
      <c r="I281" s="70"/>
    </row>
    <row r="282">
      <c r="A282" s="179">
        <v>43262.0</v>
      </c>
      <c r="B282" s="43" t="str">
        <f>VLOOKUP(A282,Table!A:D,4,false)</f>
        <v>Period 11</v>
      </c>
      <c r="C282" s="43">
        <v>0.1326388888888889</v>
      </c>
      <c r="D282" s="43">
        <v>0.20416666666666666</v>
      </c>
      <c r="E282" s="43">
        <v>0.9166666666666666</v>
      </c>
      <c r="F282" s="43">
        <v>0.24583333333333332</v>
      </c>
      <c r="G282" s="70" t="s">
        <v>415</v>
      </c>
      <c r="H282" s="70"/>
      <c r="I282" s="70"/>
    </row>
    <row r="283">
      <c r="A283" s="179">
        <v>43263.0</v>
      </c>
      <c r="B283" s="43" t="str">
        <f>VLOOKUP(A283,Table!A:D,4,false)</f>
        <v>Period 11</v>
      </c>
      <c r="C283" s="43">
        <v>0.12430555555555556</v>
      </c>
      <c r="D283" s="43">
        <v>0.14444444444444443</v>
      </c>
      <c r="E283" s="43">
        <v>0.9166666666666666</v>
      </c>
      <c r="F283" s="43">
        <v>0.28194444444444444</v>
      </c>
      <c r="G283" s="70" t="s">
        <v>416</v>
      </c>
      <c r="H283" s="70"/>
      <c r="I283" s="70"/>
    </row>
    <row r="284">
      <c r="A284" s="179">
        <v>43264.0</v>
      </c>
      <c r="B284" s="43" t="str">
        <f>VLOOKUP(A284,Table!A:D,4,false)</f>
        <v>Period 11</v>
      </c>
      <c r="C284" s="43">
        <v>0.12638888888888888</v>
      </c>
      <c r="D284" s="43">
        <v>0.14097222222222222</v>
      </c>
      <c r="E284" s="43">
        <v>0.9166666666666666</v>
      </c>
      <c r="F284" s="43">
        <v>0.30069444444444443</v>
      </c>
      <c r="G284" s="70" t="s">
        <v>416</v>
      </c>
      <c r="H284" s="70"/>
      <c r="I284" s="70"/>
    </row>
    <row r="285">
      <c r="A285" s="179">
        <v>43265.0</v>
      </c>
      <c r="B285" s="43" t="str">
        <f>VLOOKUP(A285,Table!A:D,4,false)</f>
        <v>Period 11</v>
      </c>
      <c r="C285" s="43">
        <v>0.10902777777777778</v>
      </c>
      <c r="D285" s="43">
        <v>0.125</v>
      </c>
      <c r="E285" s="43">
        <v>0.9166666666666666</v>
      </c>
      <c r="F285" s="43">
        <v>0.2673611111111111</v>
      </c>
      <c r="G285" s="70" t="s">
        <v>415</v>
      </c>
      <c r="H285" s="70"/>
      <c r="I285" s="70"/>
    </row>
    <row r="286">
      <c r="A286" s="179">
        <v>43266.0</v>
      </c>
      <c r="B286" s="43" t="str">
        <f>VLOOKUP(A286,Table!A:D,4,false)</f>
        <v>Period 11</v>
      </c>
      <c r="C286" s="43">
        <v>0.10972222222222222</v>
      </c>
      <c r="D286" s="43">
        <v>0.13055555555555556</v>
      </c>
      <c r="E286" s="43">
        <v>0.9166666666666666</v>
      </c>
      <c r="F286" s="43">
        <v>0.26944444444444443</v>
      </c>
      <c r="G286" s="70" t="s">
        <v>415</v>
      </c>
      <c r="H286" s="70"/>
      <c r="I286" s="70"/>
    </row>
    <row r="287">
      <c r="A287" s="179">
        <v>43267.0</v>
      </c>
      <c r="B287" s="43" t="str">
        <f>VLOOKUP(A287,Table!A:D,4,false)</f>
        <v>Period 11</v>
      </c>
      <c r="C287" s="43">
        <v>0.13472222222222222</v>
      </c>
      <c r="D287" s="43">
        <v>0.15208333333333332</v>
      </c>
      <c r="E287" s="43">
        <v>0.9166666666666666</v>
      </c>
      <c r="F287" s="43">
        <v>0.3138888888888889</v>
      </c>
      <c r="G287" s="70" t="s">
        <v>416</v>
      </c>
      <c r="H287" s="70"/>
      <c r="I287" s="70"/>
    </row>
    <row r="288">
      <c r="A288" s="179">
        <v>43268.0</v>
      </c>
      <c r="B288" s="43" t="str">
        <f>VLOOKUP(A288,Table!A:D,4,false)</f>
        <v>Period 11</v>
      </c>
      <c r="C288" s="43">
        <v>0.1388888888888889</v>
      </c>
      <c r="D288" s="43">
        <v>0.1625</v>
      </c>
      <c r="E288" s="43">
        <v>0.9166666666666666</v>
      </c>
      <c r="F288" s="43">
        <v>0.2673611111111111</v>
      </c>
      <c r="G288" s="70" t="s">
        <v>415</v>
      </c>
      <c r="H288" s="70"/>
      <c r="I288" s="70"/>
    </row>
    <row r="289">
      <c r="A289" s="179">
        <v>43269.0</v>
      </c>
      <c r="B289" s="43" t="str">
        <f>VLOOKUP(A289,Table!A:D,4,false)</f>
        <v>Period 11</v>
      </c>
      <c r="C289" s="43">
        <v>0.1284722222222222</v>
      </c>
      <c r="D289" s="43">
        <v>0.14305555555555555</v>
      </c>
      <c r="E289" s="43">
        <v>0.9166666666666666</v>
      </c>
      <c r="F289" s="43">
        <v>0.24930555555555556</v>
      </c>
      <c r="G289" s="70" t="s">
        <v>415</v>
      </c>
      <c r="H289" s="70"/>
      <c r="I289" s="70"/>
    </row>
    <row r="290">
      <c r="A290" s="179">
        <v>43270.0</v>
      </c>
      <c r="B290" s="43" t="str">
        <f>VLOOKUP(A290,Table!A:D,4,false)</f>
        <v>Period 11</v>
      </c>
      <c r="C290" s="43">
        <v>0.1125</v>
      </c>
      <c r="D290" s="43">
        <v>0.12916666666666668</v>
      </c>
      <c r="E290" s="43">
        <v>0.9166666666666666</v>
      </c>
      <c r="F290" s="43">
        <v>0.2659722222222222</v>
      </c>
      <c r="G290" s="70" t="s">
        <v>415</v>
      </c>
      <c r="H290" s="70"/>
      <c r="I290" s="70"/>
    </row>
    <row r="291">
      <c r="A291" s="179">
        <v>43271.0</v>
      </c>
      <c r="B291" s="43" t="str">
        <f>VLOOKUP(A291,Table!A:D,4,false)</f>
        <v>Period 11</v>
      </c>
      <c r="C291" s="43">
        <v>0.1284722222222222</v>
      </c>
      <c r="D291" s="43">
        <v>0.14305555555555555</v>
      </c>
      <c r="E291" s="43">
        <v>0.9166666666666666</v>
      </c>
      <c r="F291" s="43">
        <v>0.23680555555555555</v>
      </c>
      <c r="G291" s="70" t="s">
        <v>415</v>
      </c>
      <c r="H291" s="70"/>
      <c r="I291" s="70"/>
    </row>
    <row r="292">
      <c r="A292" s="179">
        <v>43272.0</v>
      </c>
      <c r="B292" s="43" t="str">
        <f>VLOOKUP(A292,Table!A:D,4,false)</f>
        <v>Period 11</v>
      </c>
      <c r="C292" s="43">
        <v>0.11041666666666666</v>
      </c>
      <c r="D292" s="43">
        <v>0.12916666666666668</v>
      </c>
      <c r="E292" s="43">
        <v>0.9166666666666666</v>
      </c>
      <c r="F292" s="43">
        <v>0.24930555555555556</v>
      </c>
      <c r="G292" s="70" t="s">
        <v>415</v>
      </c>
      <c r="H292" s="70"/>
      <c r="I292" s="70"/>
    </row>
    <row r="293">
      <c r="A293" s="179">
        <v>43273.0</v>
      </c>
      <c r="B293" s="43" t="str">
        <f>VLOOKUP(A293,Table!A:D,4,false)</f>
        <v>Period 11</v>
      </c>
      <c r="C293" s="43">
        <v>0.10833333333333334</v>
      </c>
      <c r="D293" s="43">
        <v>0.12083333333333333</v>
      </c>
      <c r="E293" s="43">
        <v>0.9166666666666666</v>
      </c>
      <c r="F293" s="43">
        <v>0.24391203703703704</v>
      </c>
      <c r="G293" s="70" t="s">
        <v>415</v>
      </c>
      <c r="H293" s="70"/>
      <c r="I293" s="70"/>
    </row>
    <row r="294">
      <c r="A294" s="179">
        <v>43274.0</v>
      </c>
      <c r="B294" s="43" t="str">
        <f>VLOOKUP(A294,Table!A:D,4,false)</f>
        <v>Period 11</v>
      </c>
      <c r="C294" s="43">
        <v>0.16527777777777777</v>
      </c>
      <c r="D294" s="43">
        <v>0.1798611111111111</v>
      </c>
      <c r="E294" s="43">
        <v>0.9166666666666666</v>
      </c>
      <c r="F294" s="43">
        <v>0.3333333333333333</v>
      </c>
      <c r="G294" s="70" t="s">
        <v>416</v>
      </c>
      <c r="H294" s="70"/>
      <c r="I294" s="70"/>
    </row>
    <row r="295">
      <c r="A295" s="179">
        <v>43275.0</v>
      </c>
      <c r="B295" s="43" t="str">
        <f>VLOOKUP(A295,Table!A:D,4,false)</f>
        <v>Period 11</v>
      </c>
      <c r="C295" s="43">
        <v>0.12608796296296296</v>
      </c>
      <c r="D295" s="43">
        <v>0.15159722222222222</v>
      </c>
      <c r="E295" s="43">
        <v>0.9166666666666666</v>
      </c>
      <c r="F295" s="43">
        <v>0.2271527777777778</v>
      </c>
      <c r="G295" s="70" t="s">
        <v>415</v>
      </c>
      <c r="H295" s="70"/>
      <c r="I295" s="70"/>
    </row>
    <row r="296">
      <c r="A296" s="179">
        <v>43276.0</v>
      </c>
      <c r="B296" s="43" t="str">
        <f>VLOOKUP(A296,Table!A:D,4,false)</f>
        <v>Period 11</v>
      </c>
      <c r="C296" s="43">
        <v>0.12986111111111112</v>
      </c>
      <c r="D296" s="43">
        <v>0.14444444444444443</v>
      </c>
      <c r="E296" s="43">
        <v>0.9166666666666666</v>
      </c>
      <c r="F296" s="43">
        <v>0.2777777777777778</v>
      </c>
      <c r="G296" s="70" t="s">
        <v>416</v>
      </c>
      <c r="H296" s="70"/>
      <c r="I296" s="70"/>
    </row>
    <row r="297">
      <c r="A297" s="179">
        <v>43277.0</v>
      </c>
      <c r="B297" s="43" t="str">
        <f>VLOOKUP(A297,Table!A:D,4,false)</f>
        <v>Period 11</v>
      </c>
      <c r="C297" s="43">
        <v>0.10972222222222222</v>
      </c>
      <c r="D297" s="160">
        <v>0.19930555555555557</v>
      </c>
      <c r="E297" s="43">
        <v>0.9166666666666666</v>
      </c>
      <c r="F297" s="43">
        <v>0.475</v>
      </c>
      <c r="G297" s="70" t="s">
        <v>416</v>
      </c>
      <c r="H297" s="70"/>
      <c r="I297" s="70"/>
    </row>
    <row r="298">
      <c r="A298" s="179">
        <v>43278.0</v>
      </c>
      <c r="B298" s="43" t="str">
        <f>VLOOKUP(A298,Table!A:D,4,false)</f>
        <v>Period 11</v>
      </c>
      <c r="C298" s="43">
        <v>0.11180555555555556</v>
      </c>
      <c r="D298" s="43">
        <v>0.12638888888888888</v>
      </c>
      <c r="E298" s="43">
        <v>0.9166666666666666</v>
      </c>
      <c r="F298" s="43">
        <v>0.5076388888888889</v>
      </c>
      <c r="G298" s="70" t="s">
        <v>416</v>
      </c>
      <c r="H298" s="70"/>
      <c r="I298" s="70"/>
    </row>
    <row r="299">
      <c r="A299" s="179">
        <v>43279.0</v>
      </c>
      <c r="B299" s="43" t="str">
        <f>VLOOKUP(A299,Table!A:D,4,false)</f>
        <v>Period 11</v>
      </c>
      <c r="C299" s="43">
        <v>0.11319444444444444</v>
      </c>
      <c r="D299" s="43">
        <v>0.12777777777777777</v>
      </c>
      <c r="E299" s="43">
        <v>0.9166666666666666</v>
      </c>
      <c r="F299" s="43">
        <v>0.3958333333333333</v>
      </c>
      <c r="G299" s="70" t="s">
        <v>416</v>
      </c>
      <c r="H299" s="70"/>
      <c r="I299" s="70"/>
    </row>
    <row r="300">
      <c r="A300" s="179">
        <v>43280.0</v>
      </c>
      <c r="B300" s="43" t="str">
        <f>VLOOKUP(A300,Table!A:D,4,false)</f>
        <v>Period 11</v>
      </c>
      <c r="C300" s="43">
        <v>0.12152777777777778</v>
      </c>
      <c r="D300" s="43">
        <v>0.1361111111111111</v>
      </c>
      <c r="E300" s="43">
        <v>0.9166666666666666</v>
      </c>
      <c r="F300" s="43">
        <v>0.36939814814814814</v>
      </c>
      <c r="G300" s="70" t="s">
        <v>416</v>
      </c>
      <c r="H300" s="70"/>
      <c r="I300" s="70"/>
    </row>
    <row r="301">
      <c r="A301" s="179">
        <v>43281.0</v>
      </c>
      <c r="B301" s="43" t="str">
        <f>VLOOKUP(A301,Table!A:D,4,false)</f>
        <v>Period 11</v>
      </c>
      <c r="C301" s="43">
        <v>0.11344907407407408</v>
      </c>
      <c r="D301" s="43">
        <v>0.12644675925925927</v>
      </c>
      <c r="E301" s="43">
        <v>0.9166666666666666</v>
      </c>
      <c r="F301" s="43">
        <v>0.28875</v>
      </c>
      <c r="G301" s="70" t="s">
        <v>416</v>
      </c>
      <c r="H301" s="70"/>
      <c r="I301" s="70"/>
    </row>
    <row r="302">
      <c r="A302" s="179">
        <v>43282.0</v>
      </c>
      <c r="B302" s="43" t="str">
        <f>VLOOKUP(A302,Table!A:D,4,false)</f>
        <v>Period 11</v>
      </c>
      <c r="C302" s="43">
        <v>0.1284722222222222</v>
      </c>
      <c r="D302" s="43">
        <v>0.15555555555555556</v>
      </c>
      <c r="E302" s="43">
        <v>0.9166666666666666</v>
      </c>
      <c r="F302" s="43">
        <v>0.24930555555555556</v>
      </c>
      <c r="G302" s="70" t="s">
        <v>415</v>
      </c>
      <c r="H302" s="70"/>
      <c r="I302" s="70"/>
    </row>
    <row r="303">
      <c r="A303" s="179">
        <v>43283.0</v>
      </c>
      <c r="B303" s="43" t="str">
        <f>VLOOKUP(A303,Table!A:D,4,false)</f>
        <v>Period 11</v>
      </c>
      <c r="C303" s="43">
        <v>0.11041666666666666</v>
      </c>
      <c r="D303" s="43">
        <v>0.125</v>
      </c>
      <c r="E303" s="43">
        <v>0.9166666666666666</v>
      </c>
      <c r="F303" s="43">
        <v>0.22013888888888888</v>
      </c>
      <c r="G303" s="70" t="s">
        <v>415</v>
      </c>
      <c r="H303" s="70"/>
      <c r="I303" s="70"/>
    </row>
    <row r="304">
      <c r="A304" s="179">
        <v>43284.0</v>
      </c>
      <c r="B304" s="43" t="str">
        <f>VLOOKUP(A304,Table!A:D,4,false)</f>
        <v>Period 11</v>
      </c>
      <c r="C304" s="43">
        <v>0.11388888888888889</v>
      </c>
      <c r="D304" s="43">
        <v>0.12916666666666668</v>
      </c>
      <c r="E304" s="43">
        <v>0.9166666666666666</v>
      </c>
      <c r="F304" s="43">
        <v>0.2763888888888889</v>
      </c>
      <c r="G304" s="70" t="s">
        <v>416</v>
      </c>
      <c r="H304" s="70"/>
      <c r="I304" s="70"/>
    </row>
    <row r="305">
      <c r="A305" s="179">
        <v>43285.0</v>
      </c>
      <c r="B305" s="43" t="str">
        <f>VLOOKUP(A305,Table!A:D,4,false)</f>
        <v>Period 11</v>
      </c>
      <c r="C305" s="43">
        <v>0.12222222222222222</v>
      </c>
      <c r="D305" s="43">
        <v>0.14791666666666667</v>
      </c>
      <c r="E305" s="43">
        <v>0.9166666666666666</v>
      </c>
      <c r="F305" s="43">
        <v>0.22569444444444445</v>
      </c>
      <c r="G305" s="70" t="s">
        <v>415</v>
      </c>
      <c r="H305" s="70"/>
      <c r="I305" s="70"/>
    </row>
    <row r="306">
      <c r="A306" s="179">
        <v>43286.0</v>
      </c>
      <c r="B306" s="43" t="str">
        <f>VLOOKUP(A306,Table!A:D,4,false)</f>
        <v>Period 11</v>
      </c>
      <c r="C306" s="43">
        <v>0.11319444444444444</v>
      </c>
      <c r="D306" s="43">
        <v>0.1423611111111111</v>
      </c>
      <c r="E306" s="43">
        <v>0.9166666666666666</v>
      </c>
      <c r="F306" s="43">
        <v>0.27847222222222223</v>
      </c>
      <c r="G306" s="70" t="s">
        <v>416</v>
      </c>
      <c r="H306" s="70"/>
      <c r="I306" s="70"/>
    </row>
    <row r="307">
      <c r="A307" s="179">
        <v>43287.0</v>
      </c>
      <c r="B307" s="43" t="str">
        <f>VLOOKUP(A307,Table!A:D,4,false)</f>
        <v>Period 11</v>
      </c>
      <c r="C307" s="43">
        <v>0.12986111111111112</v>
      </c>
      <c r="D307" s="43">
        <v>0.14930555555555555</v>
      </c>
      <c r="E307" s="43">
        <v>0.9166666666666666</v>
      </c>
      <c r="F307" s="43">
        <v>0.28131944444444446</v>
      </c>
      <c r="G307" s="70" t="s">
        <v>416</v>
      </c>
      <c r="H307" s="70"/>
      <c r="I307" s="70"/>
    </row>
    <row r="308">
      <c r="A308" s="179">
        <v>43288.0</v>
      </c>
      <c r="B308" s="43" t="str">
        <f>VLOOKUP(A308,Table!A:D,4,false)</f>
        <v>Period 11</v>
      </c>
      <c r="C308" s="43">
        <v>0.14271990740740742</v>
      </c>
      <c r="D308" s="43">
        <v>0.1576736111111111</v>
      </c>
      <c r="E308" s="43">
        <v>0.9166666666666666</v>
      </c>
      <c r="F308" s="43">
        <v>0.27708333333333335</v>
      </c>
      <c r="G308" s="70" t="s">
        <v>416</v>
      </c>
      <c r="H308" s="70"/>
      <c r="I308" s="70"/>
    </row>
    <row r="309">
      <c r="A309" s="179">
        <v>43289.0</v>
      </c>
      <c r="B309" s="43" t="str">
        <f>VLOOKUP(A309,Table!A:D,4,false)</f>
        <v>Period 11</v>
      </c>
      <c r="C309" s="43">
        <v>0.17430555555555555</v>
      </c>
      <c r="D309" s="43">
        <v>0.20625</v>
      </c>
      <c r="E309" s="43">
        <v>0.9166666666666666</v>
      </c>
      <c r="F309" s="43">
        <v>0.30972222222222223</v>
      </c>
      <c r="G309" s="70" t="s">
        <v>416</v>
      </c>
      <c r="H309" s="70"/>
      <c r="I309" s="70"/>
    </row>
    <row r="310">
      <c r="A310" s="179">
        <v>43290.0</v>
      </c>
      <c r="B310" s="43" t="str">
        <f>VLOOKUP(A310,Table!A:D,4,false)</f>
        <v>Period 12</v>
      </c>
      <c r="C310" s="43">
        <v>0.13402777777777777</v>
      </c>
      <c r="D310" s="43">
        <v>0.1638888888888889</v>
      </c>
      <c r="E310" s="43">
        <v>0.9166666666666666</v>
      </c>
      <c r="F310" s="43">
        <v>0.2263888888888889</v>
      </c>
      <c r="G310" s="70" t="s">
        <v>415</v>
      </c>
      <c r="H310" s="70"/>
      <c r="I310" s="70"/>
    </row>
    <row r="311">
      <c r="A311" s="179">
        <v>43291.0</v>
      </c>
      <c r="B311" s="43" t="str">
        <f>VLOOKUP(A311,Table!A:D,4,false)</f>
        <v>Period 12</v>
      </c>
      <c r="C311" s="43">
        <v>0.12777777777777777</v>
      </c>
      <c r="D311" s="43">
        <v>0.14444444444444443</v>
      </c>
      <c r="E311" s="43">
        <v>0.9166666666666666</v>
      </c>
      <c r="F311" s="43">
        <v>0.2768055555555556</v>
      </c>
      <c r="G311" s="70" t="s">
        <v>416</v>
      </c>
      <c r="H311" s="70"/>
      <c r="I311" s="70"/>
    </row>
    <row r="312">
      <c r="A312" s="179">
        <v>43292.0</v>
      </c>
      <c r="B312" s="43" t="str">
        <f>VLOOKUP(A312,Table!A:D,4,false)</f>
        <v>Period 12</v>
      </c>
      <c r="C312" s="43">
        <v>0.12291666666666666</v>
      </c>
      <c r="D312" s="43">
        <v>0.13958333333333334</v>
      </c>
      <c r="E312" s="43">
        <v>0.9166666666666666</v>
      </c>
      <c r="F312" s="43">
        <v>0.2720486111111111</v>
      </c>
      <c r="G312" s="70" t="s">
        <v>416</v>
      </c>
      <c r="H312" s="70"/>
      <c r="I312" s="70"/>
    </row>
    <row r="313">
      <c r="A313" s="179">
        <v>43293.0</v>
      </c>
      <c r="B313" s="43" t="str">
        <f>VLOOKUP(A313,Table!A:D,4,false)</f>
        <v>Period 12</v>
      </c>
      <c r="C313" s="43">
        <v>0.12322916666666667</v>
      </c>
      <c r="D313" s="43">
        <v>0.14015046296296296</v>
      </c>
      <c r="E313" s="43">
        <v>0.9166666666666666</v>
      </c>
      <c r="F313" s="43">
        <v>0.2763888888888889</v>
      </c>
      <c r="G313" s="70" t="s">
        <v>416</v>
      </c>
      <c r="H313" s="70"/>
      <c r="I313" s="70"/>
    </row>
    <row r="314">
      <c r="A314" s="179">
        <v>43294.0</v>
      </c>
      <c r="B314" s="43" t="str">
        <f>VLOOKUP(A314,Table!A:D,4,false)</f>
        <v>Period 12</v>
      </c>
      <c r="C314" s="43">
        <v>0.12291666666666666</v>
      </c>
      <c r="D314" s="43">
        <v>0.14652777777777778</v>
      </c>
      <c r="E314" s="43">
        <v>0.9166666666666666</v>
      </c>
      <c r="F314" s="43">
        <v>0.2534722222222222</v>
      </c>
      <c r="G314" s="70" t="s">
        <v>415</v>
      </c>
      <c r="H314" s="70"/>
      <c r="I314" s="70"/>
    </row>
    <row r="315">
      <c r="A315" s="179">
        <v>43295.0</v>
      </c>
      <c r="B315" s="43" t="str">
        <f>VLOOKUP(A315,Table!A:D,4,false)</f>
        <v>Period 12</v>
      </c>
      <c r="C315" s="43">
        <v>0.12403935185185185</v>
      </c>
      <c r="D315" s="43">
        <v>0.14097222222222222</v>
      </c>
      <c r="E315" s="43">
        <v>0.9166666666666666</v>
      </c>
      <c r="F315" s="43">
        <v>0.2361111111111111</v>
      </c>
      <c r="G315" s="70" t="s">
        <v>415</v>
      </c>
      <c r="H315" s="70"/>
      <c r="I315" s="70"/>
    </row>
    <row r="316">
      <c r="A316" s="179">
        <v>43296.0</v>
      </c>
      <c r="B316" s="43" t="str">
        <f>VLOOKUP(A316,Table!A:D,4,false)</f>
        <v>Period 12</v>
      </c>
      <c r="C316" s="43">
        <v>0.14791666666666667</v>
      </c>
      <c r="D316" s="43">
        <v>0.27847222222222223</v>
      </c>
      <c r="E316" s="43">
        <v>0.9166666666666666</v>
      </c>
      <c r="F316" s="43">
        <v>0.24513888888888888</v>
      </c>
      <c r="G316" s="70" t="s">
        <v>415</v>
      </c>
      <c r="H316" s="70"/>
      <c r="I316" s="70"/>
    </row>
    <row r="317">
      <c r="A317" s="179">
        <v>43297.0</v>
      </c>
      <c r="B317" s="43" t="str">
        <f>VLOOKUP(A317,Table!A:D,4,false)</f>
        <v>Period 12</v>
      </c>
      <c r="C317" s="43">
        <v>0.1111111111111111</v>
      </c>
      <c r="D317" s="43">
        <v>0.12430555555555556</v>
      </c>
      <c r="E317" s="43">
        <v>0.9166666666666666</v>
      </c>
      <c r="F317" s="43">
        <v>0.24444444444444444</v>
      </c>
      <c r="G317" s="70" t="s">
        <v>415</v>
      </c>
      <c r="H317" s="70"/>
      <c r="I317" s="70"/>
    </row>
    <row r="318">
      <c r="A318" s="179">
        <v>43298.0</v>
      </c>
      <c r="B318" s="43" t="str">
        <f>VLOOKUP(A318,Table!A:D,4,false)</f>
        <v>Period 12</v>
      </c>
      <c r="C318" s="43">
        <v>0.17083333333333334</v>
      </c>
      <c r="D318" s="43">
        <v>0.18611111111111112</v>
      </c>
      <c r="E318" s="43">
        <v>0.9166666666666666</v>
      </c>
      <c r="F318" s="43">
        <v>0.29791666666666666</v>
      </c>
      <c r="G318" s="70" t="s">
        <v>416</v>
      </c>
      <c r="H318" s="70"/>
      <c r="I318" s="70"/>
    </row>
    <row r="319">
      <c r="A319" s="179">
        <v>43299.0</v>
      </c>
      <c r="B319" s="43" t="str">
        <f>VLOOKUP(A319,Table!A:D,4,false)</f>
        <v>Period 12</v>
      </c>
      <c r="C319" s="43">
        <v>0.1125</v>
      </c>
      <c r="D319" s="43">
        <v>0.12777777777777777</v>
      </c>
      <c r="E319" s="43">
        <v>0.9166666666666666</v>
      </c>
      <c r="F319" s="43">
        <v>0.26180555555555557</v>
      </c>
      <c r="G319" s="70" t="s">
        <v>415</v>
      </c>
      <c r="H319" s="70"/>
      <c r="I319" s="70"/>
    </row>
    <row r="320">
      <c r="A320" s="179">
        <v>43300.0</v>
      </c>
      <c r="B320" s="43" t="str">
        <f>VLOOKUP(A320,Table!A:D,4,false)</f>
        <v>Period 12</v>
      </c>
      <c r="C320" s="43">
        <v>0.11180555555555556</v>
      </c>
      <c r="D320" s="43">
        <v>0.12708333333333333</v>
      </c>
      <c r="E320" s="43">
        <v>0.9166666666666666</v>
      </c>
      <c r="F320" s="43">
        <v>0.25763888888888886</v>
      </c>
      <c r="G320" s="70" t="s">
        <v>415</v>
      </c>
      <c r="H320" s="70"/>
      <c r="I320" s="70"/>
    </row>
    <row r="321">
      <c r="A321" s="179">
        <v>43301.0</v>
      </c>
      <c r="B321" s="43" t="str">
        <f>VLOOKUP(A321,Table!A:D,4,false)</f>
        <v>Period 12</v>
      </c>
      <c r="C321" s="43">
        <v>0.12435185185185185</v>
      </c>
      <c r="D321" s="43">
        <v>0.13927083333333334</v>
      </c>
      <c r="E321" s="43">
        <v>0.9166666666666666</v>
      </c>
      <c r="F321" s="43">
        <v>0.26006944444444446</v>
      </c>
      <c r="G321" s="70" t="s">
        <v>415</v>
      </c>
      <c r="H321" s="70"/>
      <c r="I321" s="70"/>
    </row>
    <row r="322">
      <c r="A322" s="179">
        <v>43302.0</v>
      </c>
      <c r="B322" s="43" t="str">
        <f>VLOOKUP(A322,Table!A:D,4,false)</f>
        <v>Period 12</v>
      </c>
      <c r="C322" s="43">
        <v>0.1199537037037037</v>
      </c>
      <c r="D322" s="43">
        <v>0.1305324074074074</v>
      </c>
      <c r="E322" s="43">
        <v>0.9166666666666666</v>
      </c>
      <c r="F322" s="43">
        <v>0.23256944444444444</v>
      </c>
      <c r="G322" s="70" t="s">
        <v>415</v>
      </c>
      <c r="H322" s="70"/>
      <c r="I322" s="70"/>
    </row>
    <row r="323">
      <c r="A323" s="179">
        <v>43303.0</v>
      </c>
      <c r="B323" s="43" t="str">
        <f>VLOOKUP(A323,Table!A:D,4,false)</f>
        <v>Period 12</v>
      </c>
      <c r="C323" s="43">
        <v>0.12638888888888888</v>
      </c>
      <c r="D323" s="43">
        <v>0.14930555555555555</v>
      </c>
      <c r="E323" s="43">
        <v>0.9166666666666666</v>
      </c>
      <c r="F323" s="43">
        <v>0.24791666666666667</v>
      </c>
      <c r="G323" s="70" t="s">
        <v>415</v>
      </c>
      <c r="H323" s="70"/>
      <c r="I323" s="70"/>
    </row>
    <row r="324">
      <c r="A324" s="179">
        <v>43304.0</v>
      </c>
      <c r="B324" s="43" t="str">
        <f>VLOOKUP(A324,Table!A:D,4,false)</f>
        <v>Period 12</v>
      </c>
      <c r="C324" s="43">
        <v>0.12222222222222222</v>
      </c>
      <c r="D324" s="43">
        <v>0.1388888888888889</v>
      </c>
      <c r="E324" s="43">
        <v>0.9166666666666666</v>
      </c>
      <c r="F324" s="43">
        <v>0.2673611111111111</v>
      </c>
      <c r="G324" s="70" t="s">
        <v>415</v>
      </c>
      <c r="H324" s="70"/>
      <c r="I324" s="70"/>
    </row>
    <row r="325">
      <c r="A325" s="179">
        <v>43305.0</v>
      </c>
      <c r="B325" s="43" t="str">
        <f>VLOOKUP(A325,Table!A:D,4,false)</f>
        <v>Period 12</v>
      </c>
      <c r="C325" s="43">
        <v>0.12361111111111112</v>
      </c>
      <c r="D325" s="43">
        <v>0.2222222222222222</v>
      </c>
      <c r="E325" s="43">
        <v>0.9166666666666666</v>
      </c>
      <c r="F325" s="43">
        <v>0.36041666666666666</v>
      </c>
      <c r="G325" s="70" t="s">
        <v>416</v>
      </c>
      <c r="H325" s="70"/>
      <c r="I325" s="70"/>
    </row>
    <row r="326">
      <c r="A326" s="179">
        <v>43306.0</v>
      </c>
      <c r="B326" s="43" t="str">
        <f>VLOOKUP(A326,Table!A:D,4,false)</f>
        <v>Period 12</v>
      </c>
      <c r="C326" s="43">
        <v>0.16875</v>
      </c>
      <c r="D326" s="43">
        <v>0.18333333333333332</v>
      </c>
      <c r="E326" s="43">
        <v>0.9166666666666666</v>
      </c>
      <c r="F326" s="166">
        <v>0.28958333333333336</v>
      </c>
      <c r="G326" s="70" t="s">
        <v>416</v>
      </c>
      <c r="H326" s="70"/>
      <c r="I326" s="70"/>
    </row>
    <row r="327">
      <c r="A327" s="179">
        <v>43307.0</v>
      </c>
      <c r="B327" s="43" t="str">
        <f>VLOOKUP(A327,Table!A:D,4,false)</f>
        <v>Period 12</v>
      </c>
      <c r="C327" s="43">
        <v>0.12498842592592592</v>
      </c>
      <c r="D327" s="43">
        <v>0.1377662037037037</v>
      </c>
      <c r="E327" s="43">
        <v>0.9166666666666666</v>
      </c>
      <c r="F327" s="43">
        <v>0.3</v>
      </c>
      <c r="G327" s="70" t="s">
        <v>416</v>
      </c>
      <c r="H327" s="70"/>
      <c r="I327" s="70"/>
    </row>
    <row r="328">
      <c r="A328" s="179">
        <v>43308.0</v>
      </c>
      <c r="B328" s="43" t="str">
        <f>VLOOKUP(A328,Table!A:D,4,false)</f>
        <v>Period 12</v>
      </c>
      <c r="C328" s="43">
        <v>0.11167824074074074</v>
      </c>
      <c r="D328" s="43">
        <v>0.12438657407407408</v>
      </c>
      <c r="E328" s="43">
        <v>0.9166666666666666</v>
      </c>
      <c r="F328" s="43">
        <v>0.2472337962962963</v>
      </c>
      <c r="G328" s="70" t="s">
        <v>415</v>
      </c>
      <c r="H328" s="70"/>
      <c r="I328" s="70"/>
    </row>
    <row r="329">
      <c r="A329" s="179">
        <v>43309.0</v>
      </c>
      <c r="B329" s="43" t="str">
        <f>VLOOKUP(A329,Table!A:D,4,false)</f>
        <v>Period 12</v>
      </c>
      <c r="C329" s="43">
        <v>0.14930555555555555</v>
      </c>
      <c r="D329" s="180">
        <v>0.16496527777777778</v>
      </c>
      <c r="E329" s="43">
        <v>0.9166666666666666</v>
      </c>
      <c r="F329" s="43">
        <v>0.3279861111111111</v>
      </c>
      <c r="G329" s="70" t="s">
        <v>416</v>
      </c>
      <c r="H329" s="70"/>
      <c r="I329" s="70"/>
    </row>
    <row r="330">
      <c r="A330" s="179">
        <v>43310.0</v>
      </c>
      <c r="B330" s="43" t="str">
        <f>VLOOKUP(A330,Table!A:D,4,false)</f>
        <v>Period 12</v>
      </c>
      <c r="C330" s="43">
        <v>0.12638888888888888</v>
      </c>
      <c r="D330" s="43">
        <v>0.15208333333333332</v>
      </c>
      <c r="E330" s="43">
        <v>0.9166666666666666</v>
      </c>
      <c r="F330" s="43">
        <v>0.31166666666666665</v>
      </c>
      <c r="G330" s="70" t="s">
        <v>416</v>
      </c>
      <c r="H330" s="70"/>
      <c r="I330" s="70"/>
    </row>
    <row r="331">
      <c r="A331" s="179">
        <v>43311.0</v>
      </c>
      <c r="B331" s="43" t="str">
        <f>VLOOKUP(A331,Table!A:D,4,false)</f>
        <v>Period 12</v>
      </c>
      <c r="C331" s="43">
        <v>0.12361111111111112</v>
      </c>
      <c r="D331" s="43">
        <v>0.13819444444444445</v>
      </c>
      <c r="E331" s="43">
        <v>0.9166666666666666</v>
      </c>
      <c r="F331" s="43">
        <v>0.28055555555555556</v>
      </c>
      <c r="G331" s="70" t="s">
        <v>416</v>
      </c>
      <c r="H331" s="70"/>
      <c r="I331" s="70"/>
    </row>
    <row r="332">
      <c r="A332" s="179">
        <v>43312.0</v>
      </c>
      <c r="B332" s="43" t="str">
        <f>VLOOKUP(A332,Table!A:D,4,false)</f>
        <v>Period 12</v>
      </c>
      <c r="C332" s="43">
        <v>0.12291666666666666</v>
      </c>
      <c r="D332" s="43">
        <v>0.14652777777777778</v>
      </c>
      <c r="E332" s="43">
        <v>0.9166666666666666</v>
      </c>
      <c r="F332" s="181">
        <v>0.2986111111111111</v>
      </c>
      <c r="G332" s="70" t="s">
        <v>416</v>
      </c>
      <c r="H332" s="70"/>
      <c r="I332" s="70"/>
    </row>
    <row r="333">
      <c r="A333" s="179">
        <v>43313.0</v>
      </c>
      <c r="B333" s="43" t="str">
        <f>VLOOKUP(A333,Table!A:D,4,false)</f>
        <v>Period 12</v>
      </c>
      <c r="C333" s="43">
        <v>0.12569444444444444</v>
      </c>
      <c r="D333" s="43">
        <v>0.15138888888888888</v>
      </c>
      <c r="E333" s="43">
        <v>0.9166666666666666</v>
      </c>
      <c r="F333" s="43">
        <v>0.26944444444444443</v>
      </c>
      <c r="G333" s="70" t="s">
        <v>415</v>
      </c>
      <c r="H333" s="70"/>
      <c r="I333" s="70"/>
    </row>
    <row r="334">
      <c r="A334" s="179">
        <v>43314.0</v>
      </c>
      <c r="B334" s="43" t="str">
        <f>VLOOKUP(A334,Table!A:D,4,false)</f>
        <v>Period 12</v>
      </c>
      <c r="C334" s="43">
        <v>0.11190972222222222</v>
      </c>
      <c r="D334" s="43">
        <v>0.13739583333333333</v>
      </c>
      <c r="E334" s="43">
        <v>0.9166666666666666</v>
      </c>
      <c r="F334" s="43">
        <v>0.2388425925925926</v>
      </c>
      <c r="G334" s="70" t="s">
        <v>415</v>
      </c>
      <c r="H334" s="70"/>
      <c r="I334" s="70"/>
    </row>
    <row r="335">
      <c r="A335" s="179">
        <v>43315.0</v>
      </c>
      <c r="B335" s="43" t="str">
        <f>VLOOKUP(A335,Table!A:D,4,false)</f>
        <v>Period 12</v>
      </c>
      <c r="C335" s="43">
        <v>0.12653935185185186</v>
      </c>
      <c r="D335" s="43">
        <v>0.14159722222222224</v>
      </c>
      <c r="E335" s="43">
        <v>0.9166666666666666</v>
      </c>
      <c r="F335" s="166">
        <v>0.2826388888888889</v>
      </c>
      <c r="G335" s="70" t="s">
        <v>416</v>
      </c>
      <c r="H335" s="70"/>
      <c r="I335" s="70"/>
    </row>
    <row r="336">
      <c r="A336" s="179">
        <v>43316.0</v>
      </c>
      <c r="B336" s="43" t="str">
        <f>VLOOKUP(A336,Table!A:D,4,false)</f>
        <v>Period 12</v>
      </c>
      <c r="C336" s="43">
        <v>0.1558101851851852</v>
      </c>
      <c r="D336" s="43">
        <v>0.17269675925925926</v>
      </c>
      <c r="E336" s="43">
        <v>0.9166666666666666</v>
      </c>
      <c r="F336" s="43">
        <v>0.2569444444444444</v>
      </c>
      <c r="G336" s="70" t="s">
        <v>415</v>
      </c>
      <c r="H336" s="70"/>
      <c r="I336" s="70"/>
    </row>
    <row r="337">
      <c r="A337" s="179">
        <v>43317.0</v>
      </c>
      <c r="B337" s="43" t="str">
        <f>VLOOKUP(A337,Table!A:D,4,false)</f>
        <v>Period 12</v>
      </c>
      <c r="C337" s="43">
        <v>0.1798611111111111</v>
      </c>
      <c r="D337" s="43">
        <v>0.211875</v>
      </c>
      <c r="E337" s="43">
        <v>0.9166666666666666</v>
      </c>
      <c r="F337" s="43">
        <v>0.3784722222222222</v>
      </c>
      <c r="G337" s="70" t="s">
        <v>416</v>
      </c>
      <c r="H337" s="70"/>
      <c r="I337" s="70"/>
    </row>
    <row r="338">
      <c r="A338" s="179">
        <v>43318.0</v>
      </c>
      <c r="B338" s="43" t="str">
        <f>VLOOKUP(A338,Table!A:D,4,false)</f>
        <v>Period 13</v>
      </c>
      <c r="C338" s="43">
        <v>0.13402777777777777</v>
      </c>
      <c r="D338" s="43">
        <v>0.1597222222222222</v>
      </c>
      <c r="E338" s="43">
        <v>0.9166666666666666</v>
      </c>
      <c r="F338" s="43">
        <v>0.2565162037037037</v>
      </c>
      <c r="G338" s="70" t="s">
        <v>415</v>
      </c>
      <c r="H338" s="70"/>
      <c r="I338" s="70"/>
    </row>
    <row r="339">
      <c r="A339" s="179">
        <v>43319.0</v>
      </c>
      <c r="B339" s="43" t="str">
        <f>VLOOKUP(A339,Table!A:D,4,false)</f>
        <v>Period 13</v>
      </c>
      <c r="C339" s="43">
        <v>0.09652777777777778</v>
      </c>
      <c r="D339" s="43">
        <v>0.1111111111111111</v>
      </c>
      <c r="E339" s="43">
        <v>0.9166666666666666</v>
      </c>
      <c r="F339" s="43">
        <v>0.24409722222222222</v>
      </c>
      <c r="G339" s="70" t="s">
        <v>415</v>
      </c>
      <c r="H339" s="70"/>
      <c r="I339" s="70"/>
    </row>
    <row r="340">
      <c r="A340" s="179">
        <v>43320.0</v>
      </c>
      <c r="B340" s="43" t="str">
        <f>VLOOKUP(A340,Table!A:D,4,false)</f>
        <v>Period 13</v>
      </c>
      <c r="C340" s="43">
        <v>0.12232638888888889</v>
      </c>
      <c r="D340" s="43">
        <v>0.13721064814814815</v>
      </c>
      <c r="E340" s="43">
        <v>0.9166666666666666</v>
      </c>
      <c r="F340" s="43">
        <v>0.2737037037037037</v>
      </c>
      <c r="G340" s="70" t="s">
        <v>416</v>
      </c>
      <c r="H340" s="70"/>
      <c r="I340" s="70"/>
    </row>
    <row r="341">
      <c r="A341" s="179">
        <v>43321.0</v>
      </c>
      <c r="B341" s="43" t="str">
        <f>VLOOKUP(A341,Table!A:D,4,false)</f>
        <v>Period 13</v>
      </c>
      <c r="C341" s="43">
        <v>0.12393518518518519</v>
      </c>
      <c r="D341" s="43">
        <v>0.13875</v>
      </c>
      <c r="E341" s="43">
        <v>0.9166666666666666</v>
      </c>
      <c r="F341" s="43">
        <v>0.25516203703703705</v>
      </c>
      <c r="G341" s="70" t="s">
        <v>415</v>
      </c>
      <c r="H341" s="70"/>
      <c r="I341" s="70"/>
    </row>
    <row r="342">
      <c r="A342" s="179">
        <v>43322.0</v>
      </c>
      <c r="B342" s="43" t="str">
        <f>VLOOKUP(A342,Table!A:D,4,false)</f>
        <v>Period 13</v>
      </c>
      <c r="C342" s="43">
        <v>0.1253240740740741</v>
      </c>
      <c r="D342" s="43">
        <v>0.14041666666666666</v>
      </c>
      <c r="E342" s="43">
        <v>0.9166666666666666</v>
      </c>
      <c r="F342" s="43">
        <v>0.30699074074074073</v>
      </c>
      <c r="G342" s="70" t="s">
        <v>416</v>
      </c>
      <c r="H342" s="70"/>
      <c r="I342" s="70"/>
    </row>
    <row r="343">
      <c r="A343" s="179">
        <v>43323.0</v>
      </c>
      <c r="B343" s="43" t="str">
        <f>VLOOKUP(A343,Table!A:D,4,false)</f>
        <v>Period 13</v>
      </c>
      <c r="C343" s="43">
        <v>0.13652777777777778</v>
      </c>
      <c r="D343" s="43">
        <v>0.2701388888888889</v>
      </c>
      <c r="E343" s="43">
        <v>0.9166666666666666</v>
      </c>
      <c r="F343" s="43">
        <v>0.38263888888888886</v>
      </c>
      <c r="G343" s="70" t="s">
        <v>416</v>
      </c>
      <c r="H343" s="70"/>
      <c r="I343" s="70"/>
    </row>
    <row r="344">
      <c r="A344" s="179">
        <v>43324.0</v>
      </c>
      <c r="B344" s="43" t="str">
        <f>VLOOKUP(A344,Table!A:D,4,false)</f>
        <v>Period 13</v>
      </c>
      <c r="C344" s="43">
        <v>0.12152777777777778</v>
      </c>
      <c r="D344" s="43">
        <v>0.1451388888888889</v>
      </c>
      <c r="E344" s="43">
        <v>0.9166666666666666</v>
      </c>
      <c r="F344" s="43">
        <v>0.24930555555555556</v>
      </c>
      <c r="G344" s="70" t="s">
        <v>415</v>
      </c>
      <c r="H344" s="70"/>
      <c r="I344" s="70"/>
    </row>
    <row r="345">
      <c r="A345" s="179">
        <v>43325.0</v>
      </c>
      <c r="B345" s="43" t="str">
        <f>VLOOKUP(A345,Table!A:D,4,false)</f>
        <v>Period 13</v>
      </c>
      <c r="C345" s="43">
        <v>0.11180555555555556</v>
      </c>
      <c r="D345" s="43">
        <v>0.12708333333333333</v>
      </c>
      <c r="E345" s="43">
        <v>0.9166666666666666</v>
      </c>
      <c r="F345" s="43">
        <v>0.24583333333333332</v>
      </c>
      <c r="G345" s="70" t="s">
        <v>415</v>
      </c>
      <c r="H345" s="70"/>
      <c r="I345" s="70"/>
    </row>
    <row r="346">
      <c r="A346" s="179">
        <v>43326.0</v>
      </c>
      <c r="B346" s="43" t="str">
        <f>VLOOKUP(A346,Table!A:D,4,false)</f>
        <v>Period 13</v>
      </c>
      <c r="C346" s="43">
        <v>0.12291666666666666</v>
      </c>
      <c r="D346" s="43">
        <v>0.1375</v>
      </c>
      <c r="E346" s="43">
        <v>0.9166666666666666</v>
      </c>
      <c r="F346" s="43">
        <v>0.24791666666666667</v>
      </c>
      <c r="G346" s="70" t="s">
        <v>415</v>
      </c>
      <c r="H346" s="70"/>
      <c r="I346" s="70"/>
    </row>
    <row r="347">
      <c r="A347" s="179">
        <v>43327.0</v>
      </c>
      <c r="B347" s="43" t="str">
        <f>VLOOKUP(A347,Table!A:D,4,false)</f>
        <v>Period 13</v>
      </c>
      <c r="C347" s="43">
        <v>0.11319444444444444</v>
      </c>
      <c r="D347" s="43">
        <v>0.12777777777777777</v>
      </c>
      <c r="E347" s="43">
        <v>0.9166666666666666</v>
      </c>
      <c r="F347" s="43">
        <v>0.3159722222222222</v>
      </c>
      <c r="G347" s="70" t="s">
        <v>416</v>
      </c>
      <c r="H347" s="70"/>
      <c r="I347" s="70"/>
    </row>
    <row r="348">
      <c r="A348" s="179">
        <v>43328.0</v>
      </c>
      <c r="B348" s="43" t="str">
        <f>VLOOKUP(A348,Table!A:D,4,false)</f>
        <v>Period 13</v>
      </c>
      <c r="C348" s="43">
        <v>0.12777777777777777</v>
      </c>
      <c r="D348" s="43">
        <v>0.14305555555555555</v>
      </c>
      <c r="E348" s="43">
        <v>0.9166666666666666</v>
      </c>
      <c r="F348" s="43">
        <v>0.2743055555555556</v>
      </c>
      <c r="G348" s="70" t="s">
        <v>416</v>
      </c>
      <c r="H348" s="70"/>
      <c r="I348" s="70"/>
    </row>
    <row r="349">
      <c r="A349" s="179">
        <v>43329.0</v>
      </c>
      <c r="B349" s="43" t="str">
        <f>VLOOKUP(A349,Table!A:D,4,false)</f>
        <v>Period 13</v>
      </c>
      <c r="C349" s="43">
        <v>0.12594907407407407</v>
      </c>
      <c r="D349" s="43">
        <v>0.14091435185185186</v>
      </c>
      <c r="E349" s="43">
        <v>0.9166666666666666</v>
      </c>
      <c r="F349" s="43">
        <v>0.2505324074074074</v>
      </c>
      <c r="G349" s="70" t="s">
        <v>415</v>
      </c>
      <c r="H349" s="70"/>
      <c r="I349" s="70"/>
    </row>
    <row r="350">
      <c r="A350" s="179">
        <v>43330.0</v>
      </c>
      <c r="B350" s="43" t="str">
        <f>VLOOKUP(A350,Table!A:D,4,false)</f>
        <v>Period 13</v>
      </c>
      <c r="C350" s="43">
        <v>0.16525462962962964</v>
      </c>
      <c r="D350" s="43">
        <v>0.18032407407407408</v>
      </c>
      <c r="E350" s="43">
        <v>0.9166666666666666</v>
      </c>
      <c r="F350" s="43">
        <v>0.2833333333333333</v>
      </c>
      <c r="G350" s="70" t="s">
        <v>416</v>
      </c>
      <c r="H350" s="70"/>
      <c r="I350" s="70"/>
    </row>
    <row r="351">
      <c r="A351" s="179">
        <v>43331.0</v>
      </c>
      <c r="B351" s="43" t="str">
        <f>VLOOKUP(A351,Table!A:D,4,false)</f>
        <v>Period 13</v>
      </c>
      <c r="C351" s="43">
        <v>0.14375</v>
      </c>
      <c r="D351" s="43">
        <v>0.16944444444444445</v>
      </c>
      <c r="E351" s="43">
        <v>0.9166666666666666</v>
      </c>
      <c r="F351" s="43">
        <v>0.2611111111111111</v>
      </c>
      <c r="G351" s="70" t="s">
        <v>415</v>
      </c>
      <c r="H351" s="70"/>
      <c r="I351" s="70"/>
    </row>
    <row r="352">
      <c r="A352" s="182">
        <v>43332.0</v>
      </c>
      <c r="B352" s="43" t="str">
        <f>VLOOKUP(A352,Table!A:D,4,false)</f>
        <v>Period 13</v>
      </c>
      <c r="C352" s="183"/>
      <c r="D352" s="183"/>
      <c r="E352" s="184">
        <v>0.9166666666666666</v>
      </c>
      <c r="F352" s="183"/>
      <c r="G352" s="70" t="s">
        <v>415</v>
      </c>
      <c r="H352" s="70"/>
      <c r="I352" s="70"/>
    </row>
    <row r="353">
      <c r="A353" s="182">
        <v>43333.0</v>
      </c>
      <c r="B353" s="43" t="str">
        <f>VLOOKUP(A353,Table!A:D,4,false)</f>
        <v>Period 13</v>
      </c>
      <c r="C353" s="183"/>
      <c r="D353" s="183"/>
      <c r="E353" s="184">
        <v>0.9166666666666666</v>
      </c>
      <c r="F353" s="183"/>
      <c r="G353" s="70" t="s">
        <v>415</v>
      </c>
      <c r="H353" s="70"/>
      <c r="I353" s="70"/>
    </row>
    <row r="354">
      <c r="A354" s="179">
        <v>43334.0</v>
      </c>
      <c r="B354" s="43" t="str">
        <f>VLOOKUP(A354,Table!A:D,4,false)</f>
        <v>Period 13</v>
      </c>
      <c r="C354" s="43">
        <v>0.14375</v>
      </c>
      <c r="D354" s="43">
        <v>0.18333333333333332</v>
      </c>
      <c r="E354" s="43">
        <v>0.9166666666666666</v>
      </c>
      <c r="F354" s="43">
        <v>0.3402777777777778</v>
      </c>
      <c r="G354" s="70" t="s">
        <v>416</v>
      </c>
      <c r="H354" s="70"/>
      <c r="I354" s="70"/>
    </row>
    <row r="355">
      <c r="A355" s="179">
        <v>43335.0</v>
      </c>
      <c r="B355" s="43" t="str">
        <f>VLOOKUP(A355,Table!A:D,4,false)</f>
        <v>Period 13</v>
      </c>
      <c r="C355" s="43">
        <v>0.14583333333333334</v>
      </c>
      <c r="D355" s="180">
        <v>0.1625</v>
      </c>
      <c r="E355" s="43">
        <v>0.9486111111111111</v>
      </c>
      <c r="F355" s="43">
        <v>0.29375</v>
      </c>
      <c r="G355" s="70" t="s">
        <v>416</v>
      </c>
      <c r="H355" s="70"/>
      <c r="I355" s="70"/>
    </row>
    <row r="356">
      <c r="A356" s="179">
        <v>43336.0</v>
      </c>
      <c r="B356" s="43" t="str">
        <f>VLOOKUP(A356,Table!A:D,4,false)</f>
        <v>Period 13</v>
      </c>
      <c r="C356" s="43">
        <v>0.1326388888888889</v>
      </c>
      <c r="D356" s="43">
        <v>0.14791666666666667</v>
      </c>
      <c r="E356" s="43">
        <v>0.9166666666666666</v>
      </c>
      <c r="F356" s="43">
        <v>0.23819444444444443</v>
      </c>
      <c r="G356" s="70" t="s">
        <v>415</v>
      </c>
      <c r="H356" s="70"/>
      <c r="I356" s="70"/>
    </row>
    <row r="357">
      <c r="A357" s="179">
        <v>43337.0</v>
      </c>
      <c r="B357" s="43" t="str">
        <f>VLOOKUP(A357,Table!A:D,4,false)</f>
        <v>Period 13</v>
      </c>
      <c r="C357" s="43">
        <v>0.2</v>
      </c>
      <c r="D357" s="43">
        <v>0.21319444444444444</v>
      </c>
      <c r="E357" s="43">
        <v>0.9166666666666666</v>
      </c>
      <c r="F357" s="43">
        <v>0.29305555555555557</v>
      </c>
      <c r="G357" s="70" t="s">
        <v>416</v>
      </c>
      <c r="H357" s="70"/>
      <c r="I357" s="70"/>
    </row>
    <row r="358">
      <c r="A358" s="179">
        <v>43338.0</v>
      </c>
      <c r="B358" s="43" t="str">
        <f>VLOOKUP(A358,Table!A:D,4,false)</f>
        <v>Period 13</v>
      </c>
      <c r="C358" s="43">
        <v>0.12708333333333333</v>
      </c>
      <c r="D358" s="43">
        <v>0.15069444444444444</v>
      </c>
      <c r="E358" s="43">
        <v>0.9166666666666666</v>
      </c>
      <c r="F358" s="43">
        <v>0.2569444444444444</v>
      </c>
      <c r="G358" s="70" t="s">
        <v>415</v>
      </c>
      <c r="H358" s="70"/>
      <c r="I358" s="70"/>
    </row>
    <row r="359">
      <c r="A359" s="179">
        <v>43339.0</v>
      </c>
      <c r="B359" s="43" t="str">
        <f>VLOOKUP(A359,Table!A:D,4,false)</f>
        <v>Period 13</v>
      </c>
      <c r="C359" s="43">
        <v>0.12430555555555556</v>
      </c>
      <c r="D359" s="43">
        <v>0.13680555555555557</v>
      </c>
      <c r="E359" s="43">
        <v>0.9166666666666666</v>
      </c>
      <c r="F359" s="43">
        <v>0.27291666666666664</v>
      </c>
      <c r="G359" s="70" t="s">
        <v>416</v>
      </c>
      <c r="H359" s="70"/>
      <c r="I359" s="70"/>
    </row>
    <row r="360">
      <c r="A360" s="179">
        <v>43340.0</v>
      </c>
      <c r="B360" s="43" t="str">
        <f>VLOOKUP(A360,Table!A:D,4,false)</f>
        <v>Period 13</v>
      </c>
      <c r="C360" s="43">
        <v>0.16944444444444445</v>
      </c>
      <c r="D360" s="43">
        <v>0.19722222222222222</v>
      </c>
      <c r="E360" s="43">
        <v>0.9166666666666666</v>
      </c>
      <c r="F360" s="43">
        <v>0.26944444444444443</v>
      </c>
      <c r="G360" s="70" t="s">
        <v>415</v>
      </c>
      <c r="H360" s="70"/>
      <c r="I360" s="70"/>
    </row>
    <row r="361">
      <c r="A361" s="179">
        <v>43341.0</v>
      </c>
      <c r="B361" s="43" t="str">
        <f>VLOOKUP(A361,Table!A:D,4,false)</f>
        <v>Period 13</v>
      </c>
      <c r="C361" s="43">
        <v>0.12777777777777777</v>
      </c>
      <c r="D361" s="43">
        <v>0.15486111111111112</v>
      </c>
      <c r="E361" s="43">
        <v>0.9166666666666666</v>
      </c>
      <c r="F361" s="43">
        <v>0.26319444444444445</v>
      </c>
      <c r="G361" s="70" t="s">
        <v>415</v>
      </c>
      <c r="H361" s="70"/>
      <c r="I361" s="70"/>
    </row>
    <row r="362">
      <c r="A362" s="179">
        <v>43342.0</v>
      </c>
      <c r="B362" s="43" t="str">
        <f>VLOOKUP(A362,Table!A:D,4,false)</f>
        <v>Period 13</v>
      </c>
      <c r="C362" s="43">
        <v>0.12524305555555557</v>
      </c>
      <c r="D362" s="43">
        <v>0.14863425925925927</v>
      </c>
      <c r="E362" s="43">
        <v>0.9166666666666666</v>
      </c>
      <c r="F362" s="43">
        <v>0.30416666666666664</v>
      </c>
      <c r="G362" s="70" t="s">
        <v>416</v>
      </c>
      <c r="H362" s="70"/>
      <c r="I362" s="70"/>
    </row>
    <row r="363">
      <c r="A363" s="179">
        <v>43343.0</v>
      </c>
      <c r="B363" s="43" t="str">
        <f>VLOOKUP(A363,Table!A:D,4,false)</f>
        <v>Period 13</v>
      </c>
      <c r="C363" s="43">
        <v>0.124375</v>
      </c>
      <c r="D363" s="43">
        <v>0.14555555555555555</v>
      </c>
      <c r="E363" s="43">
        <v>0.9166666666666666</v>
      </c>
      <c r="F363" s="43">
        <v>0.31776620370370373</v>
      </c>
      <c r="G363" s="70" t="s">
        <v>416</v>
      </c>
      <c r="H363" s="70"/>
      <c r="I363" s="70"/>
    </row>
    <row r="364">
      <c r="A364" s="179">
        <v>43344.0</v>
      </c>
      <c r="B364" s="43" t="str">
        <f>VLOOKUP(A364,Table!A:D,4,false)</f>
        <v>Period 13</v>
      </c>
      <c r="C364" s="43">
        <v>0.1583101851851852</v>
      </c>
      <c r="D364" s="43">
        <v>0.1752314814814815</v>
      </c>
      <c r="E364" s="43">
        <v>0.9166666666666666</v>
      </c>
      <c r="F364" s="43">
        <v>0.30486111111111114</v>
      </c>
      <c r="G364" s="70" t="s">
        <v>416</v>
      </c>
      <c r="H364" s="70"/>
      <c r="I364" s="70"/>
    </row>
  </sheetData>
  <autoFilter ref="$A$1:$G$364"/>
  <conditionalFormatting sqref="F1:F1000">
    <cfRule type="cellIs" dxfId="7" priority="1" operator="greaterThan">
      <formula>"6:30:59 AM"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13.43"/>
    <col customWidth="1" min="3" max="3" width="16.86"/>
    <col customWidth="1" min="4" max="4" width="18.29"/>
    <col customWidth="1" min="5" max="5" width="22.71"/>
    <col customWidth="1" min="6" max="6" width="13.57"/>
    <col customWidth="1" min="7" max="7" width="22.29"/>
    <col customWidth="1" min="8" max="8" width="22.43"/>
    <col customWidth="1" min="9" max="9" width="21.86"/>
    <col customWidth="1" min="10" max="10" width="31.43"/>
    <col customWidth="1" min="11" max="11" width="23.29"/>
    <col customWidth="1" min="12" max="12" width="22.57"/>
    <col customWidth="1" min="13" max="13" width="46.86"/>
  </cols>
  <sheetData>
    <row r="1">
      <c r="A1" s="120" t="s">
        <v>213</v>
      </c>
      <c r="B1" s="120" t="s">
        <v>214</v>
      </c>
      <c r="C1" s="120" t="s">
        <v>215</v>
      </c>
      <c r="D1" s="120" t="s">
        <v>417</v>
      </c>
      <c r="E1" s="120"/>
      <c r="F1" s="120"/>
      <c r="G1" s="120"/>
      <c r="H1" s="120"/>
      <c r="I1" s="120"/>
      <c r="J1" s="120"/>
      <c r="K1" s="120"/>
      <c r="L1" s="120"/>
      <c r="M1" s="120"/>
      <c r="N1" s="121"/>
      <c r="O1" s="121"/>
      <c r="P1" s="121"/>
      <c r="Q1" s="121"/>
      <c r="R1" s="121"/>
      <c r="S1" s="121"/>
      <c r="T1" s="121"/>
      <c r="U1" s="121"/>
      <c r="V1" s="121"/>
    </row>
    <row r="2">
      <c r="A2" s="122">
        <v>43344.0</v>
      </c>
      <c r="B2" s="123">
        <v>0.04990740740740741</v>
      </c>
      <c r="C2" s="124">
        <v>281122.0</v>
      </c>
      <c r="D2" s="120">
        <v>65.0</v>
      </c>
      <c r="E2" s="125"/>
      <c r="F2" s="120"/>
      <c r="G2" s="125"/>
      <c r="H2" s="125"/>
      <c r="I2" s="125"/>
      <c r="J2" s="120"/>
      <c r="K2" s="120"/>
      <c r="L2" s="120"/>
      <c r="M2" s="120"/>
      <c r="N2" s="121"/>
      <c r="O2" s="121"/>
      <c r="P2" s="121"/>
      <c r="Q2" s="121"/>
      <c r="R2" s="121"/>
      <c r="S2" s="121"/>
      <c r="T2" s="121"/>
      <c r="U2" s="121"/>
      <c r="V2" s="121"/>
    </row>
    <row r="3">
      <c r="A3" s="122">
        <v>43345.0</v>
      </c>
      <c r="B3" s="123">
        <v>0.04123842592592593</v>
      </c>
      <c r="C3" s="124">
        <v>195510.0</v>
      </c>
      <c r="D3" s="120">
        <v>55.0</v>
      </c>
      <c r="E3" s="125"/>
      <c r="F3" s="120"/>
      <c r="G3" s="125"/>
      <c r="H3" s="125"/>
      <c r="I3" s="125"/>
      <c r="J3" s="120"/>
      <c r="K3" s="120"/>
      <c r="L3" s="120"/>
      <c r="M3" s="120"/>
      <c r="N3" s="121"/>
      <c r="O3" s="121"/>
      <c r="P3" s="121"/>
      <c r="Q3" s="121"/>
      <c r="R3" s="121"/>
      <c r="S3" s="121"/>
      <c r="T3" s="121"/>
      <c r="U3" s="121"/>
      <c r="V3" s="121"/>
    </row>
    <row r="4">
      <c r="A4" s="122">
        <v>43349.0</v>
      </c>
      <c r="B4" s="123">
        <v>0.0709375</v>
      </c>
      <c r="C4" s="124">
        <v>381295.0</v>
      </c>
      <c r="D4" s="120">
        <v>62.0</v>
      </c>
      <c r="E4" s="125"/>
      <c r="F4" s="120"/>
      <c r="G4" s="125"/>
      <c r="H4" s="125"/>
      <c r="I4" s="125"/>
      <c r="J4" s="120"/>
      <c r="K4" s="120"/>
      <c r="L4" s="120"/>
      <c r="M4" s="120"/>
      <c r="N4" s="121"/>
      <c r="O4" s="121"/>
      <c r="P4" s="121"/>
      <c r="Q4" s="121"/>
      <c r="R4" s="121"/>
      <c r="S4" s="121"/>
      <c r="T4" s="121"/>
      <c r="U4" s="121"/>
      <c r="V4" s="121"/>
    </row>
    <row r="5">
      <c r="A5" s="122">
        <v>43350.0</v>
      </c>
      <c r="B5" s="123">
        <v>0.04258101851851852</v>
      </c>
      <c r="C5" s="124">
        <v>332218.0</v>
      </c>
      <c r="D5" s="120">
        <v>90.0</v>
      </c>
      <c r="E5" s="125"/>
      <c r="F5" s="120"/>
      <c r="G5" s="125"/>
      <c r="H5" s="125"/>
      <c r="I5" s="125"/>
      <c r="J5" s="120"/>
      <c r="K5" s="120"/>
      <c r="L5" s="120"/>
      <c r="M5" s="120"/>
      <c r="N5" s="121"/>
      <c r="O5" s="121"/>
      <c r="P5" s="121"/>
      <c r="Q5" s="121"/>
      <c r="R5" s="121"/>
      <c r="S5" s="121"/>
      <c r="T5" s="121"/>
      <c r="U5" s="121"/>
      <c r="V5" s="121"/>
    </row>
    <row r="6">
      <c r="A6" s="122">
        <v>43351.0</v>
      </c>
      <c r="B6" s="123">
        <v>0.04715277777777778</v>
      </c>
      <c r="C6" s="124">
        <v>317264.0</v>
      </c>
      <c r="D6" s="120">
        <v>78.0</v>
      </c>
      <c r="E6" s="125"/>
      <c r="F6" s="120"/>
      <c r="G6" s="125"/>
      <c r="H6" s="125"/>
      <c r="I6" s="125"/>
      <c r="J6" s="120"/>
      <c r="K6" s="120"/>
      <c r="L6" s="120"/>
      <c r="M6" s="120"/>
      <c r="N6" s="121"/>
      <c r="O6" s="121"/>
      <c r="P6" s="121"/>
      <c r="Q6" s="121"/>
      <c r="R6" s="121"/>
      <c r="S6" s="121"/>
      <c r="T6" s="121"/>
      <c r="U6" s="121"/>
      <c r="V6" s="121"/>
    </row>
    <row r="7">
      <c r="A7" s="122">
        <v>43352.0</v>
      </c>
      <c r="B7" s="123">
        <v>0.03903935185185185</v>
      </c>
      <c r="C7" s="124">
        <v>206353.0</v>
      </c>
      <c r="D7" s="120">
        <v>61.0</v>
      </c>
      <c r="E7" s="125"/>
      <c r="F7" s="120"/>
      <c r="G7" s="125"/>
      <c r="H7" s="125"/>
      <c r="I7" s="125"/>
      <c r="J7" s="120"/>
      <c r="K7" s="120"/>
      <c r="L7" s="120"/>
      <c r="M7" s="120"/>
      <c r="N7" s="121"/>
      <c r="O7" s="121"/>
      <c r="P7" s="121"/>
      <c r="Q7" s="121"/>
      <c r="R7" s="121"/>
      <c r="S7" s="121"/>
      <c r="T7" s="121"/>
      <c r="U7" s="121"/>
      <c r="V7" s="121"/>
    </row>
    <row r="8">
      <c r="A8" s="125">
        <v>43354.0</v>
      </c>
      <c r="B8" s="123">
        <v>0.024155092592592593</v>
      </c>
      <c r="C8" s="124">
        <v>258022.0</v>
      </c>
      <c r="D8" s="120">
        <v>124.0</v>
      </c>
      <c r="E8" s="125"/>
      <c r="F8" s="120"/>
      <c r="G8" s="125"/>
      <c r="H8" s="125"/>
      <c r="I8" s="125"/>
      <c r="J8" s="120"/>
      <c r="K8" s="120"/>
      <c r="L8" s="120"/>
      <c r="M8" s="120"/>
      <c r="N8" s="121"/>
      <c r="O8" s="121"/>
      <c r="P8" s="121"/>
      <c r="Q8" s="121"/>
      <c r="R8" s="121"/>
      <c r="S8" s="121"/>
      <c r="T8" s="121"/>
      <c r="U8" s="121"/>
      <c r="V8" s="121"/>
    </row>
    <row r="9">
      <c r="A9" s="125">
        <v>43355.0</v>
      </c>
      <c r="B9" s="123">
        <v>0.04127314814814815</v>
      </c>
      <c r="C9" s="124">
        <v>364851.0</v>
      </c>
      <c r="D9" s="120">
        <v>102.0</v>
      </c>
      <c r="E9" s="125"/>
      <c r="F9" s="120"/>
      <c r="G9" s="125"/>
      <c r="H9" s="125"/>
      <c r="I9" s="125"/>
      <c r="J9" s="120"/>
      <c r="K9" s="120"/>
      <c r="L9" s="120"/>
      <c r="M9" s="120"/>
      <c r="N9" s="121"/>
      <c r="O9" s="121"/>
      <c r="P9" s="121"/>
      <c r="Q9" s="121"/>
      <c r="R9" s="121"/>
      <c r="S9" s="121"/>
      <c r="T9" s="121"/>
      <c r="U9" s="121"/>
      <c r="V9" s="121"/>
    </row>
    <row r="10">
      <c r="A10" s="125">
        <v>43356.0</v>
      </c>
      <c r="B10" s="123">
        <v>0.05476851851851852</v>
      </c>
      <c r="C10" s="124">
        <v>313126.0</v>
      </c>
      <c r="D10" s="120">
        <v>66.0</v>
      </c>
      <c r="E10" s="125"/>
      <c r="F10" s="120"/>
      <c r="G10" s="125"/>
      <c r="H10" s="125"/>
      <c r="I10" s="125"/>
      <c r="J10" s="120"/>
      <c r="K10" s="120"/>
      <c r="L10" s="120"/>
      <c r="M10" s="120"/>
      <c r="N10" s="121"/>
      <c r="O10" s="121"/>
      <c r="P10" s="121"/>
      <c r="Q10" s="121"/>
      <c r="R10" s="121"/>
      <c r="S10" s="121"/>
      <c r="T10" s="121"/>
      <c r="U10" s="121"/>
      <c r="V10" s="121"/>
    </row>
    <row r="11">
      <c r="A11" s="125">
        <v>43357.0</v>
      </c>
      <c r="B11" s="123">
        <v>0.06159722222222222</v>
      </c>
      <c r="C11" s="124">
        <v>308988.0</v>
      </c>
      <c r="D11" s="120">
        <v>58.0</v>
      </c>
      <c r="E11" s="125"/>
      <c r="F11" s="120"/>
      <c r="G11" s="125"/>
      <c r="H11" s="125"/>
      <c r="I11" s="125"/>
      <c r="J11" s="120"/>
      <c r="K11" s="120"/>
      <c r="L11" s="120"/>
      <c r="M11" s="120"/>
      <c r="N11" s="121"/>
      <c r="O11" s="121"/>
      <c r="P11" s="121"/>
      <c r="Q11" s="121"/>
      <c r="R11" s="121"/>
      <c r="S11" s="121"/>
      <c r="T11" s="121"/>
      <c r="U11" s="121"/>
      <c r="V11" s="121"/>
    </row>
    <row r="12">
      <c r="A12" s="125">
        <v>43358.0</v>
      </c>
      <c r="B12" s="123">
        <v>0.07922453703703704</v>
      </c>
      <c r="C12" s="124">
        <v>298728.0</v>
      </c>
      <c r="D12" s="120">
        <v>44.0</v>
      </c>
      <c r="E12" s="125"/>
      <c r="F12" s="120"/>
      <c r="G12" s="125"/>
      <c r="H12" s="125"/>
      <c r="I12" s="125"/>
      <c r="J12" s="120"/>
      <c r="K12" s="120"/>
      <c r="L12" s="120"/>
      <c r="M12" s="120"/>
      <c r="N12" s="121"/>
      <c r="O12" s="121"/>
      <c r="P12" s="121"/>
      <c r="Q12" s="121"/>
      <c r="R12" s="121"/>
      <c r="S12" s="121"/>
      <c r="T12" s="121"/>
      <c r="U12" s="121"/>
      <c r="V12" s="121"/>
    </row>
    <row r="13">
      <c r="A13" s="125">
        <v>43359.0</v>
      </c>
      <c r="B13" s="123">
        <v>0.0641087962962963</v>
      </c>
      <c r="C13" s="124">
        <v>189777.0</v>
      </c>
      <c r="D13" s="120">
        <v>34.0</v>
      </c>
      <c r="E13" s="125"/>
      <c r="F13" s="120"/>
      <c r="G13" s="125"/>
      <c r="H13" s="125"/>
      <c r="I13" s="125"/>
      <c r="J13" s="120"/>
      <c r="K13" s="120"/>
      <c r="L13" s="120"/>
      <c r="M13" s="120"/>
      <c r="N13" s="121"/>
      <c r="O13" s="121"/>
      <c r="P13" s="121"/>
      <c r="Q13" s="121"/>
      <c r="R13" s="121"/>
      <c r="S13" s="121"/>
      <c r="T13" s="121"/>
      <c r="U13" s="121"/>
      <c r="V13" s="121"/>
    </row>
    <row r="14">
      <c r="A14" s="125">
        <v>43361.0</v>
      </c>
      <c r="B14" s="123">
        <v>0.02232638888888889</v>
      </c>
      <c r="C14" s="124">
        <v>262199.0</v>
      </c>
      <c r="D14" s="120">
        <v>136.0</v>
      </c>
      <c r="E14" s="125"/>
      <c r="F14" s="120"/>
      <c r="G14" s="125"/>
      <c r="H14" s="125"/>
      <c r="I14" s="125"/>
      <c r="J14" s="120"/>
      <c r="K14" s="120"/>
      <c r="L14" s="120"/>
      <c r="M14" s="120"/>
      <c r="N14" s="121"/>
      <c r="O14" s="121"/>
      <c r="P14" s="121"/>
      <c r="Q14" s="121"/>
      <c r="R14" s="121"/>
      <c r="S14" s="121"/>
      <c r="T14" s="121"/>
      <c r="U14" s="121"/>
      <c r="V14" s="121"/>
    </row>
    <row r="15">
      <c r="A15" s="125">
        <v>43362.0</v>
      </c>
      <c r="B15" s="123">
        <v>0.04261574074074074</v>
      </c>
      <c r="C15" s="124">
        <v>364760.0</v>
      </c>
      <c r="D15" s="120">
        <v>99.0</v>
      </c>
      <c r="E15" s="125"/>
      <c r="F15" s="120"/>
      <c r="G15" s="125"/>
      <c r="H15" s="125"/>
      <c r="I15" s="125"/>
      <c r="J15" s="120"/>
      <c r="K15" s="120"/>
      <c r="L15" s="120"/>
      <c r="M15" s="120"/>
      <c r="N15" s="121"/>
      <c r="O15" s="121"/>
      <c r="P15" s="121"/>
      <c r="Q15" s="121"/>
      <c r="R15" s="121"/>
      <c r="S15" s="121"/>
      <c r="T15" s="121"/>
      <c r="U15" s="121"/>
      <c r="V15" s="121"/>
    </row>
    <row r="16">
      <c r="A16" s="125">
        <v>43363.0</v>
      </c>
      <c r="B16" s="123">
        <v>0.043263888888888886</v>
      </c>
      <c r="C16" s="124">
        <v>298642.0</v>
      </c>
      <c r="D16" s="120">
        <v>80.0</v>
      </c>
      <c r="E16" s="125"/>
      <c r="F16" s="120"/>
      <c r="G16" s="125"/>
      <c r="H16" s="125"/>
      <c r="I16" s="125"/>
      <c r="J16" s="120"/>
      <c r="K16" s="120"/>
      <c r="L16" s="120"/>
      <c r="M16" s="120"/>
      <c r="N16" s="121"/>
      <c r="O16" s="121"/>
      <c r="P16" s="121"/>
      <c r="Q16" s="121"/>
      <c r="R16" s="121"/>
      <c r="S16" s="121"/>
      <c r="T16" s="121"/>
      <c r="U16" s="121"/>
      <c r="V16" s="121"/>
    </row>
    <row r="17">
      <c r="A17" s="125">
        <v>43364.0</v>
      </c>
      <c r="B17" s="123">
        <v>0.059097222222222225</v>
      </c>
      <c r="C17" s="124">
        <v>291667.0</v>
      </c>
      <c r="D17" s="120">
        <v>57.0</v>
      </c>
      <c r="E17" s="125"/>
      <c r="F17" s="120"/>
      <c r="G17" s="125"/>
      <c r="H17" s="125"/>
      <c r="I17" s="125"/>
      <c r="J17" s="120"/>
      <c r="K17" s="120"/>
      <c r="L17" s="120"/>
      <c r="M17" s="120"/>
      <c r="N17" s="121"/>
      <c r="O17" s="121"/>
      <c r="P17" s="121"/>
      <c r="Q17" s="121"/>
      <c r="R17" s="121"/>
      <c r="S17" s="121"/>
      <c r="T17" s="121"/>
      <c r="U17" s="121"/>
      <c r="V17" s="121"/>
    </row>
    <row r="18">
      <c r="A18" s="125">
        <v>43365.0</v>
      </c>
      <c r="B18" s="123">
        <v>0.04605324074074074</v>
      </c>
      <c r="C18" s="124">
        <v>273506.0</v>
      </c>
      <c r="D18" s="120">
        <v>69.0</v>
      </c>
      <c r="E18" s="125"/>
      <c r="F18" s="120"/>
      <c r="G18" s="125"/>
      <c r="H18" s="125"/>
      <c r="I18" s="125"/>
      <c r="J18" s="120"/>
      <c r="K18" s="120"/>
      <c r="L18" s="120"/>
      <c r="M18" s="120"/>
      <c r="N18" s="121"/>
      <c r="O18" s="121"/>
      <c r="P18" s="121"/>
      <c r="Q18" s="121"/>
      <c r="R18" s="121"/>
      <c r="S18" s="121"/>
      <c r="T18" s="121"/>
      <c r="U18" s="121"/>
      <c r="V18" s="121"/>
    </row>
    <row r="19">
      <c r="A19" s="125">
        <v>43366.0</v>
      </c>
      <c r="B19" s="123">
        <v>0.06608796296296296</v>
      </c>
      <c r="C19" s="124">
        <v>179873.0</v>
      </c>
      <c r="D19" s="120">
        <v>32.0</v>
      </c>
      <c r="E19" s="125"/>
      <c r="F19" s="120"/>
      <c r="G19" s="125"/>
      <c r="H19" s="125"/>
      <c r="I19" s="125"/>
      <c r="J19" s="120"/>
      <c r="K19" s="120"/>
      <c r="L19" s="120"/>
      <c r="M19" s="120"/>
      <c r="N19" s="121"/>
      <c r="O19" s="121"/>
      <c r="P19" s="121"/>
      <c r="Q19" s="121"/>
      <c r="R19" s="121"/>
      <c r="S19" s="121"/>
      <c r="T19" s="121"/>
      <c r="U19" s="121"/>
      <c r="V19" s="121"/>
    </row>
    <row r="20">
      <c r="A20" s="125">
        <v>43368.0</v>
      </c>
      <c r="B20" s="123">
        <v>0.011203703703703704</v>
      </c>
      <c r="C20" s="124">
        <v>120153.0</v>
      </c>
      <c r="D20" s="120">
        <v>124.0</v>
      </c>
      <c r="E20" s="125"/>
      <c r="F20" s="120"/>
      <c r="G20" s="125"/>
      <c r="H20" s="125"/>
      <c r="I20" s="125"/>
      <c r="J20" s="120"/>
      <c r="K20" s="120"/>
      <c r="L20" s="120"/>
      <c r="M20" s="120"/>
      <c r="N20" s="121"/>
      <c r="O20" s="121"/>
      <c r="P20" s="121"/>
      <c r="Q20" s="121"/>
      <c r="R20" s="121"/>
      <c r="S20" s="121"/>
      <c r="T20" s="121"/>
      <c r="U20" s="121"/>
      <c r="V20" s="121"/>
    </row>
    <row r="21">
      <c r="A21" s="125">
        <v>43369.0</v>
      </c>
      <c r="B21" s="123">
        <v>0.07950231481481482</v>
      </c>
      <c r="C21" s="124">
        <v>359299.0</v>
      </c>
      <c r="D21" s="120">
        <v>52.0</v>
      </c>
      <c r="E21" s="125"/>
      <c r="F21" s="120"/>
      <c r="G21" s="125"/>
      <c r="H21" s="125"/>
      <c r="I21" s="125"/>
      <c r="J21" s="120"/>
      <c r="K21" s="120"/>
      <c r="L21" s="120"/>
      <c r="M21" s="120"/>
      <c r="N21" s="121"/>
      <c r="O21" s="121"/>
      <c r="P21" s="121"/>
      <c r="Q21" s="121"/>
      <c r="R21" s="121"/>
      <c r="S21" s="121"/>
      <c r="T21" s="121"/>
      <c r="U21" s="121"/>
      <c r="V21" s="121"/>
    </row>
    <row r="22">
      <c r="A22" s="125">
        <v>43370.0</v>
      </c>
      <c r="B22" s="123">
        <v>0.0648611111111111</v>
      </c>
      <c r="C22" s="124">
        <v>296111.0</v>
      </c>
      <c r="D22" s="120">
        <v>53.0</v>
      </c>
      <c r="E22" s="125"/>
      <c r="F22" s="120"/>
      <c r="G22" s="125"/>
      <c r="H22" s="125"/>
      <c r="I22" s="125"/>
      <c r="J22" s="120"/>
      <c r="K22" s="120"/>
      <c r="L22" s="120"/>
      <c r="M22" s="120"/>
      <c r="N22" s="121"/>
      <c r="O22" s="121"/>
      <c r="P22" s="121"/>
      <c r="Q22" s="121"/>
      <c r="R22" s="121"/>
      <c r="S22" s="121"/>
      <c r="T22" s="121"/>
      <c r="U22" s="121"/>
      <c r="V22" s="121"/>
    </row>
    <row r="23">
      <c r="A23" s="125">
        <v>43371.0</v>
      </c>
      <c r="B23" s="123">
        <v>0.04376157407407407</v>
      </c>
      <c r="C23" s="124">
        <v>281819.0</v>
      </c>
      <c r="D23" s="120">
        <v>75.0</v>
      </c>
      <c r="E23" s="125"/>
      <c r="F23" s="120"/>
      <c r="G23" s="125"/>
      <c r="H23" s="125"/>
      <c r="I23" s="125"/>
      <c r="J23" s="120"/>
      <c r="K23" s="120"/>
      <c r="L23" s="120"/>
      <c r="M23" s="120"/>
      <c r="N23" s="121"/>
      <c r="O23" s="121"/>
      <c r="P23" s="121"/>
      <c r="Q23" s="121"/>
      <c r="R23" s="121"/>
      <c r="S23" s="121"/>
      <c r="T23" s="121"/>
      <c r="U23" s="121"/>
      <c r="V23" s="121"/>
    </row>
    <row r="24">
      <c r="A24" s="125">
        <v>43372.0</v>
      </c>
      <c r="B24" s="123">
        <v>0.06394675925925926</v>
      </c>
      <c r="C24" s="124">
        <v>301541.0</v>
      </c>
      <c r="D24" s="120">
        <v>55.0</v>
      </c>
      <c r="E24" s="125"/>
      <c r="F24" s="120"/>
      <c r="G24" s="125"/>
      <c r="H24" s="125"/>
      <c r="I24" s="125"/>
      <c r="J24" s="120"/>
      <c r="K24" s="120"/>
      <c r="L24" s="120"/>
      <c r="M24" s="120"/>
      <c r="N24" s="121"/>
      <c r="O24" s="121"/>
      <c r="P24" s="121"/>
      <c r="Q24" s="121"/>
      <c r="R24" s="121"/>
      <c r="S24" s="121"/>
      <c r="T24" s="121"/>
      <c r="U24" s="121"/>
      <c r="V24" s="121"/>
    </row>
    <row r="25">
      <c r="A25" s="125">
        <v>43373.0</v>
      </c>
      <c r="B25" s="123">
        <v>0.04708333333333333</v>
      </c>
      <c r="C25" s="124">
        <v>185251.0</v>
      </c>
      <c r="D25" s="120">
        <v>46.0</v>
      </c>
      <c r="E25" s="125"/>
      <c r="F25" s="120"/>
      <c r="G25" s="125"/>
      <c r="H25" s="125"/>
      <c r="I25" s="125"/>
      <c r="J25" s="120"/>
      <c r="K25" s="120"/>
      <c r="L25" s="120"/>
      <c r="M25" s="120"/>
      <c r="N25" s="121"/>
      <c r="O25" s="121"/>
      <c r="P25" s="121"/>
      <c r="Q25" s="121"/>
      <c r="R25" s="121"/>
      <c r="S25" s="121"/>
      <c r="T25" s="121"/>
      <c r="U25" s="121"/>
      <c r="V25" s="121"/>
    </row>
    <row r="26">
      <c r="A26" s="122">
        <v>43374.0</v>
      </c>
      <c r="B26" s="123">
        <v>0.02065972222222222</v>
      </c>
      <c r="C26" s="124">
        <v>76373.0</v>
      </c>
      <c r="D26" s="120">
        <v>43.0</v>
      </c>
      <c r="E26" s="125"/>
      <c r="F26" s="120"/>
      <c r="G26" s="125"/>
      <c r="H26" s="125"/>
      <c r="I26" s="125"/>
      <c r="J26" s="120"/>
      <c r="K26" s="120"/>
      <c r="L26" s="120"/>
      <c r="M26" s="120"/>
      <c r="N26" s="121"/>
      <c r="O26" s="121"/>
      <c r="P26" s="121"/>
      <c r="Q26" s="121"/>
      <c r="R26" s="121"/>
      <c r="S26" s="121"/>
      <c r="T26" s="121"/>
      <c r="U26" s="121"/>
      <c r="V26" s="121"/>
    </row>
    <row r="27">
      <c r="A27" s="122">
        <v>43376.0</v>
      </c>
      <c r="B27" s="123">
        <v>0.06675925925925925</v>
      </c>
      <c r="C27" s="124">
        <v>367501.0</v>
      </c>
      <c r="D27" s="120">
        <v>64.0</v>
      </c>
      <c r="E27" s="125"/>
      <c r="F27" s="120"/>
      <c r="G27" s="125"/>
      <c r="H27" s="125"/>
      <c r="I27" s="125"/>
      <c r="J27" s="120"/>
      <c r="K27" s="120"/>
      <c r="L27" s="120"/>
      <c r="M27" s="120"/>
      <c r="N27" s="121"/>
      <c r="O27" s="121"/>
      <c r="P27" s="121"/>
      <c r="Q27" s="121"/>
      <c r="R27" s="121"/>
      <c r="S27" s="121"/>
      <c r="T27" s="121"/>
      <c r="U27" s="121"/>
      <c r="V27" s="121"/>
    </row>
    <row r="28">
      <c r="A28" s="126">
        <v>43377.0</v>
      </c>
      <c r="B28" s="127">
        <v>0.10813657407407408</v>
      </c>
      <c r="C28" s="128">
        <v>316604.0</v>
      </c>
      <c r="D28" s="130">
        <v>34.0</v>
      </c>
      <c r="E28" s="129"/>
      <c r="F28" s="130"/>
      <c r="G28" s="129"/>
      <c r="H28" s="129"/>
      <c r="I28" s="129"/>
      <c r="J28" s="130"/>
      <c r="K28" s="130"/>
      <c r="L28" s="130"/>
      <c r="M28" s="130"/>
      <c r="N28" s="131"/>
      <c r="O28" s="131"/>
      <c r="P28" s="131"/>
      <c r="Q28" s="131"/>
      <c r="R28" s="131"/>
      <c r="S28" s="131"/>
      <c r="T28" s="131"/>
      <c r="U28" s="131"/>
      <c r="V28" s="131"/>
    </row>
    <row r="29">
      <c r="A29" s="122">
        <v>43378.0</v>
      </c>
      <c r="B29" s="123">
        <v>0.06251157407407408</v>
      </c>
      <c r="C29" s="124">
        <v>292023.0</v>
      </c>
      <c r="D29" s="120">
        <v>54.0</v>
      </c>
      <c r="E29" s="125"/>
      <c r="F29" s="120"/>
      <c r="G29" s="125"/>
      <c r="H29" s="125"/>
      <c r="I29" s="125"/>
      <c r="J29" s="120"/>
      <c r="K29" s="120"/>
      <c r="L29" s="120"/>
      <c r="M29" s="120"/>
      <c r="N29" s="121"/>
      <c r="O29" s="121"/>
      <c r="P29" s="121"/>
      <c r="Q29" s="121"/>
      <c r="R29" s="121"/>
      <c r="S29" s="121"/>
      <c r="T29" s="121"/>
      <c r="U29" s="121"/>
      <c r="V29" s="121"/>
    </row>
    <row r="30">
      <c r="A30" s="122">
        <v>43379.0</v>
      </c>
      <c r="B30" s="123">
        <v>0.0849537037037037</v>
      </c>
      <c r="C30" s="124">
        <v>329107.0</v>
      </c>
      <c r="D30" s="120">
        <v>45.0</v>
      </c>
      <c r="E30" s="125"/>
      <c r="F30" s="120"/>
      <c r="G30" s="125"/>
      <c r="H30" s="125"/>
      <c r="I30" s="125"/>
      <c r="J30" s="120"/>
      <c r="K30" s="120"/>
      <c r="L30" s="120"/>
      <c r="M30" s="120"/>
      <c r="N30" s="121"/>
      <c r="O30" s="121"/>
      <c r="P30" s="121"/>
      <c r="Q30" s="121"/>
      <c r="R30" s="121"/>
      <c r="S30" s="121"/>
      <c r="T30" s="121"/>
      <c r="U30" s="121"/>
      <c r="V30" s="121"/>
    </row>
    <row r="31">
      <c r="A31" s="122">
        <v>43380.0</v>
      </c>
      <c r="B31" s="123">
        <v>0.07313657407407408</v>
      </c>
      <c r="C31" s="124">
        <v>198088.0</v>
      </c>
      <c r="D31" s="120">
        <v>31.0</v>
      </c>
      <c r="E31" s="125"/>
      <c r="F31" s="120"/>
      <c r="G31" s="125"/>
      <c r="H31" s="125"/>
      <c r="I31" s="125"/>
      <c r="J31" s="120"/>
      <c r="K31" s="120"/>
      <c r="L31" s="120"/>
      <c r="M31" s="120"/>
      <c r="N31" s="121"/>
      <c r="O31" s="121"/>
      <c r="P31" s="121"/>
      <c r="Q31" s="121"/>
      <c r="R31" s="121"/>
      <c r="S31" s="121"/>
      <c r="T31" s="121"/>
      <c r="U31" s="121"/>
      <c r="V31" s="121"/>
    </row>
    <row r="32">
      <c r="A32" s="125">
        <v>43383.0</v>
      </c>
      <c r="B32" s="123">
        <v>0.10943287037037037</v>
      </c>
      <c r="C32" s="124">
        <v>352398.0</v>
      </c>
      <c r="D32" s="120">
        <v>37.0</v>
      </c>
      <c r="E32" s="125"/>
      <c r="F32" s="120"/>
      <c r="G32" s="125"/>
      <c r="H32" s="125"/>
      <c r="I32" s="125"/>
      <c r="J32" s="120"/>
      <c r="K32" s="120"/>
      <c r="L32" s="120"/>
      <c r="M32" s="120"/>
      <c r="N32" s="121"/>
      <c r="O32" s="121"/>
      <c r="P32" s="121"/>
      <c r="Q32" s="121"/>
      <c r="R32" s="121"/>
      <c r="S32" s="121"/>
      <c r="T32" s="121"/>
      <c r="U32" s="121"/>
      <c r="V32" s="121"/>
    </row>
    <row r="33">
      <c r="A33" s="125">
        <v>43384.0</v>
      </c>
      <c r="B33" s="123">
        <v>0.06877314814814815</v>
      </c>
      <c r="C33" s="124">
        <v>152451.0</v>
      </c>
      <c r="D33" s="120">
        <v>26.0</v>
      </c>
      <c r="E33" s="125"/>
      <c r="F33" s="120"/>
      <c r="G33" s="125"/>
      <c r="H33" s="125"/>
      <c r="I33" s="125"/>
      <c r="J33" s="120"/>
      <c r="K33" s="120"/>
      <c r="L33" s="120"/>
      <c r="M33" s="120"/>
      <c r="N33" s="121"/>
      <c r="O33" s="121"/>
      <c r="P33" s="121"/>
      <c r="Q33" s="121"/>
      <c r="R33" s="121"/>
      <c r="S33" s="121"/>
      <c r="T33" s="121"/>
      <c r="U33" s="121"/>
      <c r="V33" s="121"/>
    </row>
    <row r="34">
      <c r="A34" s="125">
        <v>43385.0</v>
      </c>
      <c r="B34" s="123">
        <v>0.05379629629629629</v>
      </c>
      <c r="C34" s="124">
        <v>326596.0</v>
      </c>
      <c r="D34" s="120">
        <v>70.0</v>
      </c>
      <c r="E34" s="125"/>
      <c r="F34" s="120"/>
      <c r="G34" s="125"/>
      <c r="H34" s="125"/>
      <c r="I34" s="125"/>
      <c r="J34" s="120"/>
      <c r="K34" s="120"/>
      <c r="L34" s="120"/>
      <c r="M34" s="120"/>
      <c r="N34" s="121"/>
      <c r="O34" s="121"/>
      <c r="P34" s="121"/>
      <c r="Q34" s="121"/>
      <c r="R34" s="121"/>
      <c r="S34" s="121"/>
      <c r="T34" s="121"/>
      <c r="U34" s="121"/>
      <c r="V34" s="121"/>
    </row>
    <row r="35">
      <c r="A35" s="125">
        <v>43386.0</v>
      </c>
      <c r="B35" s="123">
        <v>0.08582175925925926</v>
      </c>
      <c r="C35" s="124">
        <v>308879.0</v>
      </c>
      <c r="D35" s="120">
        <v>42.0</v>
      </c>
      <c r="E35" s="122"/>
      <c r="F35" s="120"/>
      <c r="G35" s="122"/>
      <c r="H35" s="122"/>
      <c r="I35" s="122"/>
      <c r="J35" s="120"/>
      <c r="K35" s="120"/>
      <c r="L35" s="120"/>
      <c r="M35" s="120"/>
      <c r="N35" s="121"/>
      <c r="O35" s="121"/>
      <c r="P35" s="121"/>
      <c r="Q35" s="121"/>
      <c r="R35" s="121"/>
      <c r="S35" s="121"/>
      <c r="T35" s="121"/>
      <c r="U35" s="121"/>
      <c r="V35" s="121"/>
    </row>
    <row r="36">
      <c r="A36" s="125">
        <v>43387.0</v>
      </c>
      <c r="B36" s="123">
        <v>0.07600694444444445</v>
      </c>
      <c r="C36" s="124">
        <v>208954.0</v>
      </c>
      <c r="D36" s="120">
        <v>32.0</v>
      </c>
      <c r="E36" s="122"/>
      <c r="F36" s="120"/>
      <c r="G36" s="122"/>
      <c r="H36" s="122"/>
      <c r="I36" s="122"/>
      <c r="J36" s="120"/>
      <c r="K36" s="120"/>
      <c r="L36" s="120"/>
      <c r="M36" s="120"/>
      <c r="N36" s="121"/>
      <c r="O36" s="121"/>
      <c r="P36" s="121"/>
      <c r="Q36" s="121"/>
      <c r="R36" s="121"/>
      <c r="S36" s="121"/>
      <c r="T36" s="121"/>
      <c r="U36" s="121"/>
      <c r="V36" s="121"/>
    </row>
    <row r="37">
      <c r="A37" s="125">
        <v>43388.0</v>
      </c>
      <c r="B37" s="123">
        <v>0.024618055555555556</v>
      </c>
      <c r="C37" s="124">
        <v>80528.0</v>
      </c>
      <c r="D37" s="120">
        <v>38.0</v>
      </c>
      <c r="E37" s="122"/>
      <c r="F37" s="120"/>
      <c r="G37" s="122"/>
      <c r="H37" s="122"/>
      <c r="I37" s="122"/>
      <c r="J37" s="120"/>
      <c r="K37" s="120"/>
      <c r="L37" s="120"/>
      <c r="M37" s="120"/>
      <c r="N37" s="121"/>
      <c r="O37" s="121"/>
      <c r="P37" s="121"/>
      <c r="Q37" s="121"/>
      <c r="R37" s="121"/>
      <c r="S37" s="121"/>
      <c r="T37" s="121"/>
      <c r="U37" s="121"/>
      <c r="V37" s="121"/>
    </row>
    <row r="38">
      <c r="A38" s="125">
        <v>43389.0</v>
      </c>
      <c r="B38" s="123">
        <v>0.029375</v>
      </c>
      <c r="C38" s="124">
        <v>261369.0</v>
      </c>
      <c r="D38" s="120">
        <v>103.0</v>
      </c>
      <c r="E38" s="122"/>
      <c r="F38" s="120"/>
      <c r="G38" s="122"/>
      <c r="H38" s="122"/>
      <c r="I38" s="122"/>
      <c r="J38" s="120"/>
      <c r="K38" s="120"/>
      <c r="L38" s="120"/>
      <c r="M38" s="120"/>
      <c r="N38" s="121"/>
      <c r="O38" s="121"/>
      <c r="P38" s="121"/>
      <c r="Q38" s="121"/>
      <c r="R38" s="121"/>
      <c r="S38" s="121"/>
      <c r="T38" s="121"/>
      <c r="U38" s="121"/>
      <c r="V38" s="121"/>
    </row>
    <row r="39">
      <c r="A39" s="125">
        <v>43390.0</v>
      </c>
      <c r="B39" s="123">
        <v>0.11853009259259259</v>
      </c>
      <c r="C39" s="124">
        <v>380922.0</v>
      </c>
      <c r="D39" s="120">
        <v>37.0</v>
      </c>
      <c r="E39" s="122"/>
      <c r="F39" s="120"/>
      <c r="G39" s="122"/>
      <c r="H39" s="122"/>
      <c r="I39" s="122"/>
      <c r="J39" s="120"/>
      <c r="K39" s="120"/>
      <c r="L39" s="120"/>
      <c r="M39" s="120"/>
      <c r="N39" s="121"/>
      <c r="O39" s="121"/>
      <c r="P39" s="121"/>
      <c r="Q39" s="121"/>
      <c r="R39" s="121"/>
      <c r="S39" s="121"/>
      <c r="T39" s="121"/>
      <c r="U39" s="121"/>
      <c r="V39" s="121"/>
    </row>
    <row r="40">
      <c r="A40" s="125">
        <v>43391.0</v>
      </c>
      <c r="B40" s="123">
        <v>0.08827546296296296</v>
      </c>
      <c r="C40" s="124">
        <v>309548.0</v>
      </c>
      <c r="D40" s="120">
        <v>41.0</v>
      </c>
      <c r="E40" s="122"/>
      <c r="F40" s="120"/>
      <c r="G40" s="122"/>
      <c r="H40" s="122"/>
      <c r="I40" s="122"/>
      <c r="J40" s="120"/>
      <c r="K40" s="120"/>
      <c r="L40" s="120"/>
      <c r="M40" s="120"/>
      <c r="N40" s="121"/>
      <c r="O40" s="121"/>
      <c r="P40" s="121"/>
      <c r="Q40" s="121"/>
      <c r="R40" s="121"/>
      <c r="S40" s="121"/>
      <c r="T40" s="121"/>
      <c r="U40" s="121"/>
      <c r="V40" s="121"/>
    </row>
    <row r="41">
      <c r="A41" s="125">
        <v>43392.0</v>
      </c>
      <c r="B41" s="123">
        <v>0.0713425925925926</v>
      </c>
      <c r="C41" s="124">
        <v>296139.0</v>
      </c>
      <c r="D41" s="120">
        <v>48.0</v>
      </c>
      <c r="E41" s="122"/>
      <c r="F41" s="120"/>
      <c r="G41" s="122"/>
      <c r="H41" s="122"/>
      <c r="I41" s="122"/>
      <c r="J41" s="120"/>
      <c r="K41" s="120"/>
      <c r="L41" s="120"/>
      <c r="M41" s="120"/>
      <c r="N41" s="121"/>
      <c r="O41" s="121"/>
      <c r="P41" s="121"/>
      <c r="Q41" s="121"/>
      <c r="R41" s="121"/>
      <c r="S41" s="121"/>
      <c r="T41" s="121"/>
      <c r="U41" s="121"/>
      <c r="V41" s="121"/>
    </row>
    <row r="42">
      <c r="A42" s="125">
        <v>43393.0</v>
      </c>
      <c r="B42" s="123">
        <v>0.1271064814814815</v>
      </c>
      <c r="C42" s="124">
        <v>284441.0</v>
      </c>
      <c r="D42" s="120">
        <v>26.0</v>
      </c>
      <c r="E42" s="122"/>
      <c r="F42" s="120"/>
      <c r="G42" s="122"/>
      <c r="H42" s="122"/>
      <c r="I42" s="122"/>
      <c r="J42" s="120"/>
      <c r="K42" s="120"/>
      <c r="L42" s="120"/>
      <c r="M42" s="120"/>
      <c r="N42" s="121"/>
      <c r="O42" s="121"/>
      <c r="P42" s="121"/>
      <c r="Q42" s="121"/>
      <c r="R42" s="121"/>
      <c r="S42" s="121"/>
      <c r="T42" s="121"/>
      <c r="U42" s="121"/>
      <c r="V42" s="121"/>
    </row>
    <row r="43">
      <c r="A43" s="125">
        <v>43394.0</v>
      </c>
      <c r="B43" s="123">
        <v>0.06295138888888889</v>
      </c>
      <c r="C43" s="124">
        <v>194118.0</v>
      </c>
      <c r="D43" s="120">
        <v>36.0</v>
      </c>
      <c r="E43" s="122"/>
      <c r="F43" s="120"/>
      <c r="G43" s="122"/>
      <c r="H43" s="122"/>
      <c r="I43" s="122"/>
      <c r="J43" s="120"/>
      <c r="K43" s="120"/>
      <c r="L43" s="120"/>
      <c r="M43" s="120"/>
      <c r="N43" s="121"/>
      <c r="O43" s="121"/>
      <c r="P43" s="121"/>
      <c r="Q43" s="121"/>
      <c r="R43" s="121"/>
      <c r="S43" s="121"/>
      <c r="T43" s="121"/>
      <c r="U43" s="121"/>
      <c r="V43" s="121"/>
    </row>
    <row r="44">
      <c r="A44" s="125">
        <v>43396.0</v>
      </c>
      <c r="B44" s="123">
        <v>0.030648148148148147</v>
      </c>
      <c r="C44" s="124">
        <v>252997.0</v>
      </c>
      <c r="D44" s="120">
        <v>96.0</v>
      </c>
      <c r="E44" s="122"/>
      <c r="F44" s="120"/>
      <c r="G44" s="122"/>
      <c r="H44" s="122"/>
      <c r="I44" s="122"/>
      <c r="J44" s="120"/>
      <c r="K44" s="120"/>
      <c r="L44" s="120"/>
      <c r="M44" s="120"/>
      <c r="N44" s="121"/>
      <c r="O44" s="121"/>
      <c r="P44" s="121"/>
      <c r="Q44" s="121"/>
      <c r="R44" s="121"/>
      <c r="S44" s="121"/>
      <c r="T44" s="121"/>
      <c r="U44" s="121"/>
      <c r="V44" s="121"/>
    </row>
    <row r="45">
      <c r="A45" s="125">
        <v>43397.0</v>
      </c>
      <c r="B45" s="123">
        <v>0.10142361111111112</v>
      </c>
      <c r="C45" s="124">
        <v>364372.0</v>
      </c>
      <c r="D45" s="120">
        <v>42.0</v>
      </c>
      <c r="E45" s="122"/>
      <c r="F45" s="120"/>
      <c r="G45" s="122"/>
      <c r="H45" s="122"/>
      <c r="I45" s="122"/>
      <c r="J45" s="120"/>
      <c r="K45" s="120"/>
      <c r="L45" s="120"/>
      <c r="M45" s="120"/>
      <c r="N45" s="121"/>
      <c r="O45" s="121"/>
      <c r="P45" s="121"/>
      <c r="Q45" s="121"/>
      <c r="R45" s="121"/>
      <c r="S45" s="121"/>
      <c r="T45" s="121"/>
      <c r="U45" s="121"/>
      <c r="V45" s="121"/>
    </row>
    <row r="46">
      <c r="A46" s="125">
        <v>43398.0</v>
      </c>
      <c r="B46" s="123">
        <v>0.09893518518518518</v>
      </c>
      <c r="C46" s="124">
        <v>311156.0</v>
      </c>
      <c r="D46" s="120">
        <v>36.0</v>
      </c>
      <c r="E46" s="122"/>
      <c r="F46" s="120"/>
      <c r="G46" s="122"/>
      <c r="H46" s="122"/>
      <c r="I46" s="122"/>
      <c r="J46" s="120"/>
      <c r="K46" s="120"/>
      <c r="L46" s="120"/>
      <c r="M46" s="120"/>
      <c r="N46" s="121"/>
      <c r="O46" s="121"/>
      <c r="P46" s="121"/>
      <c r="Q46" s="121"/>
      <c r="R46" s="121"/>
      <c r="S46" s="121"/>
      <c r="T46" s="121"/>
      <c r="U46" s="121"/>
      <c r="V46" s="121"/>
    </row>
    <row r="47">
      <c r="A47" s="125">
        <v>43399.0</v>
      </c>
      <c r="B47" s="123">
        <v>0.07201388888888889</v>
      </c>
      <c r="C47" s="124">
        <v>305041.0</v>
      </c>
      <c r="D47" s="120">
        <v>49.0</v>
      </c>
      <c r="E47" s="122"/>
      <c r="F47" s="120"/>
      <c r="G47" s="122"/>
      <c r="H47" s="122"/>
      <c r="I47" s="122"/>
      <c r="J47" s="120"/>
      <c r="K47" s="120"/>
      <c r="L47" s="120"/>
      <c r="M47" s="120"/>
      <c r="N47" s="121"/>
      <c r="O47" s="121"/>
      <c r="P47" s="121"/>
      <c r="Q47" s="121"/>
      <c r="R47" s="121"/>
      <c r="S47" s="121"/>
      <c r="T47" s="121"/>
      <c r="U47" s="121"/>
      <c r="V47" s="121"/>
    </row>
    <row r="48">
      <c r="A48" s="125">
        <v>43400.0</v>
      </c>
      <c r="B48" s="123">
        <v>0.08174768518518519</v>
      </c>
      <c r="C48" s="124">
        <v>300840.0</v>
      </c>
      <c r="D48" s="120">
        <v>43.0</v>
      </c>
      <c r="E48" s="122"/>
      <c r="F48" s="120"/>
      <c r="G48" s="122"/>
      <c r="H48" s="122"/>
      <c r="I48" s="122"/>
      <c r="J48" s="120"/>
      <c r="K48" s="120"/>
      <c r="L48" s="120"/>
      <c r="M48" s="120"/>
      <c r="N48" s="121"/>
      <c r="O48" s="121"/>
      <c r="P48" s="121"/>
      <c r="Q48" s="121"/>
      <c r="R48" s="121"/>
      <c r="S48" s="121"/>
      <c r="T48" s="121"/>
      <c r="U48" s="121"/>
      <c r="V48" s="121"/>
    </row>
    <row r="49">
      <c r="A49" s="125">
        <v>43401.0</v>
      </c>
      <c r="B49" s="123">
        <v>0.07263888888888889</v>
      </c>
      <c r="C49" s="124">
        <v>198933.0</v>
      </c>
      <c r="D49" s="120">
        <v>32.0</v>
      </c>
      <c r="E49" s="122"/>
      <c r="F49" s="120"/>
      <c r="G49" s="122"/>
      <c r="H49" s="122"/>
      <c r="I49" s="122"/>
      <c r="J49" s="120"/>
      <c r="K49" s="120"/>
      <c r="L49" s="120"/>
      <c r="M49" s="120"/>
      <c r="N49" s="121"/>
      <c r="O49" s="121"/>
      <c r="P49" s="121"/>
      <c r="Q49" s="121"/>
      <c r="R49" s="121"/>
      <c r="S49" s="121"/>
      <c r="T49" s="121"/>
      <c r="U49" s="121"/>
      <c r="V49" s="121"/>
    </row>
    <row r="50">
      <c r="A50" s="125">
        <v>43402.0</v>
      </c>
      <c r="B50" s="123">
        <v>0.021296296296296296</v>
      </c>
      <c r="C50" s="124">
        <v>74631.0</v>
      </c>
      <c r="D50" s="120">
        <v>41.0</v>
      </c>
      <c r="E50" s="122"/>
      <c r="F50" s="120"/>
      <c r="G50" s="122"/>
      <c r="H50" s="122"/>
      <c r="I50" s="122"/>
      <c r="J50" s="120"/>
      <c r="K50" s="120"/>
      <c r="L50" s="120"/>
      <c r="M50" s="120"/>
      <c r="N50" s="121"/>
      <c r="O50" s="121"/>
      <c r="P50" s="121"/>
      <c r="Q50" s="121"/>
      <c r="R50" s="121"/>
      <c r="S50" s="121"/>
      <c r="T50" s="121"/>
      <c r="U50" s="121"/>
      <c r="V50" s="121"/>
    </row>
    <row r="51">
      <c r="A51" s="125">
        <v>43403.0</v>
      </c>
      <c r="B51" s="123">
        <v>0.026875</v>
      </c>
      <c r="C51" s="124">
        <v>263434.0</v>
      </c>
      <c r="D51" s="120">
        <v>113.0</v>
      </c>
      <c r="E51" s="122"/>
      <c r="F51" s="120"/>
      <c r="G51" s="122"/>
      <c r="H51" s="122"/>
      <c r="I51" s="122"/>
      <c r="J51" s="120"/>
      <c r="K51" s="120"/>
      <c r="L51" s="120"/>
      <c r="M51" s="120"/>
      <c r="N51" s="121"/>
      <c r="O51" s="121"/>
      <c r="P51" s="121"/>
      <c r="Q51" s="121"/>
      <c r="R51" s="121"/>
      <c r="S51" s="121"/>
      <c r="T51" s="121"/>
      <c r="U51" s="121"/>
      <c r="V51" s="121"/>
    </row>
    <row r="52">
      <c r="A52" s="125">
        <v>43404.0</v>
      </c>
      <c r="B52" s="123">
        <v>0.1171412037037037</v>
      </c>
      <c r="C52" s="124">
        <v>402903.0</v>
      </c>
      <c r="D52" s="120">
        <v>40.0</v>
      </c>
      <c r="E52" s="122"/>
      <c r="F52" s="120"/>
      <c r="G52" s="122"/>
      <c r="H52" s="122"/>
      <c r="I52" s="122"/>
      <c r="J52" s="120"/>
      <c r="K52" s="120"/>
      <c r="L52" s="120"/>
      <c r="M52" s="120"/>
      <c r="N52" s="121"/>
      <c r="O52" s="121"/>
      <c r="P52" s="121"/>
      <c r="Q52" s="121"/>
      <c r="R52" s="121"/>
      <c r="S52" s="121"/>
      <c r="T52" s="121"/>
      <c r="U52" s="121"/>
      <c r="V52" s="121"/>
    </row>
    <row r="53">
      <c r="A53" s="122">
        <v>43405.0</v>
      </c>
      <c r="B53" s="123">
        <v>0.08945601851851852</v>
      </c>
      <c r="C53" s="124">
        <v>323759.0</v>
      </c>
      <c r="D53" s="120">
        <v>42.0</v>
      </c>
      <c r="E53" s="125"/>
      <c r="F53" s="120"/>
      <c r="G53" s="125"/>
      <c r="H53" s="125"/>
      <c r="I53" s="125"/>
      <c r="J53" s="120"/>
      <c r="K53" s="120"/>
      <c r="L53" s="120"/>
      <c r="M53" s="120"/>
      <c r="N53" s="121"/>
      <c r="O53" s="121"/>
      <c r="P53" s="121"/>
      <c r="Q53" s="121"/>
      <c r="R53" s="121"/>
      <c r="S53" s="121"/>
      <c r="T53" s="121"/>
      <c r="U53" s="121"/>
      <c r="V53" s="121"/>
    </row>
    <row r="54">
      <c r="A54" s="122">
        <v>43406.0</v>
      </c>
      <c r="B54" s="123">
        <v>0.09465277777777778</v>
      </c>
      <c r="C54" s="124">
        <v>295526.0</v>
      </c>
      <c r="D54" s="120">
        <v>36.0</v>
      </c>
      <c r="E54" s="125"/>
      <c r="F54" s="120"/>
      <c r="G54" s="125"/>
      <c r="H54" s="125"/>
      <c r="I54" s="125"/>
      <c r="J54" s="120"/>
      <c r="K54" s="120"/>
      <c r="L54" s="120"/>
      <c r="M54" s="120"/>
      <c r="N54" s="121"/>
      <c r="O54" s="121"/>
      <c r="P54" s="121"/>
      <c r="Q54" s="121"/>
      <c r="R54" s="121"/>
      <c r="S54" s="121"/>
      <c r="T54" s="121"/>
      <c r="U54" s="121"/>
      <c r="V54" s="121"/>
    </row>
    <row r="55">
      <c r="A55" s="122">
        <v>43407.0</v>
      </c>
      <c r="B55" s="123">
        <v>0.10810185185185185</v>
      </c>
      <c r="C55" s="124">
        <v>318289.0</v>
      </c>
      <c r="D55" s="120">
        <v>34.0</v>
      </c>
      <c r="E55" s="125"/>
      <c r="F55" s="120"/>
      <c r="G55" s="125"/>
      <c r="H55" s="125"/>
      <c r="I55" s="125"/>
      <c r="J55" s="120"/>
      <c r="K55" s="120"/>
      <c r="L55" s="120"/>
      <c r="M55" s="120"/>
      <c r="N55" s="121"/>
      <c r="O55" s="121"/>
      <c r="P55" s="121"/>
      <c r="Q55" s="121"/>
      <c r="R55" s="121"/>
      <c r="S55" s="121"/>
      <c r="T55" s="121"/>
      <c r="U55" s="121"/>
      <c r="V55" s="121"/>
    </row>
    <row r="56">
      <c r="A56" s="122">
        <v>43408.0</v>
      </c>
      <c r="B56" s="123">
        <v>0.12674768518518517</v>
      </c>
      <c r="C56" s="124">
        <v>203209.0</v>
      </c>
      <c r="D56" s="120">
        <v>19.0</v>
      </c>
      <c r="E56" s="125"/>
      <c r="F56" s="120"/>
      <c r="G56" s="125"/>
      <c r="H56" s="125"/>
      <c r="I56" s="125"/>
      <c r="J56" s="120"/>
      <c r="K56" s="120"/>
      <c r="L56" s="120"/>
      <c r="M56" s="120"/>
      <c r="N56" s="121"/>
      <c r="O56" s="121"/>
      <c r="P56" s="121"/>
      <c r="Q56" s="121"/>
      <c r="R56" s="121"/>
      <c r="S56" s="121"/>
      <c r="T56" s="121"/>
      <c r="U56" s="121"/>
      <c r="V56" s="121"/>
    </row>
    <row r="57">
      <c r="A57" s="122">
        <v>43409.0</v>
      </c>
      <c r="B57" s="123">
        <v>0.02337962962962963</v>
      </c>
      <c r="C57" s="124">
        <v>77311.0</v>
      </c>
      <c r="D57" s="120">
        <v>38.0</v>
      </c>
      <c r="E57" s="125"/>
      <c r="F57" s="120"/>
      <c r="G57" s="125"/>
      <c r="H57" s="125"/>
      <c r="I57" s="125"/>
      <c r="J57" s="120"/>
      <c r="K57" s="120"/>
      <c r="L57" s="120"/>
      <c r="M57" s="120"/>
      <c r="N57" s="121"/>
      <c r="O57" s="121"/>
      <c r="P57" s="121"/>
      <c r="Q57" s="121"/>
      <c r="R57" s="121"/>
      <c r="S57" s="121"/>
      <c r="T57" s="121"/>
      <c r="U57" s="121"/>
      <c r="V57" s="121"/>
    </row>
    <row r="58">
      <c r="A58" s="122">
        <v>43410.0</v>
      </c>
      <c r="B58" s="123">
        <v>0.030949074074074073</v>
      </c>
      <c r="C58" s="124">
        <v>219213.0</v>
      </c>
      <c r="D58" s="120">
        <v>82.0</v>
      </c>
      <c r="E58" s="125"/>
      <c r="F58" s="120"/>
      <c r="G58" s="125"/>
      <c r="H58" s="125"/>
      <c r="I58" s="125"/>
      <c r="J58" s="120"/>
      <c r="K58" s="120"/>
      <c r="L58" s="120"/>
      <c r="M58" s="120"/>
      <c r="N58" s="121"/>
      <c r="O58" s="121"/>
      <c r="P58" s="121"/>
      <c r="Q58" s="121"/>
      <c r="R58" s="121"/>
      <c r="S58" s="121"/>
      <c r="T58" s="121"/>
      <c r="U58" s="121"/>
      <c r="V58" s="121"/>
    </row>
    <row r="59">
      <c r="A59" s="122">
        <v>43411.0</v>
      </c>
      <c r="B59" s="123">
        <v>0.09851851851851852</v>
      </c>
      <c r="C59" s="124">
        <v>377926.0</v>
      </c>
      <c r="D59" s="120">
        <v>44.0</v>
      </c>
      <c r="E59" s="125"/>
      <c r="F59" s="120"/>
      <c r="G59" s="125"/>
      <c r="H59" s="125"/>
      <c r="I59" s="125"/>
      <c r="J59" s="120"/>
      <c r="K59" s="120"/>
      <c r="L59" s="120"/>
      <c r="M59" s="120"/>
      <c r="N59" s="121"/>
      <c r="O59" s="121"/>
      <c r="P59" s="121"/>
      <c r="Q59" s="121"/>
      <c r="R59" s="121"/>
      <c r="S59" s="121"/>
      <c r="T59" s="121"/>
      <c r="U59" s="121"/>
      <c r="V59" s="121"/>
    </row>
    <row r="60">
      <c r="A60" s="122">
        <v>43412.0</v>
      </c>
      <c r="B60" s="123">
        <v>0.1045486111111111</v>
      </c>
      <c r="C60" s="124">
        <v>326846.0</v>
      </c>
      <c r="D60" s="120">
        <v>36.0</v>
      </c>
      <c r="E60" s="125"/>
      <c r="F60" s="120"/>
      <c r="G60" s="125"/>
      <c r="H60" s="125"/>
      <c r="I60" s="125"/>
      <c r="J60" s="120"/>
      <c r="K60" s="120"/>
      <c r="L60" s="120"/>
      <c r="M60" s="120"/>
      <c r="N60" s="121"/>
      <c r="O60" s="121"/>
      <c r="P60" s="121"/>
      <c r="Q60" s="121"/>
      <c r="R60" s="121"/>
      <c r="S60" s="121"/>
      <c r="T60" s="121"/>
      <c r="U60" s="121"/>
      <c r="V60" s="121"/>
    </row>
    <row r="61">
      <c r="A61" s="122">
        <v>43413.0</v>
      </c>
      <c r="B61" s="123">
        <v>0.09519675925925926</v>
      </c>
      <c r="C61" s="124">
        <v>318880.0</v>
      </c>
      <c r="D61" s="120">
        <v>39.0</v>
      </c>
      <c r="E61" s="125"/>
      <c r="F61" s="120"/>
      <c r="G61" s="125"/>
      <c r="H61" s="125"/>
      <c r="I61" s="125"/>
      <c r="J61" s="120"/>
      <c r="K61" s="120"/>
      <c r="L61" s="120"/>
      <c r="M61" s="120"/>
      <c r="N61" s="121"/>
      <c r="O61" s="121"/>
      <c r="P61" s="121"/>
      <c r="Q61" s="121"/>
      <c r="R61" s="121"/>
      <c r="S61" s="121"/>
      <c r="T61" s="121"/>
      <c r="U61" s="121"/>
      <c r="V61" s="121"/>
    </row>
    <row r="62">
      <c r="A62" s="125">
        <v>43414.0</v>
      </c>
      <c r="B62" s="123">
        <v>0.1438888888888889</v>
      </c>
      <c r="C62" s="124">
        <v>308201.0</v>
      </c>
      <c r="D62" s="120">
        <v>25.0</v>
      </c>
      <c r="E62" s="125"/>
      <c r="F62" s="120"/>
      <c r="G62" s="125"/>
      <c r="H62" s="125"/>
      <c r="I62" s="125"/>
      <c r="J62" s="120"/>
      <c r="K62" s="120"/>
      <c r="L62" s="120"/>
      <c r="M62" s="120"/>
      <c r="N62" s="121"/>
      <c r="O62" s="121"/>
      <c r="P62" s="121"/>
      <c r="Q62" s="121"/>
      <c r="R62" s="121"/>
      <c r="S62" s="121"/>
      <c r="T62" s="121"/>
      <c r="U62" s="121"/>
      <c r="V62" s="121"/>
    </row>
    <row r="63">
      <c r="A63" s="125">
        <v>43415.0</v>
      </c>
      <c r="B63" s="123">
        <v>0.11603009259259259</v>
      </c>
      <c r="C63" s="124">
        <v>202973.0</v>
      </c>
      <c r="D63" s="120">
        <v>20.0</v>
      </c>
      <c r="E63" s="125"/>
      <c r="F63" s="120"/>
      <c r="G63" s="125"/>
      <c r="H63" s="125"/>
      <c r="I63" s="125"/>
      <c r="J63" s="120"/>
      <c r="K63" s="120"/>
      <c r="L63" s="120"/>
      <c r="M63" s="120"/>
      <c r="N63" s="121"/>
      <c r="O63" s="121"/>
      <c r="P63" s="121"/>
      <c r="Q63" s="121"/>
      <c r="R63" s="121"/>
      <c r="S63" s="121"/>
      <c r="T63" s="121"/>
      <c r="U63" s="121"/>
      <c r="V63" s="121"/>
    </row>
    <row r="64">
      <c r="A64" s="125">
        <v>43416.0</v>
      </c>
      <c r="B64" s="123">
        <v>0.01853009259259259</v>
      </c>
      <c r="C64" s="124">
        <v>77801.0</v>
      </c>
      <c r="D64" s="120">
        <v>49.0</v>
      </c>
      <c r="E64" s="125"/>
      <c r="F64" s="120"/>
      <c r="G64" s="125"/>
      <c r="H64" s="125"/>
      <c r="I64" s="125"/>
      <c r="J64" s="120"/>
      <c r="K64" s="120"/>
      <c r="L64" s="120"/>
      <c r="M64" s="120"/>
      <c r="N64" s="121"/>
      <c r="O64" s="121"/>
      <c r="P64" s="121"/>
      <c r="Q64" s="121"/>
      <c r="R64" s="121"/>
      <c r="S64" s="121"/>
      <c r="T64" s="121"/>
      <c r="U64" s="121"/>
      <c r="V64" s="121"/>
    </row>
    <row r="65">
      <c r="A65" s="125">
        <v>43417.0</v>
      </c>
      <c r="B65" s="123">
        <v>0.04201388888888889</v>
      </c>
      <c r="C65" s="124">
        <v>229498.0</v>
      </c>
      <c r="D65" s="120">
        <v>63.0</v>
      </c>
      <c r="E65" s="125"/>
      <c r="F65" s="120"/>
      <c r="G65" s="125"/>
      <c r="H65" s="125"/>
      <c r="I65" s="125"/>
      <c r="J65" s="120"/>
      <c r="K65" s="120"/>
      <c r="L65" s="120"/>
      <c r="M65" s="120"/>
      <c r="N65" s="121"/>
      <c r="O65" s="121"/>
      <c r="P65" s="121"/>
      <c r="Q65" s="121"/>
      <c r="R65" s="121"/>
      <c r="S65" s="121"/>
      <c r="T65" s="121"/>
      <c r="U65" s="121"/>
      <c r="V65" s="121"/>
    </row>
    <row r="66">
      <c r="A66" s="125">
        <v>43418.0</v>
      </c>
      <c r="B66" s="123">
        <v>0.23275462962962962</v>
      </c>
      <c r="C66" s="124">
        <v>405571.0</v>
      </c>
      <c r="D66" s="120">
        <v>20.0</v>
      </c>
      <c r="E66" s="125"/>
      <c r="F66" s="120"/>
      <c r="G66" s="125"/>
      <c r="H66" s="125"/>
      <c r="I66" s="125"/>
      <c r="J66" s="120"/>
      <c r="K66" s="120"/>
      <c r="L66" s="120"/>
      <c r="M66" s="120"/>
      <c r="N66" s="121"/>
      <c r="O66" s="121"/>
      <c r="P66" s="121"/>
      <c r="Q66" s="121"/>
      <c r="R66" s="121"/>
      <c r="S66" s="121"/>
      <c r="T66" s="121"/>
      <c r="U66" s="121"/>
      <c r="V66" s="121"/>
    </row>
    <row r="67">
      <c r="A67" s="125">
        <v>43419.0</v>
      </c>
      <c r="B67" s="123">
        <v>0.16983796296296297</v>
      </c>
      <c r="C67" s="124">
        <v>354694.0</v>
      </c>
      <c r="D67" s="120">
        <v>24.0</v>
      </c>
      <c r="E67" s="125"/>
      <c r="F67" s="120"/>
      <c r="G67" s="125"/>
      <c r="H67" s="125"/>
      <c r="I67" s="125"/>
      <c r="J67" s="120"/>
      <c r="K67" s="120"/>
      <c r="L67" s="120"/>
      <c r="M67" s="120"/>
      <c r="N67" s="121"/>
      <c r="O67" s="121"/>
      <c r="P67" s="121"/>
      <c r="Q67" s="121"/>
      <c r="R67" s="121"/>
      <c r="S67" s="121"/>
      <c r="T67" s="121"/>
      <c r="U67" s="121"/>
      <c r="V67" s="121"/>
    </row>
    <row r="68">
      <c r="A68" s="125">
        <v>43420.0</v>
      </c>
      <c r="B68" s="123">
        <v>0.16480324074074074</v>
      </c>
      <c r="C68" s="124">
        <v>326596.0</v>
      </c>
      <c r="D68" s="120">
        <v>23.0</v>
      </c>
      <c r="E68" s="125"/>
      <c r="F68" s="120"/>
      <c r="G68" s="125"/>
      <c r="H68" s="125"/>
      <c r="I68" s="125"/>
      <c r="J68" s="120"/>
      <c r="K68" s="120"/>
      <c r="L68" s="120"/>
      <c r="M68" s="120"/>
      <c r="N68" s="121"/>
      <c r="O68" s="121"/>
      <c r="P68" s="121"/>
      <c r="Q68" s="121"/>
      <c r="R68" s="121"/>
      <c r="S68" s="121"/>
      <c r="T68" s="121"/>
      <c r="U68" s="121"/>
      <c r="V68" s="121"/>
    </row>
    <row r="69">
      <c r="A69" s="125">
        <v>43421.0</v>
      </c>
      <c r="B69" s="123">
        <v>0.19571759259259258</v>
      </c>
      <c r="C69" s="124">
        <v>304765.0</v>
      </c>
      <c r="D69" s="120">
        <v>18.0</v>
      </c>
      <c r="E69" s="125"/>
      <c r="F69" s="120"/>
      <c r="G69" s="125"/>
      <c r="H69" s="125"/>
      <c r="I69" s="125"/>
      <c r="J69" s="120"/>
      <c r="K69" s="120"/>
      <c r="L69" s="120"/>
      <c r="M69" s="120"/>
      <c r="N69" s="121"/>
      <c r="O69" s="121"/>
      <c r="P69" s="121"/>
      <c r="Q69" s="121"/>
      <c r="R69" s="121"/>
      <c r="S69" s="121"/>
      <c r="T69" s="121"/>
      <c r="U69" s="121"/>
      <c r="V69" s="121"/>
    </row>
    <row r="70">
      <c r="A70" s="125">
        <v>43422.0</v>
      </c>
      <c r="B70" s="123">
        <v>0.1883101851851852</v>
      </c>
      <c r="C70" s="124">
        <v>248524.0</v>
      </c>
      <c r="D70" s="120">
        <v>15.0</v>
      </c>
      <c r="E70" s="125"/>
      <c r="F70" s="120"/>
      <c r="G70" s="125"/>
      <c r="H70" s="125"/>
      <c r="I70" s="125"/>
      <c r="J70" s="120"/>
      <c r="K70" s="120"/>
      <c r="L70" s="120"/>
      <c r="M70" s="120"/>
      <c r="N70" s="121"/>
      <c r="O70" s="121"/>
      <c r="P70" s="121"/>
      <c r="Q70" s="121"/>
      <c r="R70" s="121"/>
      <c r="S70" s="121"/>
      <c r="T70" s="121"/>
      <c r="U70" s="121"/>
      <c r="V70" s="121"/>
    </row>
    <row r="71">
      <c r="A71" s="125">
        <v>43423.0</v>
      </c>
      <c r="B71" s="123">
        <v>0.04761574074074074</v>
      </c>
      <c r="C71" s="124">
        <v>96269.0</v>
      </c>
      <c r="D71" s="120">
        <v>23.0</v>
      </c>
      <c r="E71" s="125"/>
      <c r="F71" s="120"/>
      <c r="G71" s="125"/>
      <c r="H71" s="125"/>
      <c r="I71" s="125"/>
      <c r="J71" s="120"/>
      <c r="K71" s="120"/>
      <c r="L71" s="120"/>
      <c r="M71" s="120"/>
      <c r="N71" s="121"/>
      <c r="O71" s="121"/>
      <c r="P71" s="121"/>
      <c r="Q71" s="121"/>
      <c r="R71" s="121"/>
      <c r="S71" s="121"/>
      <c r="T71" s="121"/>
      <c r="U71" s="121"/>
      <c r="V71" s="121"/>
    </row>
    <row r="72">
      <c r="A72" s="120" t="s">
        <v>418</v>
      </c>
      <c r="B72" s="123">
        <v>0.03340277777777778</v>
      </c>
      <c r="C72" s="120">
        <v>250814.0</v>
      </c>
      <c r="D72" s="120">
        <v>87.0</v>
      </c>
      <c r="E72" s="125"/>
      <c r="F72" s="120"/>
      <c r="G72" s="125"/>
      <c r="H72" s="125"/>
      <c r="I72" s="125"/>
      <c r="J72" s="120"/>
      <c r="K72" s="120"/>
      <c r="L72" s="120"/>
      <c r="M72" s="120"/>
      <c r="N72" s="121"/>
      <c r="O72" s="121"/>
      <c r="P72" s="121"/>
      <c r="Q72" s="121"/>
      <c r="R72" s="121"/>
      <c r="S72" s="121"/>
      <c r="T72" s="121"/>
      <c r="U72" s="121"/>
      <c r="V72" s="121"/>
    </row>
    <row r="73">
      <c r="A73" s="120" t="s">
        <v>419</v>
      </c>
      <c r="B73" s="123">
        <v>0.17966435185185184</v>
      </c>
      <c r="C73" s="120">
        <v>473593.0</v>
      </c>
      <c r="D73" s="120">
        <v>31.0</v>
      </c>
      <c r="E73" s="185"/>
      <c r="F73" s="123"/>
      <c r="G73" s="120"/>
      <c r="H73" s="120"/>
      <c r="I73" s="125"/>
      <c r="J73" s="120"/>
      <c r="K73" s="120"/>
      <c r="L73" s="120"/>
      <c r="M73" s="120"/>
      <c r="N73" s="121"/>
      <c r="O73" s="121"/>
      <c r="P73" s="121"/>
      <c r="Q73" s="121"/>
      <c r="R73" s="121"/>
      <c r="S73" s="121"/>
      <c r="T73" s="121"/>
      <c r="U73" s="121"/>
      <c r="V73" s="121"/>
    </row>
    <row r="74">
      <c r="A74" s="120" t="s">
        <v>420</v>
      </c>
      <c r="B74" s="123">
        <v>0.23673611111111112</v>
      </c>
      <c r="C74" s="120">
        <v>369076.0</v>
      </c>
      <c r="D74" s="120">
        <v>18.0</v>
      </c>
      <c r="E74" s="185"/>
      <c r="F74" s="123"/>
      <c r="G74" s="120"/>
      <c r="H74" s="120"/>
      <c r="I74" s="125"/>
      <c r="J74" s="120"/>
      <c r="K74" s="120"/>
      <c r="L74" s="120"/>
      <c r="M74" s="120"/>
      <c r="N74" s="121"/>
      <c r="O74" s="121"/>
      <c r="P74" s="121"/>
      <c r="Q74" s="121"/>
      <c r="R74" s="121"/>
      <c r="S74" s="121"/>
      <c r="T74" s="121"/>
      <c r="U74" s="121"/>
      <c r="V74" s="121"/>
    </row>
    <row r="75">
      <c r="A75" s="120" t="s">
        <v>421</v>
      </c>
      <c r="B75" s="123">
        <v>0.14929398148148149</v>
      </c>
      <c r="C75" s="120">
        <v>213423.0</v>
      </c>
      <c r="D75" s="120">
        <v>17.0</v>
      </c>
      <c r="E75" s="185"/>
      <c r="F75" s="123"/>
      <c r="G75" s="120"/>
      <c r="H75" s="120"/>
      <c r="I75" s="125"/>
      <c r="J75" s="120"/>
      <c r="K75" s="120"/>
      <c r="L75" s="120"/>
      <c r="M75" s="120"/>
      <c r="N75" s="121"/>
      <c r="O75" s="121"/>
      <c r="P75" s="121"/>
      <c r="Q75" s="121"/>
      <c r="R75" s="121"/>
      <c r="S75" s="121"/>
      <c r="T75" s="121"/>
      <c r="U75" s="121"/>
      <c r="V75" s="121"/>
    </row>
    <row r="76">
      <c r="A76" s="120" t="s">
        <v>422</v>
      </c>
      <c r="B76" s="123">
        <v>0.011539351851851851</v>
      </c>
      <c r="C76" s="120">
        <v>270290.0</v>
      </c>
      <c r="D76" s="120">
        <v>271.0</v>
      </c>
      <c r="E76" s="185"/>
      <c r="F76" s="123"/>
      <c r="G76" s="120"/>
      <c r="H76" s="120"/>
      <c r="I76" s="125"/>
      <c r="J76" s="120"/>
      <c r="K76" s="120"/>
      <c r="L76" s="120"/>
      <c r="M76" s="120"/>
      <c r="N76" s="121"/>
      <c r="O76" s="121"/>
      <c r="P76" s="121"/>
      <c r="Q76" s="121"/>
      <c r="R76" s="121"/>
      <c r="S76" s="121"/>
      <c r="T76" s="121"/>
      <c r="U76" s="121"/>
      <c r="V76" s="121"/>
    </row>
    <row r="77">
      <c r="A77" s="120" t="s">
        <v>423</v>
      </c>
      <c r="B77" s="123">
        <v>0.1627662037037037</v>
      </c>
      <c r="C77" s="120">
        <v>330358.0</v>
      </c>
      <c r="D77" s="120">
        <v>23.0</v>
      </c>
      <c r="E77" s="185"/>
      <c r="F77" s="123"/>
      <c r="G77" s="120"/>
      <c r="H77" s="120"/>
      <c r="I77" s="125"/>
      <c r="J77" s="120"/>
      <c r="K77" s="120"/>
      <c r="L77" s="120"/>
      <c r="M77" s="120"/>
      <c r="N77" s="121"/>
      <c r="O77" s="121"/>
      <c r="P77" s="121"/>
      <c r="Q77" s="121"/>
      <c r="R77" s="121"/>
      <c r="S77" s="121"/>
      <c r="T77" s="121"/>
      <c r="U77" s="121"/>
      <c r="V77" s="121"/>
    </row>
    <row r="78">
      <c r="A78" s="120" t="s">
        <v>424</v>
      </c>
      <c r="B78" s="123">
        <v>0.07400462962962963</v>
      </c>
      <c r="C78" s="120">
        <v>162672.0</v>
      </c>
      <c r="D78" s="120">
        <v>25.0</v>
      </c>
      <c r="E78" s="185"/>
      <c r="F78" s="123"/>
      <c r="G78" s="120"/>
      <c r="H78" s="120"/>
      <c r="I78" s="125"/>
      <c r="J78" s="120"/>
      <c r="K78" s="120"/>
      <c r="L78" s="120"/>
      <c r="M78" s="120"/>
      <c r="N78" s="121"/>
      <c r="O78" s="121"/>
      <c r="P78" s="121"/>
      <c r="Q78" s="121"/>
      <c r="R78" s="121"/>
      <c r="S78" s="121"/>
      <c r="T78" s="121"/>
      <c r="U78" s="121"/>
      <c r="V78" s="121"/>
    </row>
    <row r="79">
      <c r="A79" s="120" t="s">
        <v>425</v>
      </c>
      <c r="B79" s="123">
        <v>0.08166666666666667</v>
      </c>
      <c r="C79" s="120">
        <v>324855.0</v>
      </c>
      <c r="D79" s="120">
        <v>46.0</v>
      </c>
      <c r="I79" s="125"/>
      <c r="J79" s="120"/>
      <c r="K79" s="120"/>
      <c r="L79" s="120"/>
      <c r="M79" s="120"/>
      <c r="N79" s="121"/>
      <c r="O79" s="121"/>
      <c r="P79" s="121"/>
      <c r="Q79" s="121"/>
      <c r="R79" s="121"/>
      <c r="S79" s="121"/>
      <c r="T79" s="121"/>
      <c r="U79" s="121"/>
      <c r="V79" s="121"/>
    </row>
    <row r="80">
      <c r="A80" s="120" t="s">
        <v>426</v>
      </c>
      <c r="B80" s="123">
        <v>0.21310185185185185</v>
      </c>
      <c r="C80" s="120">
        <v>650654.0</v>
      </c>
      <c r="D80" s="120">
        <v>35.0</v>
      </c>
      <c r="I80" s="125"/>
      <c r="J80" s="120"/>
      <c r="K80" s="120"/>
      <c r="L80" s="120"/>
      <c r="M80" s="120"/>
      <c r="N80" s="121"/>
      <c r="O80" s="121"/>
      <c r="P80" s="121"/>
      <c r="Q80" s="121"/>
      <c r="R80" s="121"/>
      <c r="S80" s="121"/>
      <c r="T80" s="121"/>
      <c r="U80" s="121"/>
      <c r="V80" s="121"/>
    </row>
    <row r="81">
      <c r="A81" s="120" t="s">
        <v>427</v>
      </c>
      <c r="B81" s="123">
        <v>0.29335648148148147</v>
      </c>
      <c r="C81" s="120">
        <v>612470.0</v>
      </c>
      <c r="D81" s="120">
        <v>24.0</v>
      </c>
      <c r="I81" s="125"/>
      <c r="J81" s="120"/>
      <c r="K81" s="120"/>
      <c r="L81" s="120"/>
      <c r="M81" s="120"/>
      <c r="N81" s="121"/>
      <c r="O81" s="121"/>
      <c r="P81" s="121"/>
      <c r="Q81" s="121"/>
      <c r="R81" s="121"/>
      <c r="S81" s="121"/>
      <c r="T81" s="121"/>
      <c r="U81" s="121"/>
      <c r="V81" s="121"/>
    </row>
    <row r="82">
      <c r="A82" s="120" t="s">
        <v>428</v>
      </c>
      <c r="B82" s="123">
        <v>0.2467824074074074</v>
      </c>
      <c r="C82" s="120">
        <v>491519.0</v>
      </c>
      <c r="D82" s="120">
        <v>23.0</v>
      </c>
      <c r="I82" s="125"/>
      <c r="J82" s="120"/>
      <c r="K82" s="120"/>
      <c r="L82" s="120"/>
      <c r="M82" s="120"/>
      <c r="N82" s="121"/>
      <c r="O82" s="121"/>
      <c r="P82" s="121"/>
      <c r="Q82" s="121"/>
      <c r="R82" s="121"/>
      <c r="S82" s="121"/>
      <c r="T82" s="121"/>
      <c r="U82" s="121"/>
      <c r="V82" s="121"/>
    </row>
    <row r="83">
      <c r="A83" s="120" t="s">
        <v>429</v>
      </c>
      <c r="B83" s="123">
        <v>0.2696064814814815</v>
      </c>
      <c r="C83" s="120">
        <v>444200.0</v>
      </c>
      <c r="D83" s="120">
        <v>19.0</v>
      </c>
      <c r="I83" s="125"/>
      <c r="J83" s="120"/>
      <c r="K83" s="120"/>
      <c r="L83" s="120"/>
      <c r="M83" s="120"/>
      <c r="N83" s="121"/>
      <c r="O83" s="121"/>
      <c r="P83" s="121"/>
      <c r="Q83" s="121"/>
      <c r="R83" s="121"/>
      <c r="S83" s="121"/>
      <c r="T83" s="121"/>
      <c r="U83" s="121"/>
      <c r="V83" s="121"/>
    </row>
    <row r="84">
      <c r="A84" s="120" t="s">
        <v>430</v>
      </c>
      <c r="B84" s="123">
        <v>0.126875</v>
      </c>
      <c r="C84" s="120">
        <v>286584.0</v>
      </c>
      <c r="D84" s="120">
        <v>26.0</v>
      </c>
      <c r="I84" s="125"/>
      <c r="J84" s="120"/>
      <c r="K84" s="120"/>
      <c r="L84" s="120"/>
      <c r="M84" s="120"/>
      <c r="N84" s="121"/>
      <c r="O84" s="121"/>
      <c r="P84" s="121"/>
      <c r="Q84" s="121"/>
      <c r="R84" s="121"/>
      <c r="S84" s="121"/>
      <c r="T84" s="121"/>
      <c r="U84" s="121"/>
      <c r="V84" s="121"/>
    </row>
    <row r="85">
      <c r="A85" s="120" t="s">
        <v>431</v>
      </c>
      <c r="B85" s="123">
        <v>0.025127314814814814</v>
      </c>
      <c r="C85" s="120">
        <v>105005.0</v>
      </c>
      <c r="D85" s="120">
        <v>48.0</v>
      </c>
      <c r="I85" s="125"/>
      <c r="J85" s="120"/>
      <c r="K85" s="120"/>
      <c r="L85" s="120"/>
      <c r="M85" s="120"/>
      <c r="N85" s="121"/>
      <c r="O85" s="121"/>
      <c r="P85" s="121"/>
      <c r="Q85" s="121"/>
      <c r="R85" s="121"/>
      <c r="S85" s="121"/>
      <c r="T85" s="121"/>
      <c r="U85" s="121"/>
      <c r="V85" s="121"/>
    </row>
    <row r="86">
      <c r="A86" s="120" t="s">
        <v>432</v>
      </c>
      <c r="B86" s="123">
        <v>0.08203703703703703</v>
      </c>
      <c r="C86" s="120">
        <v>265853.0</v>
      </c>
      <c r="D86" s="120">
        <v>38.0</v>
      </c>
      <c r="I86" s="122"/>
      <c r="J86" s="120"/>
      <c r="K86" s="120"/>
      <c r="L86" s="120"/>
      <c r="M86" s="120"/>
      <c r="N86" s="121"/>
      <c r="O86" s="121"/>
      <c r="P86" s="121"/>
      <c r="Q86" s="121"/>
      <c r="R86" s="121"/>
      <c r="S86" s="121"/>
      <c r="T86" s="121"/>
      <c r="U86" s="121"/>
      <c r="V86" s="121"/>
    </row>
    <row r="87">
      <c r="A87" s="120" t="s">
        <v>433</v>
      </c>
      <c r="B87" s="123">
        <v>0.35377314814814814</v>
      </c>
      <c r="C87" s="120">
        <v>556496.0</v>
      </c>
      <c r="D87" s="120">
        <v>18.0</v>
      </c>
      <c r="I87" s="122"/>
      <c r="J87" s="120"/>
      <c r="K87" s="120"/>
      <c r="L87" s="120"/>
      <c r="M87" s="120"/>
      <c r="N87" s="121"/>
      <c r="O87" s="121"/>
      <c r="P87" s="121"/>
      <c r="Q87" s="121"/>
      <c r="R87" s="121"/>
      <c r="S87" s="121"/>
      <c r="T87" s="121"/>
      <c r="U87" s="121"/>
      <c r="V87" s="121"/>
    </row>
    <row r="88">
      <c r="A88" s="120" t="s">
        <v>434</v>
      </c>
      <c r="B88" s="123">
        <v>0.15746527777777777</v>
      </c>
      <c r="C88" s="120">
        <v>458190.0</v>
      </c>
      <c r="D88" s="120">
        <v>34.0</v>
      </c>
      <c r="I88" s="122"/>
      <c r="J88" s="120"/>
      <c r="K88" s="120"/>
      <c r="L88" s="120"/>
      <c r="M88" s="120"/>
      <c r="N88" s="121"/>
      <c r="O88" s="121"/>
      <c r="P88" s="121"/>
      <c r="Q88" s="121"/>
      <c r="R88" s="121"/>
      <c r="S88" s="121"/>
      <c r="T88" s="121"/>
      <c r="U88" s="121"/>
      <c r="V88" s="121"/>
    </row>
    <row r="89">
      <c r="A89" s="120" t="s">
        <v>435</v>
      </c>
      <c r="B89" s="123">
        <v>0.31827546296296294</v>
      </c>
      <c r="C89" s="120">
        <v>440275.0</v>
      </c>
      <c r="D89" s="120">
        <v>16.0</v>
      </c>
      <c r="I89" s="122"/>
      <c r="J89" s="120"/>
      <c r="K89" s="120"/>
      <c r="L89" s="120"/>
      <c r="M89" s="120"/>
      <c r="N89" s="121"/>
      <c r="O89" s="121"/>
      <c r="P89" s="121"/>
      <c r="Q89" s="121"/>
      <c r="R89" s="121"/>
      <c r="S89" s="121"/>
      <c r="T89" s="121"/>
      <c r="U89" s="121"/>
      <c r="V89" s="121"/>
    </row>
    <row r="90">
      <c r="A90" s="120" t="s">
        <v>436</v>
      </c>
      <c r="B90" s="123">
        <v>0.28748842592592594</v>
      </c>
      <c r="C90" s="120">
        <v>409030.0</v>
      </c>
      <c r="D90" s="120">
        <v>16.0</v>
      </c>
      <c r="I90" s="122"/>
      <c r="J90" s="120"/>
      <c r="K90" s="120"/>
      <c r="L90" s="120"/>
      <c r="M90" s="120"/>
      <c r="N90" s="121"/>
      <c r="O90" s="121"/>
      <c r="P90" s="121"/>
      <c r="Q90" s="121"/>
      <c r="R90" s="121"/>
      <c r="S90" s="121"/>
      <c r="T90" s="121"/>
      <c r="U90" s="121"/>
      <c r="V90" s="121"/>
    </row>
    <row r="91">
      <c r="A91" s="120" t="s">
        <v>437</v>
      </c>
      <c r="B91" s="123">
        <v>0.0825</v>
      </c>
      <c r="C91" s="120">
        <v>175123.0</v>
      </c>
      <c r="D91" s="120">
        <v>25.0</v>
      </c>
      <c r="I91" s="122"/>
      <c r="J91" s="120"/>
      <c r="K91" s="120"/>
      <c r="L91" s="120"/>
      <c r="M91" s="120"/>
      <c r="N91" s="121"/>
      <c r="O91" s="121"/>
      <c r="P91" s="121"/>
      <c r="Q91" s="121"/>
      <c r="R91" s="121"/>
      <c r="S91" s="121"/>
      <c r="T91" s="121"/>
      <c r="U91" s="121"/>
      <c r="V91" s="121"/>
    </row>
    <row r="92">
      <c r="A92" s="120" t="s">
        <v>437</v>
      </c>
      <c r="B92" s="123">
        <v>0.1771412037037037</v>
      </c>
      <c r="C92" s="120">
        <v>142393.0</v>
      </c>
      <c r="D92" s="120">
        <v>9.0</v>
      </c>
      <c r="I92" s="122"/>
      <c r="J92" s="120"/>
      <c r="K92" s="120"/>
      <c r="L92" s="120"/>
      <c r="M92" s="120"/>
      <c r="N92" s="121"/>
      <c r="O92" s="121"/>
      <c r="P92" s="121"/>
      <c r="Q92" s="121"/>
      <c r="R92" s="121"/>
      <c r="S92" s="121"/>
      <c r="T92" s="121"/>
      <c r="U92" s="121"/>
      <c r="V92" s="121"/>
    </row>
    <row r="93">
      <c r="A93" s="120" t="s">
        <v>438</v>
      </c>
      <c r="B93" s="123">
        <v>0.07686342592592593</v>
      </c>
      <c r="C93" s="120">
        <v>137277.0</v>
      </c>
      <c r="D93" s="120">
        <v>21.0</v>
      </c>
      <c r="I93" s="122"/>
      <c r="J93" s="120"/>
      <c r="K93" s="120"/>
      <c r="L93" s="120"/>
      <c r="M93" s="120"/>
      <c r="N93" s="121"/>
      <c r="O93" s="121"/>
      <c r="P93" s="121"/>
      <c r="Q93" s="121"/>
      <c r="R93" s="121"/>
      <c r="S93" s="121"/>
      <c r="T93" s="121"/>
      <c r="U93" s="121"/>
      <c r="V93" s="121"/>
    </row>
    <row r="94">
      <c r="A94" s="120" t="s">
        <v>439</v>
      </c>
      <c r="B94" s="123">
        <v>0.03894675925925926</v>
      </c>
      <c r="C94" s="120">
        <v>298745.0</v>
      </c>
      <c r="D94" s="120">
        <v>89.0</v>
      </c>
      <c r="I94" s="122"/>
      <c r="J94" s="120"/>
      <c r="K94" s="120"/>
      <c r="L94" s="120"/>
      <c r="M94" s="120"/>
      <c r="N94" s="121"/>
      <c r="O94" s="121"/>
      <c r="P94" s="121"/>
      <c r="Q94" s="121"/>
      <c r="R94" s="121"/>
      <c r="S94" s="121"/>
      <c r="T94" s="121"/>
      <c r="U94" s="121"/>
      <c r="V94" s="121"/>
    </row>
    <row r="95">
      <c r="A95" s="120" t="s">
        <v>440</v>
      </c>
      <c r="B95" s="123">
        <v>0.4480208333333333</v>
      </c>
      <c r="C95" s="120">
        <v>614147.0</v>
      </c>
      <c r="D95" s="120">
        <v>16.0</v>
      </c>
      <c r="I95" s="122"/>
      <c r="J95" s="120"/>
      <c r="K95" s="120"/>
      <c r="L95" s="120"/>
      <c r="M95" s="120"/>
      <c r="N95" s="121"/>
      <c r="O95" s="121"/>
      <c r="P95" s="121"/>
      <c r="Q95" s="121"/>
      <c r="R95" s="121"/>
      <c r="S95" s="121"/>
      <c r="T95" s="121"/>
      <c r="U95" s="121"/>
      <c r="V95" s="121"/>
    </row>
    <row r="96">
      <c r="A96" s="120" t="s">
        <v>441</v>
      </c>
      <c r="B96" s="123">
        <v>0.328125</v>
      </c>
      <c r="C96" s="120">
        <v>497275.0</v>
      </c>
      <c r="D96" s="120">
        <v>18.0</v>
      </c>
      <c r="I96" s="122"/>
      <c r="J96" s="120"/>
      <c r="K96" s="120"/>
      <c r="L96" s="120"/>
      <c r="M96" s="120"/>
      <c r="N96" s="121"/>
      <c r="O96" s="121"/>
      <c r="P96" s="121"/>
      <c r="Q96" s="121"/>
      <c r="R96" s="121"/>
      <c r="S96" s="121"/>
      <c r="T96" s="121"/>
      <c r="U96" s="121"/>
      <c r="V96" s="121"/>
    </row>
    <row r="97">
      <c r="A97" s="120" t="s">
        <v>442</v>
      </c>
      <c r="B97" s="123">
        <v>0.33</v>
      </c>
      <c r="C97" s="120">
        <v>442797.0</v>
      </c>
      <c r="D97" s="120">
        <v>16.0</v>
      </c>
      <c r="I97" s="122"/>
      <c r="J97" s="120"/>
      <c r="K97" s="120"/>
      <c r="L97" s="120"/>
      <c r="M97" s="120"/>
      <c r="N97" s="121"/>
      <c r="O97" s="121"/>
      <c r="P97" s="121"/>
      <c r="Q97" s="121"/>
      <c r="R97" s="121"/>
      <c r="S97" s="121"/>
      <c r="T97" s="121"/>
      <c r="U97" s="121"/>
      <c r="V97" s="121"/>
    </row>
    <row r="98">
      <c r="A98" s="120" t="s">
        <v>443</v>
      </c>
      <c r="B98" s="123">
        <v>0.350625</v>
      </c>
      <c r="C98" s="120">
        <v>469442.0</v>
      </c>
      <c r="D98" s="120">
        <v>15.0</v>
      </c>
      <c r="I98" s="122"/>
      <c r="J98" s="120"/>
      <c r="K98" s="120"/>
      <c r="L98" s="120"/>
      <c r="M98" s="120"/>
      <c r="N98" s="121"/>
      <c r="O98" s="121"/>
      <c r="P98" s="121"/>
      <c r="Q98" s="121"/>
      <c r="R98" s="121"/>
      <c r="S98" s="121"/>
      <c r="T98" s="121"/>
      <c r="U98" s="121"/>
      <c r="V98" s="121"/>
    </row>
    <row r="99">
      <c r="A99" s="120" t="s">
        <v>444</v>
      </c>
      <c r="B99" s="123">
        <v>0.3297337962962963</v>
      </c>
      <c r="C99" s="120">
        <v>305866.0</v>
      </c>
      <c r="D99" s="120">
        <v>11.0</v>
      </c>
      <c r="I99" s="122"/>
      <c r="J99" s="120"/>
      <c r="K99" s="120"/>
      <c r="L99" s="120"/>
      <c r="M99" s="120"/>
      <c r="N99" s="121"/>
      <c r="O99" s="121"/>
      <c r="P99" s="121"/>
      <c r="Q99" s="121"/>
      <c r="R99" s="121"/>
      <c r="S99" s="121"/>
      <c r="T99" s="121"/>
      <c r="U99" s="121"/>
      <c r="V99" s="121"/>
    </row>
    <row r="100">
      <c r="A100" s="120" t="s">
        <v>445</v>
      </c>
      <c r="B100" s="123">
        <v>0.0600462962962963</v>
      </c>
      <c r="C100" s="120">
        <v>157772.0</v>
      </c>
      <c r="D100" s="120">
        <v>30.0</v>
      </c>
      <c r="I100" s="122"/>
      <c r="J100" s="120"/>
      <c r="K100" s="120"/>
      <c r="L100" s="120"/>
      <c r="M100" s="120"/>
      <c r="N100" s="121"/>
      <c r="O100" s="121"/>
      <c r="P100" s="121"/>
      <c r="Q100" s="121"/>
      <c r="R100" s="121"/>
      <c r="S100" s="121"/>
      <c r="T100" s="121"/>
      <c r="U100" s="121"/>
      <c r="V100" s="121"/>
    </row>
    <row r="101">
      <c r="A101" s="120" t="s">
        <v>446</v>
      </c>
      <c r="B101" s="123">
        <v>0.1285763888888889</v>
      </c>
      <c r="C101" s="120">
        <v>309708.0</v>
      </c>
      <c r="D101" s="120">
        <v>28.0</v>
      </c>
      <c r="I101" s="122"/>
      <c r="J101" s="120"/>
      <c r="K101" s="120"/>
      <c r="L101" s="120"/>
      <c r="M101" s="120"/>
      <c r="N101" s="121"/>
      <c r="O101" s="121"/>
      <c r="P101" s="121"/>
      <c r="Q101" s="121"/>
      <c r="R101" s="121"/>
      <c r="S101" s="121"/>
      <c r="T101" s="121"/>
      <c r="U101" s="121"/>
      <c r="V101" s="121"/>
    </row>
    <row r="102">
      <c r="A102" s="120" t="s">
        <v>447</v>
      </c>
      <c r="B102" s="123">
        <v>0.27012731481481483</v>
      </c>
      <c r="C102" s="120">
        <v>572366.0</v>
      </c>
      <c r="D102" s="120">
        <v>25.0</v>
      </c>
      <c r="I102" s="122"/>
      <c r="J102" s="120"/>
      <c r="K102" s="120"/>
      <c r="L102" s="120"/>
      <c r="M102" s="120"/>
      <c r="N102" s="121"/>
      <c r="O102" s="121"/>
      <c r="P102" s="121"/>
      <c r="Q102" s="121"/>
      <c r="R102" s="121"/>
      <c r="S102" s="121"/>
      <c r="T102" s="121"/>
      <c r="U102" s="121"/>
      <c r="V102" s="121"/>
    </row>
    <row r="103">
      <c r="A103" s="120"/>
      <c r="B103" s="123"/>
      <c r="C103" s="124"/>
      <c r="D103" s="120"/>
      <c r="I103" s="122"/>
      <c r="J103" s="120"/>
      <c r="K103" s="120"/>
      <c r="L103" s="120"/>
      <c r="M103" s="120"/>
      <c r="N103" s="121"/>
      <c r="O103" s="121"/>
      <c r="P103" s="121"/>
      <c r="Q103" s="121"/>
      <c r="R103" s="121"/>
      <c r="S103" s="121"/>
      <c r="T103" s="121"/>
      <c r="U103" s="121"/>
      <c r="V103" s="121"/>
    </row>
    <row r="104">
      <c r="A104" s="120"/>
      <c r="B104" s="123"/>
      <c r="C104" s="124"/>
      <c r="D104" s="120"/>
      <c r="I104" s="122"/>
      <c r="J104" s="120"/>
      <c r="K104" s="120"/>
      <c r="L104" s="120"/>
      <c r="M104" s="120"/>
      <c r="N104" s="121"/>
      <c r="O104" s="121"/>
      <c r="P104" s="121"/>
      <c r="Q104" s="121"/>
      <c r="R104" s="121"/>
      <c r="S104" s="121"/>
      <c r="T104" s="121"/>
      <c r="U104" s="121"/>
      <c r="V104" s="121"/>
    </row>
    <row r="105">
      <c r="A105" s="120"/>
      <c r="B105" s="123"/>
      <c r="C105" s="124"/>
      <c r="D105" s="120"/>
      <c r="I105" s="122"/>
      <c r="J105" s="120"/>
      <c r="K105" s="120"/>
      <c r="L105" s="120"/>
      <c r="M105" s="120"/>
      <c r="N105" s="121"/>
      <c r="O105" s="121"/>
      <c r="P105" s="121"/>
      <c r="Q105" s="121"/>
      <c r="R105" s="121"/>
      <c r="S105" s="121"/>
      <c r="T105" s="121"/>
      <c r="U105" s="121"/>
      <c r="V105" s="121"/>
    </row>
    <row r="106">
      <c r="A106" s="120"/>
      <c r="B106" s="123"/>
      <c r="C106" s="124"/>
      <c r="D106" s="120"/>
      <c r="I106" s="125"/>
      <c r="J106" s="120"/>
      <c r="K106" s="120"/>
      <c r="L106" s="120"/>
      <c r="M106" s="120"/>
      <c r="N106" s="121"/>
      <c r="O106" s="121"/>
      <c r="P106" s="121"/>
      <c r="Q106" s="121"/>
      <c r="R106" s="121"/>
      <c r="S106" s="121"/>
      <c r="T106" s="121"/>
      <c r="U106" s="121"/>
      <c r="V106" s="121"/>
    </row>
    <row r="107">
      <c r="A107" s="120"/>
      <c r="B107" s="123"/>
      <c r="C107" s="124"/>
      <c r="D107" s="120"/>
      <c r="I107" s="125"/>
      <c r="J107" s="120"/>
      <c r="K107" s="120"/>
      <c r="L107" s="120"/>
      <c r="M107" s="120"/>
      <c r="N107" s="121"/>
      <c r="O107" s="121"/>
      <c r="P107" s="121"/>
      <c r="Q107" s="121"/>
      <c r="R107" s="121"/>
      <c r="S107" s="121"/>
      <c r="T107" s="121"/>
      <c r="U107" s="121"/>
      <c r="V107" s="121"/>
    </row>
    <row r="108">
      <c r="A108" s="120"/>
      <c r="B108" s="123"/>
      <c r="C108" s="124"/>
      <c r="D108" s="120"/>
      <c r="I108" s="125"/>
      <c r="J108" s="120"/>
      <c r="K108" s="120"/>
      <c r="L108" s="120"/>
      <c r="M108" s="120"/>
      <c r="N108" s="121"/>
      <c r="O108" s="121"/>
      <c r="P108" s="121"/>
      <c r="Q108" s="121"/>
      <c r="R108" s="121"/>
      <c r="S108" s="121"/>
      <c r="T108" s="121"/>
      <c r="U108" s="121"/>
      <c r="V108" s="121"/>
    </row>
    <row r="109">
      <c r="A109" s="120"/>
      <c r="B109" s="123"/>
      <c r="C109" s="124"/>
      <c r="D109" s="120"/>
      <c r="I109" s="125"/>
      <c r="J109" s="120"/>
      <c r="K109" s="120"/>
      <c r="L109" s="120"/>
      <c r="M109" s="120"/>
      <c r="N109" s="121"/>
      <c r="O109" s="121"/>
      <c r="P109" s="121"/>
      <c r="Q109" s="121"/>
      <c r="R109" s="121"/>
      <c r="S109" s="121"/>
      <c r="T109" s="121"/>
      <c r="U109" s="121"/>
      <c r="V109" s="121"/>
    </row>
    <row r="110">
      <c r="A110" s="120"/>
      <c r="B110" s="123"/>
      <c r="C110" s="124"/>
      <c r="D110" s="120"/>
      <c r="E110" s="125"/>
      <c r="F110" s="120"/>
      <c r="G110" s="125"/>
      <c r="H110" s="125"/>
      <c r="I110" s="125"/>
      <c r="J110" s="120"/>
      <c r="K110" s="120"/>
      <c r="L110" s="120"/>
      <c r="M110" s="120"/>
      <c r="N110" s="121"/>
      <c r="O110" s="121"/>
      <c r="P110" s="121"/>
      <c r="Q110" s="121"/>
      <c r="R110" s="121"/>
      <c r="S110" s="121"/>
      <c r="T110" s="121"/>
      <c r="U110" s="121"/>
      <c r="V110" s="121"/>
    </row>
    <row r="111">
      <c r="A111" s="120"/>
      <c r="B111" s="123"/>
      <c r="C111" s="124"/>
      <c r="D111" s="120"/>
      <c r="E111" s="185"/>
      <c r="F111" s="123"/>
      <c r="G111" s="120"/>
      <c r="H111" s="120"/>
      <c r="I111" s="125"/>
      <c r="J111" s="120"/>
      <c r="K111" s="120"/>
      <c r="L111" s="120"/>
      <c r="M111" s="120"/>
      <c r="N111" s="121"/>
      <c r="O111" s="121"/>
      <c r="P111" s="121"/>
      <c r="Q111" s="121"/>
      <c r="R111" s="121"/>
      <c r="S111" s="121"/>
      <c r="T111" s="121"/>
      <c r="U111" s="121"/>
      <c r="V111" s="121"/>
    </row>
    <row r="112">
      <c r="A112" s="120"/>
      <c r="B112" s="123"/>
      <c r="C112" s="124"/>
      <c r="D112" s="120"/>
      <c r="E112" s="185"/>
      <c r="F112" s="123"/>
      <c r="G112" s="120"/>
      <c r="H112" s="120"/>
      <c r="I112" s="125"/>
      <c r="J112" s="120"/>
      <c r="K112" s="120"/>
      <c r="L112" s="120"/>
      <c r="M112" s="120"/>
      <c r="N112" s="121"/>
      <c r="O112" s="121"/>
      <c r="P112" s="121"/>
      <c r="Q112" s="121"/>
      <c r="R112" s="121"/>
      <c r="S112" s="121"/>
      <c r="T112" s="121"/>
      <c r="U112" s="121"/>
      <c r="V112" s="121"/>
    </row>
    <row r="113">
      <c r="A113" s="120"/>
      <c r="B113" s="123"/>
      <c r="C113" s="124"/>
      <c r="D113" s="120"/>
      <c r="E113" s="185"/>
      <c r="F113" s="123"/>
      <c r="G113" s="120"/>
      <c r="H113" s="120"/>
      <c r="I113" s="125"/>
      <c r="J113" s="120"/>
      <c r="K113" s="120"/>
      <c r="L113" s="120"/>
      <c r="M113" s="120"/>
      <c r="N113" s="121"/>
      <c r="O113" s="121"/>
      <c r="P113" s="121"/>
      <c r="Q113" s="121"/>
      <c r="R113" s="121"/>
      <c r="S113" s="121"/>
      <c r="T113" s="121"/>
      <c r="U113" s="121"/>
      <c r="V113" s="121"/>
    </row>
    <row r="114">
      <c r="A114" s="120"/>
      <c r="B114" s="123"/>
      <c r="C114" s="124"/>
      <c r="D114" s="120"/>
      <c r="E114" s="185"/>
      <c r="F114" s="123"/>
      <c r="G114" s="120"/>
      <c r="H114" s="120"/>
      <c r="I114" s="125"/>
      <c r="J114" s="120"/>
      <c r="K114" s="120"/>
      <c r="L114" s="120"/>
      <c r="M114" s="120"/>
      <c r="N114" s="121"/>
      <c r="O114" s="121"/>
      <c r="P114" s="121"/>
      <c r="Q114" s="121"/>
      <c r="R114" s="121"/>
      <c r="S114" s="121"/>
      <c r="T114" s="121"/>
      <c r="U114" s="121"/>
      <c r="V114" s="121"/>
    </row>
    <row r="115">
      <c r="A115" s="120"/>
      <c r="B115" s="123"/>
      <c r="C115" s="124"/>
      <c r="D115" s="120"/>
      <c r="E115" s="185"/>
      <c r="F115" s="123"/>
      <c r="G115" s="120"/>
      <c r="H115" s="120"/>
      <c r="I115" s="125"/>
      <c r="J115" s="120"/>
      <c r="K115" s="120"/>
      <c r="L115" s="120"/>
      <c r="M115" s="120"/>
      <c r="N115" s="121"/>
      <c r="O115" s="121"/>
      <c r="P115" s="121"/>
      <c r="Q115" s="121"/>
      <c r="R115" s="121"/>
      <c r="S115" s="121"/>
      <c r="T115" s="121"/>
      <c r="U115" s="121"/>
      <c r="V115" s="121"/>
    </row>
    <row r="116">
      <c r="A116" s="120"/>
      <c r="B116" s="123"/>
      <c r="C116" s="124"/>
      <c r="D116" s="120"/>
      <c r="E116" s="185"/>
      <c r="F116" s="123"/>
      <c r="G116" s="120"/>
      <c r="H116" s="120"/>
      <c r="I116" s="125"/>
      <c r="J116" s="120"/>
      <c r="K116" s="120"/>
      <c r="L116" s="120"/>
      <c r="M116" s="120"/>
      <c r="N116" s="121"/>
      <c r="O116" s="121"/>
      <c r="P116" s="121"/>
      <c r="Q116" s="121"/>
      <c r="R116" s="121"/>
      <c r="S116" s="121"/>
      <c r="T116" s="121"/>
      <c r="U116" s="121"/>
      <c r="V116" s="121"/>
    </row>
    <row r="117">
      <c r="A117" s="120"/>
      <c r="B117" s="123"/>
      <c r="C117" s="124"/>
      <c r="D117" s="120"/>
      <c r="E117" s="185"/>
      <c r="F117" s="123"/>
      <c r="G117" s="120"/>
      <c r="H117" s="120"/>
      <c r="I117" s="125"/>
      <c r="J117" s="120"/>
      <c r="K117" s="120"/>
      <c r="L117" s="120"/>
      <c r="M117" s="120"/>
      <c r="N117" s="121"/>
      <c r="O117" s="121"/>
      <c r="P117" s="121"/>
      <c r="Q117" s="121"/>
      <c r="R117" s="121"/>
      <c r="S117" s="121"/>
      <c r="T117" s="121"/>
      <c r="U117" s="121"/>
      <c r="V117" s="121"/>
    </row>
    <row r="118">
      <c r="A118" s="120"/>
      <c r="B118" s="123"/>
      <c r="C118" s="124"/>
      <c r="D118" s="120"/>
      <c r="E118" s="185"/>
      <c r="F118" s="123"/>
      <c r="G118" s="120"/>
      <c r="H118" s="120"/>
      <c r="I118" s="125"/>
      <c r="J118" s="120"/>
      <c r="K118" s="120"/>
      <c r="L118" s="120"/>
      <c r="M118" s="120"/>
      <c r="N118" s="121"/>
      <c r="O118" s="121"/>
      <c r="P118" s="121"/>
      <c r="Q118" s="121"/>
      <c r="R118" s="121"/>
      <c r="S118" s="121"/>
      <c r="T118" s="121"/>
      <c r="U118" s="121"/>
      <c r="V118" s="121"/>
    </row>
    <row r="119">
      <c r="A119" s="120"/>
      <c r="B119" s="123"/>
      <c r="C119" s="124"/>
      <c r="D119" s="120"/>
      <c r="E119" s="185"/>
      <c r="F119" s="123"/>
      <c r="G119" s="120"/>
      <c r="H119" s="120"/>
      <c r="I119" s="125"/>
      <c r="J119" s="120"/>
      <c r="K119" s="120"/>
      <c r="L119" s="120"/>
      <c r="M119" s="120"/>
      <c r="N119" s="121"/>
      <c r="O119" s="121"/>
      <c r="P119" s="121"/>
      <c r="Q119" s="121"/>
      <c r="R119" s="121"/>
      <c r="S119" s="121"/>
      <c r="T119" s="121"/>
      <c r="U119" s="121"/>
      <c r="V119" s="121"/>
    </row>
    <row r="120">
      <c r="A120" s="120"/>
      <c r="B120" s="123"/>
      <c r="C120" s="124"/>
      <c r="D120" s="120"/>
      <c r="E120" s="185"/>
      <c r="F120" s="123"/>
      <c r="G120" s="120"/>
      <c r="H120" s="120"/>
      <c r="I120" s="125"/>
      <c r="J120" s="120"/>
      <c r="K120" s="120"/>
      <c r="L120" s="120"/>
      <c r="M120" s="120"/>
      <c r="N120" s="121"/>
      <c r="O120" s="121"/>
      <c r="P120" s="121"/>
      <c r="Q120" s="121"/>
      <c r="R120" s="121"/>
      <c r="S120" s="121"/>
      <c r="T120" s="121"/>
      <c r="U120" s="121"/>
      <c r="V120" s="121"/>
    </row>
    <row r="121">
      <c r="A121" s="120"/>
      <c r="B121" s="123"/>
      <c r="C121" s="124"/>
      <c r="D121" s="120"/>
      <c r="E121" s="185"/>
      <c r="F121" s="123"/>
      <c r="G121" s="120"/>
      <c r="H121" s="120"/>
      <c r="I121" s="125"/>
      <c r="J121" s="120"/>
      <c r="K121" s="120"/>
      <c r="L121" s="120"/>
      <c r="M121" s="120"/>
      <c r="N121" s="121"/>
      <c r="O121" s="121"/>
      <c r="P121" s="121"/>
      <c r="Q121" s="121"/>
      <c r="R121" s="121"/>
      <c r="S121" s="121"/>
      <c r="T121" s="121"/>
      <c r="U121" s="121"/>
      <c r="V121" s="121"/>
    </row>
    <row r="122">
      <c r="A122" s="120"/>
      <c r="B122" s="123"/>
      <c r="C122" s="124"/>
      <c r="D122" s="120"/>
      <c r="E122" s="186"/>
      <c r="F122" s="123"/>
      <c r="G122" s="120"/>
      <c r="H122" s="120"/>
      <c r="I122" s="125"/>
      <c r="J122" s="120"/>
      <c r="K122" s="120"/>
      <c r="L122" s="120"/>
      <c r="M122" s="120"/>
      <c r="N122" s="121"/>
      <c r="O122" s="121"/>
      <c r="P122" s="121"/>
      <c r="Q122" s="121"/>
      <c r="R122" s="121"/>
      <c r="S122" s="121"/>
      <c r="T122" s="121"/>
      <c r="U122" s="121"/>
      <c r="V122" s="121"/>
    </row>
    <row r="123">
      <c r="A123" s="120"/>
      <c r="B123" s="123"/>
      <c r="C123" s="124"/>
      <c r="D123" s="120"/>
      <c r="E123" s="186"/>
      <c r="F123" s="123"/>
      <c r="G123" s="120"/>
      <c r="H123" s="120"/>
      <c r="I123" s="125"/>
      <c r="J123" s="120"/>
      <c r="K123" s="120"/>
      <c r="L123" s="120"/>
      <c r="M123" s="120"/>
      <c r="N123" s="121"/>
      <c r="O123" s="121"/>
      <c r="P123" s="121"/>
      <c r="Q123" s="121"/>
      <c r="R123" s="121"/>
      <c r="S123" s="121"/>
      <c r="T123" s="121"/>
      <c r="U123" s="121"/>
      <c r="V123" s="121"/>
    </row>
    <row r="124">
      <c r="A124" s="120"/>
      <c r="B124" s="123"/>
      <c r="C124" s="124"/>
      <c r="D124" s="120"/>
      <c r="E124" s="186"/>
      <c r="F124" s="123"/>
      <c r="G124" s="120"/>
      <c r="H124" s="120"/>
      <c r="I124" s="125"/>
      <c r="J124" s="120"/>
      <c r="K124" s="120"/>
      <c r="L124" s="120"/>
      <c r="M124" s="120"/>
      <c r="N124" s="121"/>
      <c r="O124" s="121"/>
      <c r="P124" s="121"/>
      <c r="Q124" s="121"/>
      <c r="R124" s="121"/>
      <c r="S124" s="121"/>
      <c r="T124" s="121"/>
      <c r="U124" s="121"/>
      <c r="V124" s="121"/>
    </row>
    <row r="125">
      <c r="A125" s="120"/>
      <c r="B125" s="123"/>
      <c r="C125" s="124"/>
      <c r="D125" s="120"/>
      <c r="E125" s="186"/>
      <c r="F125" s="123"/>
      <c r="G125" s="120"/>
      <c r="H125" s="120"/>
      <c r="I125" s="125"/>
      <c r="J125" s="120"/>
      <c r="K125" s="120"/>
      <c r="L125" s="120"/>
      <c r="M125" s="120"/>
      <c r="N125" s="121"/>
      <c r="O125" s="121"/>
      <c r="P125" s="121"/>
      <c r="Q125" s="121"/>
      <c r="R125" s="121"/>
      <c r="S125" s="121"/>
      <c r="T125" s="121"/>
      <c r="U125" s="121"/>
      <c r="V125" s="121"/>
    </row>
    <row r="126">
      <c r="A126" s="120"/>
      <c r="B126" s="123"/>
      <c r="C126" s="124"/>
      <c r="D126" s="120"/>
      <c r="E126" s="186"/>
      <c r="F126" s="123"/>
      <c r="G126" s="120"/>
      <c r="H126" s="120"/>
      <c r="I126" s="125"/>
      <c r="J126" s="120"/>
      <c r="K126" s="120"/>
      <c r="L126" s="120"/>
      <c r="M126" s="120"/>
      <c r="N126" s="121"/>
      <c r="O126" s="121"/>
      <c r="P126" s="121"/>
      <c r="Q126" s="121"/>
      <c r="R126" s="121"/>
      <c r="S126" s="121"/>
      <c r="T126" s="121"/>
      <c r="U126" s="121"/>
      <c r="V126" s="121"/>
    </row>
    <row r="127">
      <c r="A127" s="120"/>
      <c r="B127" s="123"/>
      <c r="C127" s="124"/>
      <c r="D127" s="120"/>
      <c r="E127" s="186"/>
      <c r="F127" s="123"/>
      <c r="G127" s="120"/>
      <c r="H127" s="120"/>
      <c r="I127" s="125"/>
      <c r="J127" s="120"/>
      <c r="K127" s="120"/>
      <c r="L127" s="120"/>
      <c r="M127" s="120"/>
      <c r="N127" s="121"/>
      <c r="O127" s="121"/>
      <c r="P127" s="121"/>
      <c r="Q127" s="121"/>
      <c r="R127" s="121"/>
      <c r="S127" s="121"/>
      <c r="T127" s="121"/>
      <c r="U127" s="121"/>
      <c r="V127" s="121"/>
    </row>
    <row r="128">
      <c r="A128" s="120"/>
      <c r="B128" s="123"/>
      <c r="C128" s="124"/>
      <c r="D128" s="120"/>
      <c r="E128" s="185"/>
      <c r="F128" s="123"/>
      <c r="G128" s="120"/>
      <c r="H128" s="120"/>
      <c r="I128" s="125"/>
      <c r="J128" s="120"/>
      <c r="K128" s="120"/>
      <c r="L128" s="120"/>
      <c r="M128" s="120"/>
      <c r="N128" s="121"/>
      <c r="O128" s="121"/>
      <c r="P128" s="121"/>
      <c r="Q128" s="121"/>
      <c r="R128" s="121"/>
      <c r="S128" s="121"/>
      <c r="T128" s="121"/>
      <c r="U128" s="121"/>
      <c r="V128" s="121"/>
    </row>
    <row r="129">
      <c r="A129" s="120"/>
      <c r="B129" s="123"/>
      <c r="C129" s="124"/>
      <c r="D129" s="120"/>
      <c r="E129" s="185"/>
      <c r="F129" s="123"/>
      <c r="G129" s="120"/>
      <c r="H129" s="120"/>
      <c r="I129" s="125"/>
      <c r="J129" s="120"/>
      <c r="K129" s="120"/>
      <c r="L129" s="120"/>
      <c r="M129" s="120"/>
      <c r="N129" s="121"/>
      <c r="O129" s="121"/>
      <c r="P129" s="121"/>
      <c r="Q129" s="121"/>
      <c r="R129" s="121"/>
      <c r="S129" s="121"/>
      <c r="T129" s="121"/>
      <c r="U129" s="121"/>
      <c r="V129" s="121"/>
    </row>
    <row r="130">
      <c r="A130" s="120"/>
      <c r="B130" s="123"/>
      <c r="C130" s="124"/>
      <c r="D130" s="120"/>
      <c r="E130" s="185"/>
      <c r="F130" s="123"/>
      <c r="G130" s="120"/>
      <c r="H130" s="120"/>
      <c r="I130" s="125"/>
      <c r="J130" s="120"/>
      <c r="K130" s="120"/>
      <c r="L130" s="120"/>
      <c r="M130" s="120"/>
      <c r="N130" s="121"/>
      <c r="O130" s="121"/>
      <c r="P130" s="121"/>
      <c r="Q130" s="121"/>
      <c r="R130" s="121"/>
      <c r="S130" s="121"/>
      <c r="T130" s="121"/>
      <c r="U130" s="121"/>
      <c r="V130" s="121"/>
    </row>
    <row r="131">
      <c r="A131" s="120"/>
      <c r="B131" s="123"/>
      <c r="C131" s="124"/>
      <c r="D131" s="120"/>
      <c r="E131" s="185"/>
      <c r="F131" s="123"/>
      <c r="G131" s="120"/>
      <c r="H131" s="120"/>
      <c r="I131" s="125"/>
      <c r="J131" s="120"/>
      <c r="K131" s="120"/>
      <c r="L131" s="120"/>
      <c r="M131" s="120"/>
      <c r="N131" s="121"/>
      <c r="O131" s="121"/>
      <c r="P131" s="121"/>
      <c r="Q131" s="121"/>
      <c r="R131" s="121"/>
      <c r="S131" s="121"/>
      <c r="T131" s="121"/>
      <c r="U131" s="121"/>
      <c r="V131" s="121"/>
    </row>
    <row r="132">
      <c r="A132" s="120"/>
      <c r="B132" s="123"/>
      <c r="C132" s="124"/>
      <c r="D132" s="120"/>
      <c r="E132" s="185"/>
      <c r="F132" s="123"/>
      <c r="G132" s="120"/>
      <c r="H132" s="120"/>
      <c r="I132" s="125"/>
      <c r="J132" s="120"/>
      <c r="K132" s="120"/>
      <c r="L132" s="120"/>
      <c r="M132" s="120"/>
      <c r="N132" s="121"/>
      <c r="O132" s="121"/>
      <c r="P132" s="121"/>
      <c r="Q132" s="121"/>
      <c r="R132" s="121"/>
      <c r="S132" s="121"/>
      <c r="T132" s="121"/>
      <c r="U132" s="121"/>
      <c r="V132" s="121"/>
    </row>
    <row r="133">
      <c r="A133" s="120"/>
      <c r="B133" s="123"/>
      <c r="C133" s="124"/>
      <c r="D133" s="120"/>
      <c r="E133" s="185"/>
      <c r="F133" s="123"/>
      <c r="G133" s="120"/>
      <c r="H133" s="120"/>
      <c r="I133" s="125"/>
      <c r="J133" s="120"/>
      <c r="K133" s="120"/>
      <c r="L133" s="120"/>
      <c r="M133" s="120"/>
      <c r="N133" s="121"/>
      <c r="O133" s="121"/>
      <c r="P133" s="121"/>
      <c r="Q133" s="121"/>
      <c r="R133" s="121"/>
      <c r="S133" s="121"/>
      <c r="T133" s="121"/>
      <c r="U133" s="121"/>
      <c r="V133" s="121"/>
    </row>
    <row r="134">
      <c r="A134" s="120"/>
      <c r="B134" s="123"/>
      <c r="C134" s="124"/>
      <c r="D134" s="120"/>
      <c r="E134" s="185"/>
      <c r="F134" s="123"/>
      <c r="G134" s="120"/>
      <c r="H134" s="120"/>
      <c r="I134" s="125"/>
      <c r="J134" s="120"/>
      <c r="K134" s="120"/>
      <c r="L134" s="120"/>
      <c r="M134" s="120"/>
      <c r="N134" s="121"/>
      <c r="O134" s="121"/>
      <c r="P134" s="121"/>
      <c r="Q134" s="121"/>
      <c r="R134" s="121"/>
      <c r="S134" s="121"/>
      <c r="T134" s="121"/>
      <c r="U134" s="121"/>
      <c r="V134" s="121"/>
    </row>
    <row r="135">
      <c r="A135" s="120"/>
      <c r="B135" s="123"/>
      <c r="C135" s="124"/>
      <c r="D135" s="120"/>
      <c r="E135" s="125"/>
      <c r="F135" s="120"/>
      <c r="G135" s="125"/>
      <c r="H135" s="125"/>
      <c r="I135" s="125"/>
      <c r="J135" s="120"/>
      <c r="K135" s="120"/>
      <c r="L135" s="120"/>
      <c r="M135" s="120"/>
      <c r="N135" s="121"/>
      <c r="O135" s="121"/>
      <c r="P135" s="121"/>
      <c r="Q135" s="121"/>
      <c r="R135" s="121"/>
      <c r="S135" s="121"/>
      <c r="T135" s="121"/>
      <c r="U135" s="121"/>
      <c r="V135" s="121"/>
    </row>
    <row r="136">
      <c r="A136" s="120"/>
      <c r="B136" s="123"/>
      <c r="C136" s="124"/>
      <c r="D136" s="120"/>
      <c r="E136" s="125"/>
      <c r="F136" s="120"/>
      <c r="G136" s="125"/>
      <c r="H136" s="125"/>
      <c r="I136" s="125"/>
      <c r="J136" s="120"/>
      <c r="K136" s="120"/>
      <c r="L136" s="120"/>
      <c r="M136" s="120"/>
      <c r="N136" s="121"/>
      <c r="O136" s="121"/>
      <c r="P136" s="121"/>
      <c r="Q136" s="121"/>
      <c r="R136" s="121"/>
      <c r="S136" s="121"/>
      <c r="T136" s="121"/>
      <c r="U136" s="121"/>
      <c r="V136" s="121"/>
    </row>
    <row r="137">
      <c r="A137" s="120"/>
      <c r="B137" s="123"/>
      <c r="C137" s="124"/>
      <c r="D137" s="120"/>
      <c r="E137" s="125"/>
      <c r="F137" s="120"/>
      <c r="G137" s="125"/>
      <c r="H137" s="125"/>
      <c r="I137" s="121"/>
      <c r="J137" s="121"/>
      <c r="K137" s="121"/>
      <c r="L137" s="121"/>
      <c r="M137" s="120"/>
      <c r="N137" s="121"/>
      <c r="O137" s="121"/>
      <c r="P137" s="121"/>
      <c r="Q137" s="121"/>
      <c r="R137" s="121"/>
      <c r="S137" s="121"/>
      <c r="T137" s="121"/>
      <c r="U137" s="121"/>
      <c r="V137" s="121"/>
    </row>
    <row r="138">
      <c r="A138" s="120"/>
      <c r="B138" s="123"/>
      <c r="C138" s="124"/>
      <c r="D138" s="120"/>
      <c r="E138" s="125"/>
      <c r="F138" s="120"/>
      <c r="G138" s="125"/>
      <c r="H138" s="125"/>
      <c r="I138" s="125"/>
      <c r="J138" s="120"/>
      <c r="K138" s="120"/>
      <c r="L138" s="120"/>
      <c r="M138" s="120"/>
      <c r="N138" s="121"/>
      <c r="O138" s="121"/>
      <c r="P138" s="121"/>
      <c r="Q138" s="121"/>
      <c r="R138" s="121"/>
      <c r="S138" s="121"/>
      <c r="T138" s="121"/>
      <c r="U138" s="121"/>
      <c r="V138" s="121"/>
    </row>
    <row r="139">
      <c r="A139" s="120"/>
      <c r="B139" s="123"/>
      <c r="C139" s="124"/>
      <c r="D139" s="120"/>
      <c r="E139" s="125"/>
      <c r="F139" s="120"/>
      <c r="G139" s="125"/>
      <c r="H139" s="125"/>
      <c r="I139" s="125"/>
      <c r="J139" s="120"/>
      <c r="K139" s="120"/>
      <c r="L139" s="120"/>
      <c r="M139" s="120"/>
      <c r="N139" s="121"/>
      <c r="O139" s="121"/>
      <c r="P139" s="121"/>
      <c r="Q139" s="121"/>
      <c r="R139" s="121"/>
      <c r="S139" s="121"/>
      <c r="T139" s="121"/>
      <c r="U139" s="121"/>
      <c r="V139" s="121"/>
    </row>
    <row r="140">
      <c r="A140" s="120"/>
      <c r="B140" s="123"/>
      <c r="C140" s="124"/>
      <c r="D140" s="120"/>
      <c r="E140" s="125"/>
      <c r="F140" s="120"/>
      <c r="G140" s="125"/>
      <c r="H140" s="125"/>
      <c r="I140" s="125"/>
      <c r="J140" s="120"/>
      <c r="K140" s="120"/>
      <c r="L140" s="120"/>
      <c r="M140" s="120"/>
      <c r="N140" s="121"/>
      <c r="O140" s="121"/>
      <c r="P140" s="121"/>
      <c r="Q140" s="121"/>
      <c r="R140" s="121"/>
      <c r="S140" s="121"/>
      <c r="T140" s="121"/>
      <c r="U140" s="121"/>
      <c r="V140" s="121"/>
    </row>
    <row r="141">
      <c r="A141" s="120"/>
      <c r="B141" s="123"/>
      <c r="C141" s="124"/>
      <c r="D141" s="120"/>
      <c r="E141" s="125"/>
      <c r="F141" s="120"/>
      <c r="G141" s="125"/>
      <c r="H141" s="125"/>
      <c r="I141" s="125"/>
      <c r="J141" s="120"/>
      <c r="K141" s="120"/>
      <c r="L141" s="120"/>
      <c r="M141" s="120"/>
      <c r="N141" s="121"/>
      <c r="O141" s="121"/>
      <c r="P141" s="121"/>
      <c r="Q141" s="121"/>
      <c r="R141" s="121"/>
      <c r="S141" s="121"/>
      <c r="T141" s="121"/>
      <c r="U141" s="121"/>
      <c r="V141" s="121"/>
    </row>
    <row r="142">
      <c r="A142" s="120"/>
      <c r="B142" s="123"/>
      <c r="C142" s="124"/>
      <c r="D142" s="120"/>
      <c r="E142" s="125"/>
      <c r="F142" s="120"/>
      <c r="G142" s="125"/>
      <c r="H142" s="125"/>
      <c r="I142" s="125"/>
      <c r="J142" s="120"/>
      <c r="K142" s="120"/>
      <c r="L142" s="120"/>
      <c r="M142" s="120"/>
      <c r="N142" s="121"/>
      <c r="O142" s="121"/>
      <c r="P142" s="121"/>
      <c r="Q142" s="121"/>
      <c r="R142" s="121"/>
      <c r="S142" s="121"/>
      <c r="T142" s="121"/>
      <c r="U142" s="121"/>
      <c r="V142" s="121"/>
    </row>
    <row r="143">
      <c r="A143" s="120"/>
      <c r="B143" s="123"/>
      <c r="C143" s="124"/>
      <c r="D143" s="120"/>
      <c r="E143" s="125"/>
      <c r="F143" s="120"/>
      <c r="G143" s="125"/>
      <c r="H143" s="125"/>
      <c r="I143" s="125"/>
      <c r="J143" s="120"/>
      <c r="K143" s="120"/>
      <c r="L143" s="120"/>
      <c r="M143" s="120"/>
      <c r="N143" s="121"/>
      <c r="O143" s="121"/>
      <c r="P143" s="121"/>
      <c r="Q143" s="121"/>
      <c r="R143" s="121"/>
      <c r="S143" s="121"/>
      <c r="T143" s="121"/>
      <c r="U143" s="121"/>
      <c r="V143" s="121"/>
    </row>
    <row r="144">
      <c r="A144" s="120"/>
      <c r="B144" s="123"/>
      <c r="C144" s="124"/>
      <c r="D144" s="120"/>
      <c r="E144" s="125"/>
      <c r="F144" s="120"/>
      <c r="G144" s="125"/>
      <c r="H144" s="125"/>
      <c r="I144" s="125"/>
      <c r="J144" s="120"/>
      <c r="K144" s="120"/>
      <c r="L144" s="120"/>
      <c r="M144" s="120"/>
      <c r="N144" s="121"/>
      <c r="O144" s="121"/>
      <c r="P144" s="121"/>
      <c r="Q144" s="121"/>
      <c r="R144" s="121"/>
      <c r="S144" s="121"/>
      <c r="T144" s="121"/>
      <c r="U144" s="121"/>
      <c r="V144" s="121"/>
    </row>
    <row r="145">
      <c r="A145" s="120"/>
      <c r="B145" s="123"/>
      <c r="C145" s="124"/>
      <c r="D145" s="120"/>
      <c r="E145" s="125"/>
      <c r="F145" s="120"/>
      <c r="G145" s="125"/>
      <c r="H145" s="125"/>
      <c r="I145" s="125"/>
      <c r="J145" s="120"/>
      <c r="K145" s="120"/>
      <c r="L145" s="120"/>
      <c r="M145" s="120"/>
      <c r="N145" s="121"/>
      <c r="O145" s="121"/>
      <c r="P145" s="121"/>
      <c r="Q145" s="121"/>
      <c r="R145" s="121"/>
      <c r="S145" s="121"/>
      <c r="T145" s="121"/>
      <c r="U145" s="121"/>
      <c r="V145" s="121"/>
    </row>
    <row r="146">
      <c r="A146" s="120"/>
      <c r="B146" s="123"/>
      <c r="C146" s="124"/>
      <c r="D146" s="120"/>
      <c r="E146" s="125"/>
      <c r="F146" s="120"/>
      <c r="G146" s="125"/>
      <c r="H146" s="125"/>
      <c r="I146" s="125"/>
      <c r="J146" s="120"/>
      <c r="K146" s="120"/>
      <c r="L146" s="120"/>
      <c r="M146" s="120"/>
      <c r="N146" s="121"/>
      <c r="O146" s="121"/>
      <c r="P146" s="121"/>
      <c r="Q146" s="121"/>
      <c r="R146" s="121"/>
      <c r="S146" s="121"/>
      <c r="T146" s="121"/>
      <c r="U146" s="121"/>
      <c r="V146" s="121"/>
    </row>
    <row r="147">
      <c r="A147" s="120"/>
      <c r="B147" s="123"/>
      <c r="C147" s="124"/>
      <c r="D147" s="120"/>
      <c r="E147" s="125"/>
      <c r="F147" s="120"/>
      <c r="G147" s="125"/>
      <c r="H147" s="125"/>
      <c r="I147" s="125"/>
      <c r="J147" s="120"/>
      <c r="K147" s="120"/>
      <c r="L147" s="120"/>
      <c r="M147" s="120"/>
      <c r="N147" s="121"/>
      <c r="O147" s="121"/>
      <c r="P147" s="121"/>
      <c r="Q147" s="121"/>
      <c r="R147" s="121"/>
      <c r="S147" s="121"/>
      <c r="T147" s="121"/>
      <c r="U147" s="121"/>
      <c r="V147" s="121"/>
    </row>
    <row r="148">
      <c r="A148" s="120"/>
      <c r="B148" s="123"/>
      <c r="C148" s="124"/>
      <c r="D148" s="120"/>
      <c r="E148" s="125"/>
      <c r="F148" s="120"/>
      <c r="G148" s="125"/>
      <c r="H148" s="125"/>
      <c r="I148" s="125"/>
      <c r="J148" s="120"/>
      <c r="K148" s="120"/>
      <c r="L148" s="120"/>
      <c r="M148" s="120"/>
      <c r="N148" s="121"/>
      <c r="O148" s="121"/>
      <c r="P148" s="121"/>
      <c r="Q148" s="121"/>
      <c r="R148" s="121"/>
      <c r="S148" s="121"/>
      <c r="T148" s="121"/>
      <c r="U148" s="121"/>
      <c r="V148" s="121"/>
    </row>
    <row r="149">
      <c r="A149" s="120"/>
      <c r="B149" s="123"/>
      <c r="C149" s="124"/>
      <c r="D149" s="120"/>
      <c r="E149" s="125"/>
      <c r="F149" s="120"/>
      <c r="G149" s="125"/>
      <c r="H149" s="125"/>
      <c r="I149" s="125"/>
      <c r="J149" s="120"/>
      <c r="K149" s="120"/>
      <c r="L149" s="120"/>
      <c r="M149" s="120"/>
      <c r="N149" s="121"/>
      <c r="O149" s="121"/>
      <c r="P149" s="121"/>
      <c r="Q149" s="121"/>
      <c r="R149" s="121"/>
      <c r="S149" s="121"/>
      <c r="T149" s="121"/>
      <c r="U149" s="121"/>
      <c r="V149" s="121"/>
    </row>
    <row r="150">
      <c r="A150" s="120"/>
      <c r="B150" s="123"/>
      <c r="C150" s="124"/>
      <c r="D150" s="120"/>
      <c r="E150" s="125"/>
      <c r="F150" s="120"/>
      <c r="G150" s="125"/>
      <c r="H150" s="125"/>
      <c r="I150" s="125"/>
      <c r="J150" s="120"/>
      <c r="K150" s="120"/>
      <c r="L150" s="120"/>
      <c r="M150" s="120"/>
      <c r="N150" s="121"/>
      <c r="O150" s="121"/>
      <c r="P150" s="121"/>
      <c r="Q150" s="121"/>
      <c r="R150" s="121"/>
      <c r="S150" s="121"/>
      <c r="T150" s="121"/>
      <c r="U150" s="121"/>
      <c r="V150" s="121"/>
    </row>
    <row r="151">
      <c r="A151" s="120"/>
      <c r="B151" s="123"/>
      <c r="C151" s="124"/>
      <c r="D151" s="120"/>
      <c r="E151" s="125"/>
      <c r="F151" s="120"/>
      <c r="G151" s="125"/>
      <c r="H151" s="125"/>
      <c r="I151" s="125"/>
      <c r="J151" s="120"/>
      <c r="K151" s="120"/>
      <c r="L151" s="120"/>
      <c r="M151" s="120"/>
      <c r="N151" s="121"/>
      <c r="O151" s="121"/>
      <c r="P151" s="121"/>
      <c r="Q151" s="121"/>
      <c r="R151" s="121"/>
      <c r="S151" s="121"/>
      <c r="T151" s="121"/>
      <c r="U151" s="121"/>
      <c r="V151" s="121"/>
    </row>
    <row r="152">
      <c r="A152" s="120"/>
      <c r="B152" s="123"/>
      <c r="C152" s="124"/>
      <c r="D152" s="120"/>
      <c r="E152" s="125"/>
      <c r="F152" s="120"/>
      <c r="G152" s="125"/>
      <c r="H152" s="125"/>
      <c r="I152" s="125"/>
      <c r="J152" s="120"/>
      <c r="K152" s="120"/>
      <c r="L152" s="120"/>
      <c r="M152" s="120"/>
      <c r="N152" s="121"/>
      <c r="O152" s="121"/>
      <c r="P152" s="121"/>
      <c r="Q152" s="121"/>
      <c r="R152" s="121"/>
      <c r="S152" s="121"/>
      <c r="T152" s="121"/>
      <c r="U152" s="121"/>
      <c r="V152" s="121"/>
    </row>
    <row r="153">
      <c r="A153" s="120"/>
      <c r="B153" s="123"/>
      <c r="C153" s="124"/>
      <c r="D153" s="120"/>
      <c r="E153" s="125"/>
      <c r="F153" s="120"/>
      <c r="G153" s="125"/>
      <c r="H153" s="125"/>
      <c r="I153" s="125"/>
      <c r="J153" s="120"/>
      <c r="K153" s="120"/>
      <c r="L153" s="120"/>
      <c r="M153" s="120"/>
      <c r="N153" s="121"/>
      <c r="O153" s="121"/>
      <c r="P153" s="121"/>
      <c r="Q153" s="121"/>
      <c r="R153" s="121"/>
      <c r="S153" s="121"/>
      <c r="T153" s="121"/>
      <c r="U153" s="121"/>
      <c r="V153" s="121"/>
    </row>
    <row r="154">
      <c r="A154" s="120"/>
      <c r="B154" s="123"/>
      <c r="C154" s="124"/>
      <c r="D154" s="120"/>
      <c r="E154" s="122"/>
      <c r="F154" s="120"/>
      <c r="G154" s="122"/>
      <c r="H154" s="122"/>
      <c r="I154" s="122"/>
      <c r="J154" s="120"/>
      <c r="K154" s="120"/>
      <c r="L154" s="120"/>
      <c r="M154" s="120"/>
      <c r="N154" s="121"/>
      <c r="O154" s="121"/>
      <c r="P154" s="121"/>
      <c r="Q154" s="121"/>
      <c r="R154" s="121"/>
      <c r="S154" s="121"/>
      <c r="T154" s="121"/>
      <c r="U154" s="121"/>
      <c r="V154" s="121"/>
    </row>
    <row r="155">
      <c r="A155" s="120"/>
      <c r="B155" s="123"/>
      <c r="C155" s="124"/>
      <c r="D155" s="120"/>
      <c r="E155" s="122"/>
      <c r="F155" s="120"/>
      <c r="G155" s="122"/>
      <c r="H155" s="122"/>
      <c r="I155" s="122"/>
      <c r="J155" s="120"/>
      <c r="K155" s="120"/>
      <c r="L155" s="120"/>
      <c r="M155" s="120"/>
      <c r="N155" s="121"/>
      <c r="O155" s="121"/>
      <c r="P155" s="121"/>
      <c r="Q155" s="121"/>
      <c r="R155" s="121"/>
      <c r="S155" s="121"/>
      <c r="T155" s="121"/>
      <c r="U155" s="121"/>
      <c r="V155" s="121"/>
    </row>
    <row r="156">
      <c r="A156" s="120"/>
      <c r="B156" s="123"/>
      <c r="C156" s="124"/>
      <c r="D156" s="120"/>
      <c r="E156" s="122"/>
      <c r="F156" s="120"/>
      <c r="G156" s="122"/>
      <c r="H156" s="122"/>
      <c r="I156" s="122"/>
      <c r="J156" s="120"/>
      <c r="K156" s="120"/>
      <c r="L156" s="120"/>
      <c r="M156" s="120"/>
      <c r="N156" s="121"/>
      <c r="O156" s="121"/>
      <c r="P156" s="121"/>
      <c r="Q156" s="121"/>
      <c r="R156" s="121"/>
      <c r="S156" s="121"/>
      <c r="T156" s="121"/>
      <c r="U156" s="121"/>
      <c r="V156" s="121"/>
    </row>
    <row r="157">
      <c r="A157" s="120"/>
      <c r="B157" s="123"/>
      <c r="C157" s="124"/>
      <c r="D157" s="120"/>
      <c r="E157" s="122"/>
      <c r="F157" s="120"/>
      <c r="G157" s="122"/>
      <c r="H157" s="122"/>
      <c r="I157" s="122"/>
      <c r="J157" s="120"/>
      <c r="K157" s="120"/>
      <c r="L157" s="120"/>
      <c r="M157" s="120"/>
      <c r="N157" s="121"/>
      <c r="O157" s="121"/>
      <c r="P157" s="121"/>
      <c r="Q157" s="121"/>
      <c r="R157" s="121"/>
      <c r="S157" s="121"/>
      <c r="T157" s="121"/>
      <c r="U157" s="121"/>
      <c r="V157" s="121"/>
    </row>
    <row r="158">
      <c r="A158" s="120"/>
      <c r="B158" s="123"/>
      <c r="C158" s="124"/>
      <c r="D158" s="120"/>
      <c r="E158" s="122"/>
      <c r="F158" s="120"/>
      <c r="G158" s="122"/>
      <c r="H158" s="122"/>
      <c r="I158" s="122"/>
      <c r="J158" s="120"/>
      <c r="K158" s="120"/>
      <c r="L158" s="120"/>
      <c r="M158" s="120"/>
      <c r="N158" s="121"/>
      <c r="O158" s="121"/>
      <c r="P158" s="121"/>
      <c r="Q158" s="121"/>
      <c r="R158" s="121"/>
      <c r="S158" s="121"/>
      <c r="T158" s="121"/>
      <c r="U158" s="121"/>
      <c r="V158" s="121"/>
    </row>
    <row r="159">
      <c r="A159" s="120"/>
      <c r="B159" s="123"/>
      <c r="C159" s="124"/>
      <c r="D159" s="120"/>
      <c r="E159" s="122"/>
      <c r="F159" s="120"/>
      <c r="G159" s="122"/>
      <c r="H159" s="122"/>
      <c r="I159" s="122"/>
      <c r="J159" s="120"/>
      <c r="K159" s="120"/>
      <c r="L159" s="120"/>
      <c r="M159" s="120"/>
      <c r="N159" s="121"/>
      <c r="O159" s="121"/>
      <c r="P159" s="121"/>
      <c r="Q159" s="121"/>
      <c r="R159" s="121"/>
      <c r="S159" s="121"/>
      <c r="T159" s="121"/>
      <c r="U159" s="121"/>
      <c r="V159" s="121"/>
    </row>
    <row r="160">
      <c r="A160" s="120"/>
      <c r="B160" s="123"/>
      <c r="C160" s="124"/>
      <c r="D160" s="120"/>
      <c r="E160" s="122"/>
      <c r="F160" s="120"/>
      <c r="G160" s="122"/>
      <c r="H160" s="122"/>
      <c r="I160" s="122"/>
      <c r="J160" s="120"/>
      <c r="K160" s="120"/>
      <c r="L160" s="120"/>
      <c r="M160" s="120"/>
      <c r="N160" s="121"/>
      <c r="O160" s="121"/>
      <c r="P160" s="121"/>
      <c r="Q160" s="121"/>
      <c r="R160" s="121"/>
      <c r="S160" s="121"/>
      <c r="T160" s="121"/>
      <c r="U160" s="121"/>
      <c r="V160" s="121"/>
    </row>
    <row r="161">
      <c r="A161" s="120"/>
      <c r="B161" s="123"/>
      <c r="C161" s="124"/>
      <c r="D161" s="120"/>
      <c r="E161" s="122"/>
      <c r="F161" s="120"/>
      <c r="G161" s="122"/>
      <c r="H161" s="122"/>
      <c r="I161" s="122"/>
      <c r="J161" s="120"/>
      <c r="K161" s="120"/>
      <c r="L161" s="120"/>
      <c r="M161" s="120"/>
      <c r="N161" s="121"/>
      <c r="O161" s="121"/>
      <c r="P161" s="121"/>
      <c r="Q161" s="121"/>
      <c r="R161" s="121"/>
      <c r="S161" s="121"/>
      <c r="T161" s="121"/>
      <c r="U161" s="121"/>
      <c r="V161" s="121"/>
    </row>
    <row r="162">
      <c r="A162" s="120"/>
      <c r="B162" s="123"/>
      <c r="C162" s="124"/>
      <c r="D162" s="120"/>
      <c r="E162" s="122"/>
      <c r="F162" s="120"/>
      <c r="G162" s="122"/>
      <c r="H162" s="122"/>
      <c r="I162" s="122"/>
      <c r="J162" s="120"/>
      <c r="K162" s="120"/>
      <c r="L162" s="120"/>
      <c r="M162" s="120"/>
      <c r="N162" s="121"/>
      <c r="O162" s="121"/>
      <c r="P162" s="121"/>
      <c r="Q162" s="121"/>
      <c r="R162" s="121"/>
      <c r="S162" s="121"/>
      <c r="T162" s="121"/>
      <c r="U162" s="121"/>
      <c r="V162" s="121"/>
    </row>
    <row r="163">
      <c r="A163" s="120"/>
      <c r="B163" s="123"/>
      <c r="C163" s="124"/>
      <c r="D163" s="120"/>
      <c r="E163" s="122"/>
      <c r="F163" s="120"/>
      <c r="G163" s="122"/>
      <c r="H163" s="122"/>
      <c r="I163" s="122"/>
      <c r="J163" s="120"/>
      <c r="K163" s="120"/>
      <c r="L163" s="120"/>
      <c r="M163" s="120"/>
      <c r="N163" s="121"/>
      <c r="O163" s="121"/>
      <c r="P163" s="121"/>
      <c r="Q163" s="121"/>
      <c r="R163" s="121"/>
      <c r="S163" s="121"/>
      <c r="T163" s="121"/>
      <c r="U163" s="121"/>
      <c r="V163" s="121"/>
    </row>
    <row r="164">
      <c r="A164" s="120"/>
      <c r="B164" s="123"/>
      <c r="C164" s="124"/>
      <c r="D164" s="120"/>
      <c r="E164" s="122"/>
      <c r="F164" s="120"/>
      <c r="G164" s="122"/>
      <c r="H164" s="122"/>
      <c r="I164" s="122"/>
      <c r="J164" s="120"/>
      <c r="K164" s="120"/>
      <c r="L164" s="120"/>
      <c r="M164" s="120"/>
      <c r="N164" s="121"/>
      <c r="O164" s="121"/>
      <c r="P164" s="121"/>
      <c r="Q164" s="121"/>
      <c r="R164" s="121"/>
      <c r="S164" s="121"/>
      <c r="T164" s="121"/>
      <c r="U164" s="121"/>
      <c r="V164" s="121"/>
    </row>
    <row r="165">
      <c r="A165" s="120"/>
      <c r="B165" s="123"/>
      <c r="C165" s="124"/>
      <c r="D165" s="120"/>
      <c r="E165" s="122"/>
      <c r="F165" s="120"/>
      <c r="G165" s="122"/>
      <c r="H165" s="122"/>
      <c r="I165" s="122"/>
      <c r="J165" s="120"/>
      <c r="K165" s="120"/>
      <c r="L165" s="120"/>
      <c r="M165" s="120"/>
      <c r="N165" s="121"/>
      <c r="O165" s="121"/>
      <c r="P165" s="121"/>
      <c r="Q165" s="121"/>
      <c r="R165" s="121"/>
      <c r="S165" s="121"/>
      <c r="T165" s="121"/>
      <c r="U165" s="121"/>
      <c r="V165" s="121"/>
    </row>
    <row r="166">
      <c r="A166" s="120"/>
      <c r="B166" s="123"/>
      <c r="C166" s="124"/>
      <c r="D166" s="120"/>
      <c r="E166" s="122"/>
      <c r="F166" s="120"/>
      <c r="G166" s="122"/>
      <c r="H166" s="122"/>
      <c r="I166" s="122"/>
      <c r="J166" s="120"/>
      <c r="K166" s="120"/>
      <c r="L166" s="120"/>
      <c r="M166" s="120"/>
      <c r="N166" s="121"/>
      <c r="O166" s="121"/>
      <c r="P166" s="121"/>
      <c r="Q166" s="121"/>
      <c r="R166" s="121"/>
      <c r="S166" s="121"/>
      <c r="T166" s="121"/>
      <c r="U166" s="121"/>
      <c r="V166" s="121"/>
    </row>
    <row r="167">
      <c r="A167" s="120"/>
      <c r="B167" s="123"/>
      <c r="C167" s="124"/>
      <c r="D167" s="120"/>
      <c r="E167" s="122"/>
      <c r="F167" s="120"/>
      <c r="G167" s="122"/>
      <c r="H167" s="122"/>
      <c r="I167" s="122"/>
      <c r="J167" s="120"/>
      <c r="K167" s="120"/>
      <c r="L167" s="120"/>
      <c r="M167" s="120"/>
      <c r="N167" s="121"/>
      <c r="O167" s="121"/>
      <c r="P167" s="121"/>
      <c r="Q167" s="121"/>
      <c r="R167" s="121"/>
      <c r="S167" s="121"/>
      <c r="T167" s="121"/>
      <c r="U167" s="121"/>
      <c r="V167" s="121"/>
    </row>
    <row r="168">
      <c r="A168" s="120"/>
      <c r="B168" s="123"/>
      <c r="C168" s="124"/>
      <c r="D168" s="120"/>
      <c r="E168" s="122"/>
      <c r="F168" s="120"/>
      <c r="G168" s="122"/>
      <c r="H168" s="122"/>
      <c r="I168" s="122"/>
      <c r="J168" s="120"/>
      <c r="K168" s="120"/>
      <c r="L168" s="120"/>
      <c r="M168" s="120"/>
      <c r="N168" s="121"/>
      <c r="O168" s="121"/>
      <c r="P168" s="121"/>
      <c r="Q168" s="121"/>
      <c r="R168" s="121"/>
      <c r="S168" s="121"/>
      <c r="T168" s="121"/>
      <c r="U168" s="121"/>
      <c r="V168" s="121"/>
    </row>
    <row r="169">
      <c r="A169" s="120"/>
      <c r="B169" s="123"/>
      <c r="C169" s="124"/>
      <c r="D169" s="120"/>
      <c r="E169" s="122"/>
      <c r="F169" s="120"/>
      <c r="G169" s="122"/>
      <c r="H169" s="122"/>
      <c r="I169" s="122"/>
      <c r="J169" s="120"/>
      <c r="K169" s="120"/>
      <c r="L169" s="120"/>
      <c r="M169" s="120"/>
      <c r="N169" s="121"/>
      <c r="O169" s="121"/>
      <c r="P169" s="121"/>
      <c r="Q169" s="121"/>
      <c r="R169" s="121"/>
      <c r="S169" s="121"/>
      <c r="T169" s="121"/>
      <c r="U169" s="121"/>
      <c r="V169" s="121"/>
    </row>
    <row r="170">
      <c r="A170" s="120"/>
      <c r="B170" s="123"/>
      <c r="C170" s="124"/>
      <c r="D170" s="120"/>
      <c r="E170" s="122"/>
      <c r="F170" s="120"/>
      <c r="G170" s="122"/>
      <c r="H170" s="122"/>
      <c r="I170" s="122"/>
      <c r="J170" s="120"/>
      <c r="K170" s="120"/>
      <c r="L170" s="120"/>
      <c r="M170" s="120"/>
      <c r="N170" s="121"/>
      <c r="O170" s="121"/>
      <c r="P170" s="121"/>
      <c r="Q170" s="121"/>
      <c r="R170" s="121"/>
      <c r="S170" s="121"/>
      <c r="T170" s="121"/>
      <c r="U170" s="121"/>
      <c r="V170" s="121"/>
    </row>
    <row r="171">
      <c r="A171" s="120"/>
      <c r="B171" s="123"/>
      <c r="C171" s="124"/>
      <c r="D171" s="120"/>
      <c r="E171" s="122"/>
      <c r="F171" s="120"/>
      <c r="G171" s="122"/>
      <c r="H171" s="122"/>
      <c r="I171" s="122"/>
      <c r="J171" s="120"/>
      <c r="K171" s="120"/>
      <c r="L171" s="120"/>
      <c r="M171" s="120"/>
      <c r="N171" s="121"/>
      <c r="O171" s="121"/>
      <c r="P171" s="121"/>
      <c r="Q171" s="121"/>
      <c r="R171" s="121"/>
      <c r="S171" s="121"/>
      <c r="T171" s="121"/>
      <c r="U171" s="121"/>
      <c r="V171" s="121"/>
    </row>
    <row r="172">
      <c r="A172" s="120"/>
      <c r="B172" s="123"/>
      <c r="C172" s="124"/>
      <c r="D172" s="120"/>
      <c r="E172" s="125"/>
      <c r="F172" s="120"/>
      <c r="G172" s="125"/>
      <c r="H172" s="125"/>
      <c r="I172" s="125"/>
      <c r="J172" s="120"/>
      <c r="K172" s="120"/>
      <c r="L172" s="120"/>
      <c r="M172" s="120"/>
      <c r="N172" s="121"/>
      <c r="O172" s="121"/>
      <c r="P172" s="121"/>
      <c r="Q172" s="121"/>
      <c r="R172" s="121"/>
      <c r="S172" s="121"/>
      <c r="T172" s="121"/>
      <c r="U172" s="121"/>
      <c r="V172" s="121"/>
    </row>
    <row r="173">
      <c r="A173" s="120"/>
      <c r="B173" s="123"/>
      <c r="C173" s="124"/>
      <c r="D173" s="120"/>
      <c r="E173" s="125"/>
      <c r="F173" s="120"/>
      <c r="G173" s="125"/>
      <c r="H173" s="125"/>
      <c r="I173" s="125"/>
      <c r="J173" s="120"/>
      <c r="K173" s="120"/>
      <c r="L173" s="120"/>
      <c r="M173" s="120"/>
      <c r="N173" s="121"/>
      <c r="O173" s="121"/>
      <c r="P173" s="121"/>
      <c r="Q173" s="121"/>
      <c r="R173" s="121"/>
      <c r="S173" s="121"/>
      <c r="T173" s="121"/>
      <c r="U173" s="121"/>
      <c r="V173" s="121"/>
    </row>
    <row r="174">
      <c r="A174" s="120"/>
      <c r="B174" s="123"/>
      <c r="C174" s="124"/>
      <c r="D174" s="120"/>
      <c r="E174" s="125"/>
      <c r="F174" s="120"/>
      <c r="G174" s="125"/>
      <c r="H174" s="125"/>
      <c r="I174" s="125"/>
      <c r="J174" s="120"/>
      <c r="K174" s="120"/>
      <c r="L174" s="120"/>
      <c r="M174" s="120"/>
      <c r="N174" s="121"/>
      <c r="O174" s="121"/>
      <c r="P174" s="121"/>
      <c r="Q174" s="121"/>
      <c r="R174" s="121"/>
      <c r="S174" s="121"/>
      <c r="T174" s="121"/>
      <c r="U174" s="121"/>
      <c r="V174" s="121"/>
    </row>
    <row r="175">
      <c r="A175" s="120"/>
      <c r="B175" s="123"/>
      <c r="C175" s="124"/>
      <c r="D175" s="120"/>
      <c r="E175" s="125"/>
      <c r="F175" s="120"/>
      <c r="G175" s="125"/>
      <c r="H175" s="125"/>
      <c r="I175" s="125"/>
      <c r="J175" s="120"/>
      <c r="K175" s="120"/>
      <c r="L175" s="120"/>
      <c r="M175" s="120"/>
      <c r="N175" s="121"/>
      <c r="O175" s="121"/>
      <c r="P175" s="121"/>
      <c r="Q175" s="121"/>
      <c r="R175" s="121"/>
      <c r="S175" s="121"/>
      <c r="T175" s="121"/>
      <c r="U175" s="121"/>
      <c r="V175" s="121"/>
    </row>
    <row r="176">
      <c r="A176" s="120"/>
      <c r="B176" s="123"/>
      <c r="C176" s="124"/>
      <c r="D176" s="120"/>
      <c r="E176" s="125"/>
      <c r="F176" s="120"/>
      <c r="G176" s="125"/>
      <c r="H176" s="125"/>
      <c r="I176" s="125"/>
      <c r="J176" s="120"/>
      <c r="K176" s="120"/>
      <c r="L176" s="120"/>
      <c r="M176" s="120"/>
      <c r="N176" s="121"/>
      <c r="O176" s="121"/>
      <c r="P176" s="121"/>
      <c r="Q176" s="121"/>
      <c r="R176" s="121"/>
      <c r="S176" s="121"/>
      <c r="T176" s="121"/>
      <c r="U176" s="121"/>
      <c r="V176" s="121"/>
    </row>
    <row r="177">
      <c r="A177" s="120"/>
      <c r="B177" s="123"/>
      <c r="C177" s="124"/>
      <c r="D177" s="120"/>
      <c r="E177" s="125"/>
      <c r="F177" s="120"/>
      <c r="G177" s="125"/>
      <c r="H177" s="125"/>
      <c r="I177" s="125"/>
      <c r="J177" s="120"/>
      <c r="K177" s="120"/>
      <c r="L177" s="120"/>
      <c r="M177" s="120"/>
      <c r="N177" s="121"/>
      <c r="O177" s="121"/>
      <c r="P177" s="121"/>
      <c r="Q177" s="121"/>
      <c r="R177" s="121"/>
      <c r="S177" s="121"/>
      <c r="T177" s="121"/>
      <c r="U177" s="121"/>
      <c r="V177" s="121"/>
    </row>
    <row r="178">
      <c r="A178" s="120"/>
      <c r="B178" s="123"/>
      <c r="C178" s="124"/>
      <c r="D178" s="120"/>
      <c r="E178" s="125"/>
      <c r="F178" s="120"/>
      <c r="G178" s="125"/>
      <c r="H178" s="125"/>
      <c r="I178" s="125"/>
      <c r="J178" s="120"/>
      <c r="K178" s="120"/>
      <c r="L178" s="120"/>
      <c r="M178" s="120"/>
      <c r="N178" s="121"/>
      <c r="O178" s="121"/>
      <c r="P178" s="121"/>
      <c r="Q178" s="121"/>
      <c r="R178" s="121"/>
      <c r="S178" s="121"/>
      <c r="T178" s="121"/>
      <c r="U178" s="121"/>
      <c r="V178" s="121"/>
    </row>
    <row r="179">
      <c r="A179" s="120"/>
      <c r="B179" s="123"/>
      <c r="C179" s="124"/>
      <c r="D179" s="120"/>
      <c r="E179" s="125"/>
      <c r="F179" s="120"/>
      <c r="G179" s="125"/>
      <c r="H179" s="125"/>
      <c r="I179" s="125"/>
      <c r="J179" s="120"/>
      <c r="K179" s="120"/>
      <c r="L179" s="120"/>
      <c r="M179" s="120"/>
      <c r="N179" s="121"/>
      <c r="O179" s="121"/>
      <c r="P179" s="121"/>
      <c r="Q179" s="121"/>
      <c r="R179" s="121"/>
      <c r="S179" s="121"/>
      <c r="T179" s="121"/>
      <c r="U179" s="121"/>
      <c r="V179" s="121"/>
    </row>
    <row r="180">
      <c r="A180" s="120"/>
      <c r="B180" s="123"/>
      <c r="C180" s="124"/>
      <c r="D180" s="120"/>
      <c r="E180" s="125"/>
      <c r="F180" s="120"/>
      <c r="G180" s="125"/>
      <c r="H180" s="125"/>
      <c r="I180" s="125"/>
      <c r="J180" s="120"/>
      <c r="K180" s="120"/>
      <c r="L180" s="120"/>
      <c r="M180" s="120"/>
      <c r="N180" s="121"/>
      <c r="O180" s="121"/>
      <c r="P180" s="121"/>
      <c r="Q180" s="121"/>
      <c r="R180" s="121"/>
      <c r="S180" s="121"/>
      <c r="T180" s="121"/>
      <c r="U180" s="121"/>
      <c r="V180" s="121"/>
    </row>
    <row r="181">
      <c r="A181" s="120"/>
      <c r="B181" s="123"/>
      <c r="C181" s="124"/>
      <c r="D181" s="120"/>
      <c r="E181" s="125"/>
      <c r="F181" s="120"/>
      <c r="G181" s="125"/>
      <c r="H181" s="125"/>
      <c r="I181" s="125"/>
      <c r="J181" s="120"/>
      <c r="K181" s="120"/>
      <c r="L181" s="120"/>
      <c r="M181" s="120"/>
      <c r="N181" s="121"/>
      <c r="O181" s="121"/>
      <c r="P181" s="121"/>
      <c r="Q181" s="121"/>
      <c r="R181" s="121"/>
      <c r="S181" s="121"/>
      <c r="T181" s="121"/>
      <c r="U181" s="121"/>
      <c r="V181" s="121"/>
    </row>
    <row r="182">
      <c r="A182" s="120"/>
      <c r="B182" s="123"/>
      <c r="C182" s="124"/>
      <c r="D182" s="120"/>
      <c r="E182" s="125"/>
      <c r="F182" s="120"/>
      <c r="G182" s="125"/>
      <c r="H182" s="125"/>
      <c r="I182" s="125"/>
      <c r="J182" s="120"/>
      <c r="K182" s="120"/>
      <c r="L182" s="120"/>
      <c r="M182" s="120"/>
      <c r="N182" s="121"/>
      <c r="O182" s="121"/>
      <c r="P182" s="121"/>
      <c r="Q182" s="121"/>
      <c r="R182" s="121"/>
      <c r="S182" s="121"/>
      <c r="T182" s="121"/>
      <c r="U182" s="121"/>
      <c r="V182" s="121"/>
    </row>
    <row r="183">
      <c r="A183" s="120"/>
      <c r="B183" s="123"/>
      <c r="C183" s="124"/>
      <c r="D183" s="120"/>
      <c r="E183" s="125"/>
      <c r="F183" s="120"/>
      <c r="G183" s="125"/>
      <c r="H183" s="125"/>
      <c r="I183" s="125"/>
      <c r="J183" s="120"/>
      <c r="K183" s="120"/>
      <c r="L183" s="120"/>
      <c r="M183" s="120"/>
      <c r="N183" s="121"/>
      <c r="O183" s="121"/>
      <c r="P183" s="121"/>
      <c r="Q183" s="121"/>
      <c r="R183" s="121"/>
      <c r="S183" s="121"/>
      <c r="T183" s="121"/>
      <c r="U183" s="121"/>
      <c r="V183" s="121"/>
    </row>
    <row r="184">
      <c r="A184" s="120"/>
      <c r="B184" s="123"/>
      <c r="C184" s="124"/>
      <c r="D184" s="120"/>
      <c r="E184" s="125"/>
      <c r="F184" s="120"/>
      <c r="G184" s="125"/>
      <c r="H184" s="125"/>
      <c r="I184" s="125"/>
      <c r="J184" s="120"/>
      <c r="K184" s="120"/>
      <c r="L184" s="120"/>
      <c r="M184" s="120"/>
      <c r="N184" s="121"/>
      <c r="O184" s="121"/>
      <c r="P184" s="121"/>
      <c r="Q184" s="121"/>
      <c r="R184" s="121"/>
      <c r="S184" s="121"/>
      <c r="T184" s="121"/>
      <c r="U184" s="121"/>
      <c r="V184" s="121"/>
    </row>
    <row r="185">
      <c r="A185" s="120"/>
      <c r="B185" s="123"/>
      <c r="C185" s="124"/>
      <c r="D185" s="120"/>
      <c r="E185" s="125"/>
      <c r="F185" s="120"/>
      <c r="G185" s="125"/>
      <c r="H185" s="125"/>
      <c r="I185" s="125"/>
      <c r="J185" s="120"/>
      <c r="K185" s="120"/>
      <c r="L185" s="120"/>
      <c r="M185" s="120"/>
      <c r="N185" s="121"/>
      <c r="O185" s="121"/>
      <c r="P185" s="121"/>
      <c r="Q185" s="121"/>
      <c r="R185" s="121"/>
      <c r="S185" s="121"/>
      <c r="T185" s="121"/>
      <c r="U185" s="121"/>
      <c r="V185" s="121"/>
    </row>
    <row r="186">
      <c r="A186" s="120"/>
      <c r="B186" s="123"/>
      <c r="C186" s="124"/>
      <c r="D186" s="120"/>
      <c r="E186" s="125"/>
      <c r="F186" s="120"/>
      <c r="G186" s="125"/>
      <c r="H186" s="125"/>
      <c r="I186" s="125"/>
      <c r="J186" s="120"/>
      <c r="K186" s="120"/>
      <c r="L186" s="120"/>
      <c r="M186" s="120"/>
      <c r="N186" s="121"/>
      <c r="O186" s="121"/>
      <c r="P186" s="121"/>
      <c r="Q186" s="121"/>
      <c r="R186" s="121"/>
      <c r="S186" s="121"/>
      <c r="T186" s="121"/>
      <c r="U186" s="121"/>
      <c r="V186" s="121"/>
    </row>
    <row r="187">
      <c r="A187" s="120"/>
      <c r="B187" s="123"/>
      <c r="C187" s="124"/>
      <c r="D187" s="120"/>
      <c r="E187" s="125"/>
      <c r="F187" s="120"/>
      <c r="G187" s="125"/>
      <c r="H187" s="125"/>
      <c r="I187" s="125"/>
      <c r="J187" s="120"/>
      <c r="K187" s="120"/>
      <c r="L187" s="120"/>
      <c r="M187" s="120"/>
      <c r="N187" s="121"/>
      <c r="O187" s="121"/>
      <c r="P187" s="121"/>
      <c r="Q187" s="121"/>
      <c r="R187" s="121"/>
      <c r="S187" s="121"/>
      <c r="T187" s="121"/>
      <c r="U187" s="121"/>
      <c r="V187" s="121"/>
    </row>
    <row r="188">
      <c r="A188" s="120"/>
      <c r="B188" s="123"/>
      <c r="C188" s="124"/>
      <c r="D188" s="120"/>
      <c r="E188" s="125"/>
      <c r="F188" s="120"/>
      <c r="G188" s="125"/>
      <c r="H188" s="125"/>
      <c r="I188" s="125"/>
      <c r="J188" s="120"/>
      <c r="K188" s="120"/>
      <c r="L188" s="120"/>
      <c r="M188" s="120"/>
      <c r="N188" s="121"/>
      <c r="O188" s="121"/>
      <c r="P188" s="121"/>
      <c r="Q188" s="121"/>
      <c r="R188" s="121"/>
      <c r="S188" s="121"/>
      <c r="T188" s="121"/>
      <c r="U188" s="121"/>
      <c r="V188" s="121"/>
    </row>
    <row r="189">
      <c r="A189" s="120"/>
      <c r="B189" s="123"/>
      <c r="C189" s="124"/>
      <c r="D189" s="120"/>
      <c r="E189" s="125"/>
      <c r="F189" s="120"/>
      <c r="G189" s="125"/>
      <c r="H189" s="125"/>
      <c r="I189" s="125"/>
      <c r="J189" s="120"/>
      <c r="K189" s="120"/>
      <c r="L189" s="120"/>
      <c r="M189" s="120"/>
      <c r="N189" s="121"/>
      <c r="O189" s="121"/>
      <c r="P189" s="121"/>
      <c r="Q189" s="121"/>
      <c r="R189" s="121"/>
      <c r="S189" s="121"/>
      <c r="T189" s="121"/>
      <c r="U189" s="121"/>
      <c r="V189" s="121"/>
    </row>
    <row r="190">
      <c r="A190" s="120"/>
      <c r="B190" s="123"/>
      <c r="C190" s="124"/>
      <c r="D190" s="120"/>
      <c r="E190" s="125"/>
      <c r="F190" s="120"/>
      <c r="G190" s="125"/>
      <c r="H190" s="125"/>
      <c r="I190" s="125"/>
      <c r="J190" s="120"/>
      <c r="K190" s="120"/>
      <c r="L190" s="120"/>
      <c r="M190" s="120"/>
      <c r="N190" s="121"/>
      <c r="O190" s="121"/>
      <c r="P190" s="121"/>
      <c r="Q190" s="121"/>
      <c r="R190" s="121"/>
      <c r="S190" s="121"/>
      <c r="T190" s="121"/>
      <c r="U190" s="121"/>
      <c r="V190" s="121"/>
    </row>
    <row r="191">
      <c r="A191" s="120"/>
      <c r="B191" s="123"/>
      <c r="C191" s="124"/>
      <c r="D191" s="120"/>
      <c r="E191" s="125"/>
      <c r="F191" s="120"/>
      <c r="G191" s="125"/>
      <c r="H191" s="125"/>
      <c r="I191" s="125"/>
      <c r="J191" s="120"/>
      <c r="K191" s="120"/>
      <c r="L191" s="120"/>
      <c r="M191" s="120"/>
      <c r="N191" s="121"/>
      <c r="O191" s="121"/>
      <c r="P191" s="121"/>
      <c r="Q191" s="121"/>
      <c r="R191" s="121"/>
      <c r="S191" s="121"/>
      <c r="T191" s="121"/>
      <c r="U191" s="121"/>
      <c r="V191" s="121"/>
    </row>
    <row r="192">
      <c r="A192" s="120"/>
      <c r="B192" s="123"/>
      <c r="C192" s="124"/>
      <c r="D192" s="120"/>
      <c r="E192" s="125"/>
      <c r="F192" s="120"/>
      <c r="G192" s="125"/>
      <c r="H192" s="125"/>
      <c r="I192" s="125"/>
      <c r="J192" s="120"/>
      <c r="K192" s="120"/>
      <c r="L192" s="120"/>
      <c r="M192" s="120"/>
      <c r="N192" s="121"/>
      <c r="O192" s="121"/>
      <c r="P192" s="121"/>
      <c r="Q192" s="121"/>
      <c r="R192" s="121"/>
      <c r="S192" s="121"/>
      <c r="T192" s="121"/>
      <c r="U192" s="121"/>
      <c r="V192" s="121"/>
    </row>
    <row r="193">
      <c r="A193" s="120"/>
      <c r="B193" s="123"/>
      <c r="C193" s="124"/>
      <c r="D193" s="120"/>
      <c r="E193" s="125"/>
      <c r="F193" s="120"/>
      <c r="G193" s="125"/>
      <c r="H193" s="125"/>
      <c r="I193" s="125"/>
      <c r="J193" s="120"/>
      <c r="K193" s="120"/>
      <c r="L193" s="120"/>
      <c r="M193" s="120"/>
      <c r="N193" s="121"/>
      <c r="O193" s="121"/>
      <c r="P193" s="121"/>
      <c r="Q193" s="121"/>
      <c r="R193" s="121"/>
      <c r="S193" s="121"/>
      <c r="T193" s="121"/>
      <c r="U193" s="121"/>
      <c r="V193" s="121"/>
    </row>
    <row r="194">
      <c r="A194" s="120"/>
      <c r="B194" s="123"/>
      <c r="C194" s="124"/>
      <c r="D194" s="120"/>
      <c r="E194" s="125"/>
      <c r="F194" s="120"/>
      <c r="G194" s="125"/>
      <c r="H194" s="125"/>
      <c r="I194" s="125"/>
      <c r="J194" s="120"/>
      <c r="K194" s="120"/>
      <c r="L194" s="120"/>
      <c r="M194" s="120"/>
      <c r="N194" s="121"/>
      <c r="O194" s="121"/>
      <c r="P194" s="121"/>
      <c r="Q194" s="121"/>
      <c r="R194" s="121"/>
      <c r="S194" s="121"/>
      <c r="T194" s="121"/>
      <c r="U194" s="121"/>
      <c r="V194" s="121"/>
    </row>
    <row r="195">
      <c r="A195" s="120"/>
      <c r="B195" s="123"/>
      <c r="C195" s="124"/>
      <c r="D195" s="120"/>
      <c r="E195" s="125"/>
      <c r="F195" s="120"/>
      <c r="G195" s="125"/>
      <c r="H195" s="125"/>
      <c r="I195" s="125"/>
      <c r="J195" s="120"/>
      <c r="K195" s="120"/>
      <c r="L195" s="120"/>
      <c r="M195" s="120"/>
      <c r="N195" s="121"/>
      <c r="O195" s="121"/>
      <c r="P195" s="121"/>
      <c r="Q195" s="121"/>
      <c r="R195" s="121"/>
      <c r="S195" s="121"/>
      <c r="T195" s="121"/>
      <c r="U195" s="121"/>
      <c r="V195" s="121"/>
    </row>
    <row r="196">
      <c r="A196" s="120"/>
      <c r="B196" s="123"/>
      <c r="C196" s="124"/>
      <c r="D196" s="120"/>
      <c r="E196" s="125"/>
      <c r="F196" s="120"/>
      <c r="G196" s="125"/>
      <c r="H196" s="125"/>
      <c r="I196" s="125"/>
      <c r="J196" s="120"/>
      <c r="K196" s="120"/>
      <c r="L196" s="120"/>
      <c r="M196" s="120"/>
      <c r="N196" s="121"/>
      <c r="O196" s="121"/>
      <c r="P196" s="121"/>
      <c r="Q196" s="121"/>
      <c r="R196" s="121"/>
      <c r="S196" s="121"/>
      <c r="T196" s="121"/>
      <c r="U196" s="121"/>
      <c r="V196" s="121"/>
    </row>
    <row r="197">
      <c r="A197" s="120"/>
      <c r="B197" s="123"/>
      <c r="C197" s="124"/>
      <c r="D197" s="120"/>
      <c r="E197" s="125"/>
      <c r="F197" s="120"/>
      <c r="G197" s="125"/>
      <c r="H197" s="125"/>
      <c r="I197" s="125"/>
      <c r="J197" s="120"/>
      <c r="K197" s="120"/>
      <c r="L197" s="120"/>
      <c r="M197" s="120"/>
      <c r="N197" s="121"/>
      <c r="O197" s="121"/>
      <c r="P197" s="121"/>
      <c r="Q197" s="121"/>
      <c r="R197" s="121"/>
      <c r="S197" s="121"/>
      <c r="T197" s="121"/>
      <c r="U197" s="121"/>
      <c r="V197" s="121"/>
    </row>
    <row r="198">
      <c r="A198" s="120"/>
      <c r="B198" s="123"/>
      <c r="C198" s="124"/>
      <c r="D198" s="120"/>
      <c r="E198" s="125"/>
      <c r="F198" s="120"/>
      <c r="G198" s="125"/>
      <c r="H198" s="125"/>
      <c r="I198" s="125"/>
      <c r="J198" s="120"/>
      <c r="K198" s="120"/>
      <c r="L198" s="120"/>
      <c r="M198" s="120"/>
      <c r="N198" s="121"/>
      <c r="O198" s="121"/>
      <c r="P198" s="121"/>
      <c r="Q198" s="121"/>
      <c r="R198" s="121"/>
      <c r="S198" s="121"/>
      <c r="T198" s="121"/>
      <c r="U198" s="121"/>
      <c r="V198" s="121"/>
    </row>
    <row r="199">
      <c r="A199" s="120"/>
      <c r="B199" s="123"/>
      <c r="C199" s="124"/>
      <c r="D199" s="120"/>
      <c r="E199" s="125"/>
      <c r="F199" s="120"/>
      <c r="G199" s="125"/>
      <c r="H199" s="125"/>
      <c r="I199" s="125"/>
      <c r="J199" s="120"/>
      <c r="K199" s="120"/>
      <c r="L199" s="120"/>
      <c r="M199" s="120"/>
      <c r="N199" s="121"/>
      <c r="O199" s="121"/>
      <c r="P199" s="121"/>
      <c r="Q199" s="121"/>
      <c r="R199" s="121"/>
      <c r="S199" s="121"/>
      <c r="T199" s="121"/>
      <c r="U199" s="121"/>
      <c r="V199" s="121"/>
    </row>
    <row r="200">
      <c r="A200" s="120"/>
      <c r="B200" s="123"/>
      <c r="C200" s="124"/>
      <c r="D200" s="120"/>
      <c r="E200" s="125"/>
      <c r="F200" s="120"/>
      <c r="G200" s="125"/>
      <c r="H200" s="125"/>
      <c r="I200" s="125"/>
      <c r="J200" s="120"/>
      <c r="K200" s="120"/>
      <c r="L200" s="120"/>
      <c r="M200" s="120"/>
      <c r="N200" s="121"/>
      <c r="O200" s="121"/>
      <c r="P200" s="121"/>
      <c r="Q200" s="121"/>
      <c r="R200" s="121"/>
      <c r="S200" s="121"/>
      <c r="T200" s="121"/>
      <c r="U200" s="121"/>
      <c r="V200" s="121"/>
    </row>
    <row r="201">
      <c r="A201" s="120"/>
      <c r="B201" s="123"/>
      <c r="C201" s="124"/>
      <c r="D201" s="120"/>
      <c r="E201" s="125"/>
      <c r="F201" s="120"/>
      <c r="G201" s="125"/>
      <c r="H201" s="125"/>
      <c r="I201" s="125"/>
      <c r="J201" s="120"/>
      <c r="K201" s="120"/>
      <c r="L201" s="120"/>
      <c r="M201" s="120"/>
      <c r="N201" s="121"/>
      <c r="O201" s="121"/>
      <c r="P201" s="121"/>
      <c r="Q201" s="121"/>
      <c r="R201" s="121"/>
      <c r="S201" s="121"/>
      <c r="T201" s="121"/>
      <c r="U201" s="121"/>
      <c r="V201" s="121"/>
    </row>
    <row r="202">
      <c r="A202" s="120"/>
      <c r="B202" s="123"/>
      <c r="C202" s="124"/>
      <c r="D202" s="120"/>
      <c r="E202" s="125"/>
      <c r="F202" s="120"/>
      <c r="G202" s="125"/>
      <c r="H202" s="125"/>
      <c r="I202" s="125"/>
      <c r="J202" s="120"/>
      <c r="K202" s="120"/>
      <c r="L202" s="120"/>
      <c r="M202" s="120"/>
      <c r="N202" s="121"/>
      <c r="O202" s="121"/>
      <c r="P202" s="121"/>
      <c r="Q202" s="121"/>
      <c r="R202" s="121"/>
      <c r="S202" s="121"/>
      <c r="T202" s="121"/>
      <c r="U202" s="121"/>
      <c r="V202" s="121"/>
    </row>
    <row r="203">
      <c r="A203" s="120"/>
      <c r="B203" s="123"/>
      <c r="C203" s="124"/>
      <c r="D203" s="120"/>
      <c r="E203" s="125"/>
      <c r="F203" s="120"/>
      <c r="G203" s="125"/>
      <c r="H203" s="125"/>
      <c r="I203" s="125"/>
      <c r="J203" s="120"/>
      <c r="K203" s="120"/>
      <c r="L203" s="120"/>
      <c r="M203" s="120"/>
      <c r="N203" s="121"/>
      <c r="O203" s="121"/>
      <c r="P203" s="121"/>
      <c r="Q203" s="121"/>
      <c r="R203" s="121"/>
      <c r="S203" s="121"/>
      <c r="T203" s="121"/>
      <c r="U203" s="121"/>
      <c r="V203" s="121"/>
    </row>
    <row r="204">
      <c r="A204" s="120"/>
      <c r="B204" s="123"/>
      <c r="C204" s="124"/>
      <c r="D204" s="120"/>
      <c r="E204" s="125"/>
      <c r="F204" s="120"/>
      <c r="G204" s="125"/>
      <c r="H204" s="125"/>
      <c r="I204" s="125"/>
      <c r="J204" s="120"/>
      <c r="K204" s="120"/>
      <c r="L204" s="120"/>
      <c r="M204" s="120"/>
      <c r="N204" s="121"/>
      <c r="O204" s="121"/>
      <c r="P204" s="121"/>
      <c r="Q204" s="121"/>
      <c r="R204" s="121"/>
      <c r="S204" s="121"/>
      <c r="T204" s="121"/>
      <c r="U204" s="121"/>
      <c r="V204" s="121"/>
    </row>
    <row r="205">
      <c r="A205" s="120"/>
      <c r="B205" s="123"/>
      <c r="C205" s="124"/>
      <c r="D205" s="120"/>
      <c r="E205" s="125"/>
      <c r="F205" s="120"/>
      <c r="G205" s="125"/>
      <c r="H205" s="125"/>
      <c r="I205" s="125"/>
      <c r="J205" s="120"/>
      <c r="K205" s="120"/>
      <c r="L205" s="120"/>
      <c r="M205" s="120"/>
      <c r="N205" s="121"/>
      <c r="O205" s="121"/>
      <c r="P205" s="121"/>
      <c r="Q205" s="121"/>
      <c r="R205" s="121"/>
      <c r="S205" s="121"/>
      <c r="T205" s="121"/>
      <c r="U205" s="121"/>
      <c r="V205" s="121"/>
    </row>
    <row r="206">
      <c r="A206" s="120"/>
      <c r="B206" s="123"/>
      <c r="C206" s="124"/>
      <c r="D206" s="120"/>
      <c r="E206" s="125"/>
      <c r="F206" s="120"/>
      <c r="G206" s="125"/>
      <c r="H206" s="125"/>
      <c r="I206" s="125"/>
      <c r="J206" s="120"/>
      <c r="K206" s="120"/>
      <c r="L206" s="120"/>
      <c r="M206" s="120"/>
      <c r="N206" s="121"/>
      <c r="O206" s="121"/>
      <c r="P206" s="121"/>
      <c r="Q206" s="121"/>
      <c r="R206" s="121"/>
      <c r="S206" s="121"/>
      <c r="T206" s="121"/>
      <c r="U206" s="121"/>
      <c r="V206" s="121"/>
    </row>
    <row r="207">
      <c r="A207" s="120"/>
      <c r="B207" s="123"/>
      <c r="C207" s="124"/>
      <c r="D207" s="120"/>
      <c r="E207" s="125"/>
      <c r="F207" s="120"/>
      <c r="G207" s="125"/>
      <c r="H207" s="125"/>
      <c r="I207" s="125"/>
      <c r="J207" s="120"/>
      <c r="K207" s="120"/>
      <c r="L207" s="120"/>
      <c r="M207" s="120"/>
      <c r="N207" s="121"/>
      <c r="O207" s="121"/>
      <c r="P207" s="121"/>
      <c r="Q207" s="121"/>
      <c r="R207" s="121"/>
      <c r="S207" s="121"/>
      <c r="T207" s="121"/>
      <c r="U207" s="121"/>
      <c r="V207" s="121"/>
    </row>
    <row r="208">
      <c r="A208" s="120"/>
      <c r="B208" s="123"/>
      <c r="C208" s="124"/>
      <c r="D208" s="120"/>
      <c r="E208" s="125"/>
      <c r="F208" s="120"/>
      <c r="G208" s="125"/>
      <c r="H208" s="125"/>
      <c r="I208" s="125"/>
      <c r="J208" s="120"/>
      <c r="K208" s="120"/>
      <c r="L208" s="120"/>
      <c r="M208" s="120"/>
      <c r="N208" s="121"/>
      <c r="O208" s="121"/>
      <c r="P208" s="121"/>
      <c r="Q208" s="121"/>
      <c r="R208" s="121"/>
      <c r="S208" s="121"/>
      <c r="T208" s="121"/>
      <c r="U208" s="121"/>
      <c r="V208" s="121"/>
    </row>
    <row r="209">
      <c r="A209" s="120"/>
      <c r="B209" s="123"/>
      <c r="C209" s="124"/>
      <c r="D209" s="120"/>
      <c r="E209" s="125"/>
      <c r="F209" s="120"/>
      <c r="G209" s="125"/>
      <c r="H209" s="125"/>
      <c r="I209" s="125"/>
      <c r="J209" s="120"/>
      <c r="K209" s="120"/>
      <c r="L209" s="120"/>
      <c r="M209" s="120"/>
      <c r="N209" s="121"/>
      <c r="O209" s="121"/>
      <c r="P209" s="121"/>
      <c r="Q209" s="121"/>
      <c r="R209" s="121"/>
      <c r="S209" s="121"/>
      <c r="T209" s="121"/>
      <c r="U209" s="121"/>
      <c r="V209" s="121"/>
    </row>
    <row r="210">
      <c r="A210" s="120"/>
      <c r="B210" s="123"/>
      <c r="C210" s="124"/>
      <c r="D210" s="120"/>
      <c r="E210" s="125"/>
      <c r="F210" s="120"/>
      <c r="G210" s="125"/>
      <c r="H210" s="125"/>
      <c r="I210" s="125"/>
      <c r="J210" s="120"/>
      <c r="K210" s="120"/>
      <c r="L210" s="120"/>
      <c r="M210" s="120"/>
      <c r="N210" s="121"/>
      <c r="O210" s="121"/>
      <c r="P210" s="121"/>
      <c r="Q210" s="121"/>
      <c r="R210" s="121"/>
      <c r="S210" s="121"/>
      <c r="T210" s="121"/>
      <c r="U210" s="121"/>
      <c r="V210" s="121"/>
    </row>
    <row r="211">
      <c r="A211" s="120"/>
      <c r="B211" s="123"/>
      <c r="C211" s="124"/>
      <c r="D211" s="120"/>
      <c r="E211" s="125"/>
      <c r="F211" s="120"/>
      <c r="G211" s="125"/>
      <c r="H211" s="125"/>
      <c r="I211" s="125"/>
      <c r="J211" s="120"/>
      <c r="K211" s="120"/>
      <c r="L211" s="120"/>
      <c r="M211" s="120"/>
      <c r="N211" s="121"/>
      <c r="O211" s="121"/>
      <c r="P211" s="121"/>
      <c r="Q211" s="121"/>
      <c r="R211" s="121"/>
      <c r="S211" s="121"/>
      <c r="T211" s="121"/>
      <c r="U211" s="121"/>
      <c r="V211" s="121"/>
    </row>
    <row r="212">
      <c r="A212" s="120"/>
      <c r="B212" s="123"/>
      <c r="C212" s="124"/>
      <c r="D212" s="120"/>
      <c r="E212" s="125"/>
      <c r="F212" s="120"/>
      <c r="G212" s="125"/>
      <c r="H212" s="125"/>
      <c r="I212" s="125"/>
      <c r="J212" s="120"/>
      <c r="K212" s="120"/>
      <c r="L212" s="120"/>
      <c r="M212" s="120"/>
      <c r="N212" s="121"/>
      <c r="O212" s="121"/>
      <c r="P212" s="121"/>
      <c r="Q212" s="121"/>
      <c r="R212" s="121"/>
      <c r="S212" s="121"/>
      <c r="T212" s="121"/>
      <c r="U212" s="121"/>
      <c r="V212" s="121"/>
    </row>
    <row r="213">
      <c r="A213" s="120"/>
      <c r="B213" s="123"/>
      <c r="C213" s="124"/>
      <c r="D213" s="120"/>
      <c r="E213" s="125"/>
      <c r="F213" s="120"/>
      <c r="G213" s="125"/>
      <c r="H213" s="125"/>
      <c r="I213" s="125"/>
      <c r="J213" s="120"/>
      <c r="K213" s="120"/>
      <c r="L213" s="120"/>
      <c r="M213" s="120"/>
      <c r="N213" s="121"/>
      <c r="O213" s="121"/>
      <c r="P213" s="121"/>
      <c r="Q213" s="121"/>
      <c r="R213" s="121"/>
      <c r="S213" s="121"/>
      <c r="T213" s="121"/>
      <c r="U213" s="121"/>
      <c r="V213" s="121"/>
    </row>
    <row r="214">
      <c r="A214" s="120"/>
      <c r="B214" s="123"/>
      <c r="C214" s="124"/>
      <c r="D214" s="120"/>
      <c r="E214" s="125"/>
      <c r="F214" s="120"/>
      <c r="G214" s="125"/>
      <c r="H214" s="125"/>
      <c r="I214" s="125"/>
      <c r="J214" s="120"/>
      <c r="K214" s="120"/>
      <c r="L214" s="120"/>
      <c r="M214" s="120"/>
      <c r="N214" s="121"/>
      <c r="O214" s="121"/>
      <c r="P214" s="121"/>
      <c r="Q214" s="121"/>
      <c r="R214" s="121"/>
      <c r="S214" s="121"/>
      <c r="T214" s="121"/>
      <c r="U214" s="121"/>
      <c r="V214" s="121"/>
    </row>
    <row r="215">
      <c r="A215" s="120"/>
      <c r="B215" s="123"/>
      <c r="C215" s="124"/>
      <c r="D215" s="120"/>
      <c r="E215" s="125"/>
      <c r="F215" s="120"/>
      <c r="G215" s="125"/>
      <c r="H215" s="125"/>
      <c r="I215" s="125"/>
      <c r="J215" s="120"/>
      <c r="K215" s="120"/>
      <c r="L215" s="120"/>
      <c r="M215" s="120"/>
      <c r="N215" s="121"/>
      <c r="O215" s="121"/>
      <c r="P215" s="121"/>
      <c r="Q215" s="121"/>
      <c r="R215" s="121"/>
      <c r="S215" s="121"/>
      <c r="T215" s="121"/>
      <c r="U215" s="121"/>
      <c r="V215" s="121"/>
    </row>
    <row r="216">
      <c r="A216" s="120"/>
      <c r="B216" s="123"/>
      <c r="C216" s="124"/>
      <c r="D216" s="120"/>
      <c r="E216" s="125"/>
      <c r="F216" s="120"/>
      <c r="G216" s="125"/>
      <c r="H216" s="125"/>
      <c r="I216" s="125"/>
      <c r="J216" s="120"/>
      <c r="K216" s="120"/>
      <c r="L216" s="120"/>
      <c r="M216" s="120"/>
      <c r="N216" s="121"/>
      <c r="O216" s="121"/>
      <c r="P216" s="121"/>
      <c r="Q216" s="121"/>
      <c r="R216" s="121"/>
      <c r="S216" s="121"/>
      <c r="T216" s="121"/>
      <c r="U216" s="121"/>
      <c r="V216" s="121"/>
    </row>
    <row r="217">
      <c r="A217" s="120"/>
      <c r="B217" s="123"/>
      <c r="C217" s="124"/>
      <c r="D217" s="120"/>
      <c r="E217" s="125"/>
      <c r="F217" s="120"/>
      <c r="G217" s="125"/>
      <c r="H217" s="125"/>
      <c r="I217" s="125"/>
      <c r="J217" s="120"/>
      <c r="K217" s="120"/>
      <c r="L217" s="120"/>
      <c r="M217" s="120"/>
      <c r="N217" s="121"/>
      <c r="O217" s="121"/>
      <c r="P217" s="121"/>
      <c r="Q217" s="121"/>
      <c r="R217" s="121"/>
      <c r="S217" s="121"/>
      <c r="T217" s="121"/>
      <c r="U217" s="121"/>
      <c r="V217" s="121"/>
    </row>
    <row r="218">
      <c r="A218" s="120"/>
      <c r="B218" s="123"/>
      <c r="C218" s="124"/>
      <c r="D218" s="120"/>
      <c r="E218" s="125"/>
      <c r="F218" s="120"/>
      <c r="G218" s="125"/>
      <c r="H218" s="125"/>
      <c r="I218" s="125"/>
      <c r="J218" s="120"/>
      <c r="K218" s="120"/>
      <c r="L218" s="120"/>
      <c r="M218" s="120"/>
      <c r="N218" s="121"/>
      <c r="O218" s="121"/>
      <c r="P218" s="121"/>
      <c r="Q218" s="121"/>
      <c r="R218" s="121"/>
      <c r="S218" s="121"/>
      <c r="T218" s="121"/>
      <c r="U218" s="121"/>
      <c r="V218" s="121"/>
    </row>
    <row r="219">
      <c r="A219" s="120"/>
      <c r="B219" s="123"/>
      <c r="C219" s="124"/>
      <c r="D219" s="120"/>
      <c r="E219" s="122"/>
      <c r="F219" s="120"/>
      <c r="G219" s="122"/>
      <c r="H219" s="122"/>
      <c r="I219" s="122"/>
      <c r="J219" s="120"/>
      <c r="K219" s="120"/>
      <c r="L219" s="120"/>
      <c r="M219" s="120"/>
      <c r="N219" s="121"/>
      <c r="O219" s="121"/>
      <c r="P219" s="121"/>
      <c r="Q219" s="121"/>
      <c r="R219" s="121"/>
      <c r="S219" s="121"/>
      <c r="T219" s="121"/>
      <c r="U219" s="121"/>
      <c r="V219" s="121"/>
    </row>
    <row r="220">
      <c r="A220" s="120"/>
      <c r="B220" s="123"/>
      <c r="C220" s="124"/>
      <c r="D220" s="120"/>
      <c r="E220" s="122"/>
      <c r="F220" s="120"/>
      <c r="G220" s="122"/>
      <c r="H220" s="122"/>
      <c r="I220" s="122"/>
      <c r="J220" s="120"/>
      <c r="K220" s="120"/>
      <c r="L220" s="120"/>
      <c r="M220" s="120"/>
      <c r="N220" s="121"/>
      <c r="O220" s="121"/>
      <c r="P220" s="121"/>
      <c r="Q220" s="121"/>
      <c r="R220" s="121"/>
      <c r="S220" s="121"/>
      <c r="T220" s="121"/>
      <c r="U220" s="121"/>
      <c r="V220" s="121"/>
    </row>
    <row r="221">
      <c r="A221" s="120"/>
      <c r="B221" s="123"/>
      <c r="C221" s="124"/>
      <c r="D221" s="120"/>
      <c r="E221" s="122"/>
      <c r="F221" s="120"/>
      <c r="G221" s="122"/>
      <c r="H221" s="122"/>
      <c r="I221" s="122"/>
      <c r="J221" s="120"/>
      <c r="K221" s="120"/>
      <c r="L221" s="120"/>
      <c r="M221" s="120"/>
      <c r="N221" s="121"/>
      <c r="O221" s="121"/>
      <c r="P221" s="121"/>
      <c r="Q221" s="121"/>
      <c r="R221" s="121"/>
      <c r="S221" s="121"/>
      <c r="T221" s="121"/>
      <c r="U221" s="121"/>
      <c r="V221" s="121"/>
    </row>
    <row r="222">
      <c r="A222" s="120"/>
      <c r="B222" s="123"/>
      <c r="C222" s="124"/>
      <c r="D222" s="120"/>
      <c r="E222" s="122"/>
      <c r="F222" s="120"/>
      <c r="G222" s="122"/>
      <c r="H222" s="122"/>
      <c r="I222" s="122"/>
      <c r="J222" s="120"/>
      <c r="K222" s="120"/>
      <c r="L222" s="120"/>
      <c r="M222" s="120"/>
      <c r="N222" s="121"/>
      <c r="O222" s="121"/>
      <c r="P222" s="121"/>
      <c r="Q222" s="121"/>
      <c r="R222" s="121"/>
      <c r="S222" s="121"/>
      <c r="T222" s="121"/>
      <c r="U222" s="121"/>
      <c r="V222" s="121"/>
    </row>
    <row r="223">
      <c r="A223" s="120"/>
      <c r="B223" s="123"/>
      <c r="C223" s="124"/>
      <c r="D223" s="120"/>
      <c r="E223" s="122"/>
      <c r="F223" s="120"/>
      <c r="G223" s="122"/>
      <c r="H223" s="122"/>
      <c r="I223" s="122"/>
      <c r="J223" s="120"/>
      <c r="K223" s="120"/>
      <c r="L223" s="120"/>
      <c r="M223" s="120"/>
      <c r="N223" s="121"/>
      <c r="O223" s="121"/>
      <c r="P223" s="121"/>
      <c r="Q223" s="121"/>
      <c r="R223" s="121"/>
      <c r="S223" s="121"/>
      <c r="T223" s="121"/>
      <c r="U223" s="121"/>
      <c r="V223" s="121"/>
    </row>
    <row r="224">
      <c r="A224" s="120"/>
      <c r="B224" s="123"/>
      <c r="C224" s="124"/>
      <c r="D224" s="120"/>
      <c r="E224" s="122"/>
      <c r="F224" s="120"/>
      <c r="G224" s="122"/>
      <c r="H224" s="122"/>
      <c r="I224" s="122"/>
      <c r="J224" s="120"/>
      <c r="K224" s="120"/>
      <c r="L224" s="120"/>
      <c r="M224" s="120"/>
      <c r="N224" s="121"/>
      <c r="O224" s="121"/>
      <c r="P224" s="121"/>
      <c r="Q224" s="121"/>
      <c r="R224" s="121"/>
      <c r="S224" s="121"/>
      <c r="T224" s="121"/>
      <c r="U224" s="121"/>
      <c r="V224" s="121"/>
    </row>
    <row r="225">
      <c r="A225" s="120"/>
      <c r="B225" s="123"/>
      <c r="C225" s="124"/>
      <c r="D225" s="120"/>
      <c r="E225" s="122"/>
      <c r="F225" s="120"/>
      <c r="G225" s="122"/>
      <c r="H225" s="122"/>
      <c r="I225" s="122"/>
      <c r="J225" s="120"/>
      <c r="K225" s="120"/>
      <c r="L225" s="120"/>
      <c r="M225" s="120"/>
      <c r="N225" s="121"/>
      <c r="O225" s="121"/>
      <c r="P225" s="121"/>
      <c r="Q225" s="121"/>
      <c r="R225" s="121"/>
      <c r="S225" s="121"/>
      <c r="T225" s="121"/>
      <c r="U225" s="121"/>
      <c r="V225" s="121"/>
    </row>
    <row r="226">
      <c r="A226" s="120"/>
      <c r="B226" s="123"/>
      <c r="C226" s="124"/>
      <c r="D226" s="120"/>
      <c r="E226" s="122"/>
      <c r="F226" s="120"/>
      <c r="G226" s="122"/>
      <c r="H226" s="122"/>
      <c r="I226" s="122"/>
      <c r="J226" s="120"/>
      <c r="K226" s="120"/>
      <c r="L226" s="120"/>
      <c r="M226" s="120"/>
      <c r="N226" s="121"/>
      <c r="O226" s="121"/>
      <c r="P226" s="121"/>
      <c r="Q226" s="121"/>
      <c r="R226" s="121"/>
      <c r="S226" s="121"/>
      <c r="T226" s="121"/>
      <c r="U226" s="121"/>
      <c r="V226" s="121"/>
    </row>
    <row r="227">
      <c r="A227" s="120"/>
      <c r="B227" s="123"/>
      <c r="C227" s="124"/>
      <c r="D227" s="120"/>
      <c r="E227" s="122"/>
      <c r="F227" s="120"/>
      <c r="G227" s="122"/>
      <c r="H227" s="122"/>
      <c r="I227" s="122"/>
      <c r="J227" s="120"/>
      <c r="K227" s="120"/>
      <c r="L227" s="120"/>
      <c r="M227" s="120"/>
      <c r="N227" s="121"/>
      <c r="O227" s="121"/>
      <c r="P227" s="121"/>
      <c r="Q227" s="121"/>
      <c r="R227" s="121"/>
      <c r="S227" s="121"/>
      <c r="T227" s="121"/>
      <c r="U227" s="121"/>
      <c r="V227" s="121"/>
    </row>
    <row r="228">
      <c r="A228" s="120"/>
      <c r="B228" s="123"/>
      <c r="C228" s="124"/>
      <c r="D228" s="120"/>
      <c r="E228" s="122"/>
      <c r="F228" s="120"/>
      <c r="G228" s="122"/>
      <c r="H228" s="122"/>
      <c r="I228" s="122"/>
      <c r="J228" s="120"/>
      <c r="K228" s="120"/>
      <c r="L228" s="120"/>
      <c r="M228" s="120"/>
      <c r="N228" s="121"/>
      <c r="O228" s="121"/>
      <c r="P228" s="121"/>
      <c r="Q228" s="121"/>
      <c r="R228" s="121"/>
      <c r="S228" s="121"/>
      <c r="T228" s="121"/>
      <c r="U228" s="121"/>
      <c r="V228" s="121"/>
    </row>
    <row r="229">
      <c r="A229" s="120"/>
      <c r="B229" s="123"/>
      <c r="C229" s="124"/>
      <c r="D229" s="120"/>
      <c r="E229" s="122"/>
      <c r="F229" s="120"/>
      <c r="G229" s="122"/>
      <c r="H229" s="122"/>
      <c r="I229" s="122"/>
      <c r="J229" s="120"/>
      <c r="K229" s="120"/>
      <c r="L229" s="120"/>
      <c r="M229" s="120"/>
      <c r="N229" s="121"/>
      <c r="O229" s="121"/>
      <c r="P229" s="121"/>
      <c r="Q229" s="121"/>
      <c r="R229" s="121"/>
      <c r="S229" s="121"/>
      <c r="T229" s="121"/>
      <c r="U229" s="121"/>
      <c r="V229" s="121"/>
    </row>
    <row r="230">
      <c r="A230" s="120"/>
      <c r="B230" s="123"/>
      <c r="C230" s="124"/>
      <c r="D230" s="120"/>
      <c r="E230" s="122"/>
      <c r="F230" s="120"/>
      <c r="G230" s="122"/>
      <c r="H230" s="122"/>
      <c r="I230" s="122"/>
      <c r="J230" s="120"/>
      <c r="K230" s="120"/>
      <c r="L230" s="120"/>
      <c r="M230" s="120"/>
      <c r="N230" s="121"/>
      <c r="O230" s="121"/>
      <c r="P230" s="121"/>
      <c r="Q230" s="121"/>
      <c r="R230" s="121"/>
      <c r="S230" s="121"/>
      <c r="T230" s="121"/>
      <c r="U230" s="121"/>
      <c r="V230" s="121"/>
    </row>
    <row r="231">
      <c r="A231" s="120"/>
      <c r="B231" s="123"/>
      <c r="C231" s="124"/>
      <c r="D231" s="120"/>
      <c r="E231" s="122"/>
      <c r="F231" s="120"/>
      <c r="G231" s="122"/>
      <c r="H231" s="122"/>
      <c r="I231" s="122"/>
      <c r="J231" s="120"/>
      <c r="K231" s="120"/>
      <c r="L231" s="120"/>
      <c r="M231" s="120"/>
      <c r="N231" s="121"/>
      <c r="O231" s="121"/>
      <c r="P231" s="121"/>
      <c r="Q231" s="121"/>
      <c r="R231" s="121"/>
      <c r="S231" s="121"/>
      <c r="T231" s="121"/>
      <c r="U231" s="121"/>
      <c r="V231" s="121"/>
    </row>
    <row r="232">
      <c r="A232" s="120"/>
      <c r="B232" s="123"/>
      <c r="C232" s="124"/>
      <c r="D232" s="120"/>
      <c r="E232" s="122"/>
      <c r="F232" s="120"/>
      <c r="G232" s="122"/>
      <c r="H232" s="122"/>
      <c r="I232" s="122"/>
      <c r="J232" s="120"/>
      <c r="K232" s="120"/>
      <c r="L232" s="120"/>
      <c r="M232" s="120"/>
      <c r="N232" s="121"/>
      <c r="O232" s="121"/>
      <c r="P232" s="121"/>
      <c r="Q232" s="121"/>
      <c r="R232" s="121"/>
      <c r="S232" s="121"/>
      <c r="T232" s="121"/>
      <c r="U232" s="121"/>
      <c r="V232" s="121"/>
    </row>
    <row r="233">
      <c r="A233" s="120"/>
      <c r="B233" s="123"/>
      <c r="C233" s="124"/>
      <c r="D233" s="120"/>
      <c r="E233" s="122"/>
      <c r="F233" s="120"/>
      <c r="G233" s="122"/>
      <c r="H233" s="122"/>
      <c r="I233" s="122"/>
      <c r="J233" s="120"/>
      <c r="K233" s="120"/>
      <c r="L233" s="120"/>
      <c r="M233" s="120"/>
      <c r="N233" s="121"/>
      <c r="O233" s="121"/>
      <c r="P233" s="121"/>
      <c r="Q233" s="121"/>
      <c r="R233" s="121"/>
      <c r="S233" s="121"/>
      <c r="T233" s="121"/>
      <c r="U233" s="121"/>
      <c r="V233" s="121"/>
    </row>
    <row r="234">
      <c r="A234" s="120"/>
      <c r="B234" s="123"/>
      <c r="C234" s="124"/>
      <c r="D234" s="120"/>
      <c r="E234" s="122"/>
      <c r="F234" s="120"/>
      <c r="G234" s="122"/>
      <c r="H234" s="122"/>
      <c r="I234" s="122"/>
      <c r="J234" s="120"/>
      <c r="K234" s="120"/>
      <c r="L234" s="120"/>
      <c r="M234" s="120"/>
      <c r="N234" s="121"/>
      <c r="O234" s="121"/>
      <c r="P234" s="121"/>
      <c r="Q234" s="121"/>
      <c r="R234" s="121"/>
      <c r="S234" s="121"/>
      <c r="T234" s="121"/>
      <c r="U234" s="121"/>
      <c r="V234" s="121"/>
    </row>
    <row r="235">
      <c r="A235" s="120"/>
      <c r="B235" s="123"/>
      <c r="C235" s="124"/>
      <c r="D235" s="120"/>
      <c r="E235" s="122"/>
      <c r="F235" s="120"/>
      <c r="G235" s="122"/>
      <c r="H235" s="122"/>
      <c r="I235" s="122"/>
      <c r="J235" s="120"/>
      <c r="K235" s="120"/>
      <c r="L235" s="120"/>
      <c r="M235" s="120"/>
      <c r="N235" s="121"/>
      <c r="O235" s="121"/>
      <c r="P235" s="121"/>
      <c r="Q235" s="121"/>
      <c r="R235" s="121"/>
      <c r="S235" s="121"/>
      <c r="T235" s="121"/>
      <c r="U235" s="121"/>
      <c r="V235" s="121"/>
    </row>
    <row r="236">
      <c r="A236" s="120"/>
      <c r="B236" s="123"/>
      <c r="C236" s="124"/>
      <c r="D236" s="120"/>
      <c r="E236" s="122"/>
      <c r="F236" s="120"/>
      <c r="G236" s="122"/>
      <c r="H236" s="122"/>
      <c r="I236" s="122"/>
      <c r="J236" s="120"/>
      <c r="K236" s="120"/>
      <c r="L236" s="120"/>
      <c r="M236" s="120"/>
      <c r="N236" s="121"/>
      <c r="O236" s="121"/>
      <c r="P236" s="121"/>
      <c r="Q236" s="121"/>
      <c r="R236" s="121"/>
      <c r="S236" s="121"/>
      <c r="T236" s="121"/>
      <c r="U236" s="121"/>
      <c r="V236" s="121"/>
    </row>
    <row r="237">
      <c r="A237" s="120"/>
      <c r="B237" s="123"/>
      <c r="C237" s="124"/>
      <c r="D237" s="120"/>
      <c r="E237" s="125"/>
      <c r="F237" s="120"/>
      <c r="G237" s="125"/>
      <c r="H237" s="125"/>
      <c r="I237" s="125"/>
      <c r="J237" s="120"/>
      <c r="K237" s="120"/>
      <c r="L237" s="120"/>
      <c r="M237" s="120"/>
      <c r="N237" s="121"/>
      <c r="O237" s="121"/>
      <c r="P237" s="121"/>
      <c r="Q237" s="121"/>
      <c r="R237" s="121"/>
      <c r="S237" s="121"/>
      <c r="T237" s="121"/>
      <c r="U237" s="121"/>
      <c r="V237" s="121"/>
    </row>
    <row r="238">
      <c r="A238" s="120"/>
      <c r="B238" s="123"/>
      <c r="C238" s="124"/>
      <c r="D238" s="120"/>
      <c r="E238" s="125"/>
      <c r="F238" s="120"/>
      <c r="G238" s="125"/>
      <c r="H238" s="125"/>
      <c r="I238" s="125"/>
      <c r="J238" s="120"/>
      <c r="K238" s="120"/>
      <c r="L238" s="120"/>
      <c r="M238" s="120"/>
      <c r="N238" s="121"/>
      <c r="O238" s="121"/>
      <c r="P238" s="121"/>
      <c r="Q238" s="121"/>
      <c r="R238" s="121"/>
      <c r="S238" s="121"/>
      <c r="T238" s="121"/>
      <c r="U238" s="121"/>
      <c r="V238" s="121"/>
    </row>
    <row r="239">
      <c r="A239" s="120"/>
      <c r="B239" s="123"/>
      <c r="C239" s="124"/>
      <c r="D239" s="120"/>
      <c r="E239" s="125"/>
      <c r="F239" s="120"/>
      <c r="G239" s="125"/>
      <c r="H239" s="125"/>
      <c r="I239" s="125"/>
      <c r="J239" s="120"/>
      <c r="K239" s="120"/>
      <c r="L239" s="120"/>
      <c r="M239" s="120"/>
      <c r="N239" s="121"/>
      <c r="O239" s="121"/>
      <c r="P239" s="121"/>
      <c r="Q239" s="121"/>
      <c r="R239" s="121"/>
      <c r="S239" s="121"/>
      <c r="T239" s="121"/>
      <c r="U239" s="121"/>
      <c r="V239" s="121"/>
    </row>
    <row r="240">
      <c r="A240" s="120"/>
      <c r="B240" s="123"/>
      <c r="C240" s="124"/>
      <c r="D240" s="120"/>
      <c r="E240" s="125"/>
      <c r="F240" s="120"/>
      <c r="G240" s="125"/>
      <c r="H240" s="125"/>
      <c r="I240" s="125"/>
      <c r="J240" s="120"/>
      <c r="K240" s="120"/>
      <c r="L240" s="120"/>
      <c r="M240" s="120"/>
      <c r="N240" s="121"/>
      <c r="O240" s="121"/>
      <c r="P240" s="121"/>
      <c r="Q240" s="121"/>
      <c r="R240" s="121"/>
      <c r="S240" s="121"/>
      <c r="T240" s="121"/>
      <c r="U240" s="121"/>
      <c r="V240" s="121"/>
    </row>
    <row r="241">
      <c r="A241" s="120"/>
      <c r="B241" s="123"/>
      <c r="C241" s="124"/>
      <c r="D241" s="120"/>
      <c r="E241" s="125"/>
      <c r="F241" s="120"/>
      <c r="G241" s="125"/>
      <c r="H241" s="125"/>
      <c r="I241" s="125"/>
      <c r="J241" s="120"/>
      <c r="K241" s="120"/>
      <c r="L241" s="120"/>
      <c r="M241" s="120"/>
      <c r="N241" s="121"/>
      <c r="O241" s="121"/>
      <c r="P241" s="121"/>
      <c r="Q241" s="121"/>
      <c r="R241" s="121"/>
      <c r="S241" s="121"/>
      <c r="T241" s="121"/>
      <c r="U241" s="121"/>
      <c r="V241" s="121"/>
    </row>
    <row r="242">
      <c r="A242" s="120"/>
      <c r="B242" s="123"/>
      <c r="C242" s="124"/>
      <c r="D242" s="120"/>
      <c r="E242" s="125"/>
      <c r="F242" s="120"/>
      <c r="G242" s="125"/>
      <c r="H242" s="125"/>
      <c r="I242" s="125"/>
      <c r="J242" s="120"/>
      <c r="K242" s="120"/>
      <c r="L242" s="120"/>
      <c r="M242" s="120"/>
      <c r="N242" s="121"/>
      <c r="O242" s="121"/>
      <c r="P242" s="121"/>
      <c r="Q242" s="121"/>
      <c r="R242" s="121"/>
      <c r="S242" s="121"/>
      <c r="T242" s="121"/>
      <c r="U242" s="121"/>
      <c r="V242" s="121"/>
    </row>
    <row r="243">
      <c r="A243" s="120"/>
      <c r="B243" s="123"/>
      <c r="C243" s="124"/>
      <c r="D243" s="120"/>
      <c r="E243" s="125"/>
      <c r="F243" s="120"/>
      <c r="G243" s="125"/>
      <c r="H243" s="125"/>
      <c r="I243" s="125"/>
      <c r="J243" s="120"/>
      <c r="K243" s="120"/>
      <c r="L243" s="120"/>
      <c r="M243" s="120"/>
      <c r="N243" s="121"/>
      <c r="O243" s="121"/>
      <c r="P243" s="121"/>
      <c r="Q243" s="121"/>
      <c r="R243" s="121"/>
      <c r="S243" s="121"/>
      <c r="T243" s="121"/>
      <c r="U243" s="121"/>
      <c r="V243" s="121"/>
    </row>
    <row r="244">
      <c r="A244" s="120"/>
      <c r="B244" s="123"/>
      <c r="C244" s="124"/>
      <c r="D244" s="120"/>
      <c r="E244" s="125"/>
      <c r="F244" s="120"/>
      <c r="G244" s="125"/>
      <c r="H244" s="125"/>
      <c r="I244" s="125"/>
      <c r="J244" s="120"/>
      <c r="K244" s="120"/>
      <c r="L244" s="120"/>
      <c r="M244" s="120"/>
      <c r="N244" s="121"/>
      <c r="O244" s="121"/>
      <c r="P244" s="121"/>
      <c r="Q244" s="121"/>
      <c r="R244" s="121"/>
      <c r="S244" s="121"/>
      <c r="T244" s="121"/>
      <c r="U244" s="121"/>
      <c r="V244" s="121"/>
    </row>
    <row r="245">
      <c r="A245" s="120"/>
      <c r="B245" s="123"/>
      <c r="C245" s="124"/>
      <c r="D245" s="120"/>
      <c r="E245" s="125"/>
      <c r="F245" s="120"/>
      <c r="G245" s="125"/>
      <c r="H245" s="125"/>
      <c r="I245" s="125"/>
      <c r="J245" s="120"/>
      <c r="K245" s="120"/>
      <c r="L245" s="120"/>
      <c r="M245" s="120"/>
      <c r="N245" s="121"/>
      <c r="O245" s="121"/>
      <c r="P245" s="121"/>
      <c r="Q245" s="121"/>
      <c r="R245" s="121"/>
      <c r="S245" s="121"/>
      <c r="T245" s="121"/>
      <c r="U245" s="121"/>
      <c r="V245" s="121"/>
    </row>
    <row r="246">
      <c r="A246" s="120"/>
      <c r="B246" s="123"/>
      <c r="C246" s="124"/>
      <c r="D246" s="120"/>
      <c r="E246" s="125"/>
      <c r="F246" s="120"/>
      <c r="G246" s="125"/>
      <c r="H246" s="125"/>
      <c r="I246" s="125"/>
      <c r="J246" s="120"/>
      <c r="K246" s="120"/>
      <c r="L246" s="120"/>
      <c r="M246" s="120"/>
      <c r="N246" s="121"/>
      <c r="O246" s="121"/>
      <c r="P246" s="121"/>
      <c r="Q246" s="121"/>
      <c r="R246" s="121"/>
      <c r="S246" s="121"/>
      <c r="T246" s="121"/>
      <c r="U246" s="121"/>
      <c r="V246" s="121"/>
    </row>
    <row r="247">
      <c r="A247" s="120"/>
      <c r="B247" s="123"/>
      <c r="C247" s="124"/>
      <c r="D247" s="120"/>
      <c r="E247" s="125"/>
      <c r="F247" s="120"/>
      <c r="G247" s="125"/>
      <c r="H247" s="125"/>
      <c r="I247" s="125"/>
      <c r="J247" s="120"/>
      <c r="K247" s="120"/>
      <c r="L247" s="120"/>
      <c r="M247" s="120"/>
      <c r="N247" s="121"/>
      <c r="O247" s="121"/>
      <c r="P247" s="121"/>
      <c r="Q247" s="121"/>
      <c r="R247" s="121"/>
      <c r="S247" s="121"/>
      <c r="T247" s="121"/>
      <c r="U247" s="121"/>
      <c r="V247" s="121"/>
    </row>
    <row r="248">
      <c r="A248" s="120"/>
      <c r="B248" s="123"/>
      <c r="C248" s="124"/>
      <c r="D248" s="120"/>
      <c r="E248" s="125"/>
      <c r="F248" s="120"/>
      <c r="G248" s="125"/>
      <c r="H248" s="125"/>
      <c r="I248" s="125"/>
      <c r="J248" s="120"/>
      <c r="K248" s="120"/>
      <c r="L248" s="120"/>
      <c r="M248" s="120"/>
      <c r="N248" s="121"/>
      <c r="O248" s="121"/>
      <c r="P248" s="121"/>
      <c r="Q248" s="121"/>
      <c r="R248" s="121"/>
      <c r="S248" s="121"/>
      <c r="T248" s="121"/>
      <c r="U248" s="121"/>
      <c r="V248" s="121"/>
    </row>
    <row r="249">
      <c r="A249" s="120"/>
      <c r="B249" s="123"/>
      <c r="C249" s="124"/>
      <c r="D249" s="120"/>
      <c r="E249" s="125"/>
      <c r="F249" s="120"/>
      <c r="G249" s="125"/>
      <c r="H249" s="125"/>
      <c r="I249" s="125"/>
      <c r="J249" s="120"/>
      <c r="K249" s="120"/>
      <c r="L249" s="120"/>
      <c r="M249" s="120"/>
      <c r="N249" s="121"/>
      <c r="O249" s="121"/>
      <c r="P249" s="121"/>
      <c r="Q249" s="121"/>
      <c r="R249" s="121"/>
      <c r="S249" s="121"/>
      <c r="T249" s="121"/>
      <c r="U249" s="121"/>
      <c r="V249" s="121"/>
    </row>
    <row r="250">
      <c r="A250" s="120"/>
      <c r="B250" s="123"/>
      <c r="C250" s="124"/>
      <c r="D250" s="120"/>
      <c r="E250" s="125"/>
      <c r="F250" s="120"/>
      <c r="G250" s="125"/>
      <c r="H250" s="125"/>
      <c r="I250" s="125"/>
      <c r="J250" s="120"/>
      <c r="K250" s="120"/>
      <c r="L250" s="120"/>
      <c r="M250" s="120"/>
      <c r="N250" s="121"/>
      <c r="O250" s="121"/>
      <c r="P250" s="121"/>
      <c r="Q250" s="121"/>
      <c r="R250" s="121"/>
      <c r="S250" s="121"/>
      <c r="T250" s="121"/>
      <c r="U250" s="121"/>
      <c r="V250" s="121"/>
    </row>
    <row r="251">
      <c r="A251" s="120"/>
      <c r="B251" s="123"/>
      <c r="C251" s="124"/>
      <c r="D251" s="120"/>
      <c r="E251" s="125"/>
      <c r="F251" s="120"/>
      <c r="G251" s="125"/>
      <c r="H251" s="125"/>
      <c r="I251" s="125"/>
      <c r="J251" s="120"/>
      <c r="K251" s="120"/>
      <c r="L251" s="120"/>
      <c r="M251" s="120"/>
      <c r="N251" s="121"/>
      <c r="O251" s="121"/>
      <c r="P251" s="121"/>
      <c r="Q251" s="121"/>
      <c r="R251" s="121"/>
      <c r="S251" s="121"/>
      <c r="T251" s="121"/>
      <c r="U251" s="121"/>
      <c r="V251" s="121"/>
    </row>
    <row r="252">
      <c r="A252" s="120"/>
      <c r="B252" s="123"/>
      <c r="C252" s="124"/>
      <c r="D252" s="120"/>
      <c r="E252" s="125"/>
      <c r="F252" s="120"/>
      <c r="G252" s="125"/>
      <c r="H252" s="125"/>
      <c r="I252" s="125"/>
      <c r="J252" s="120"/>
      <c r="K252" s="120"/>
      <c r="L252" s="120"/>
      <c r="M252" s="120"/>
      <c r="N252" s="121"/>
      <c r="O252" s="121"/>
      <c r="P252" s="121"/>
      <c r="Q252" s="121"/>
      <c r="R252" s="121"/>
      <c r="S252" s="121"/>
      <c r="T252" s="121"/>
      <c r="U252" s="121"/>
      <c r="V252" s="121"/>
    </row>
    <row r="253">
      <c r="A253" s="120"/>
      <c r="B253" s="123"/>
      <c r="C253" s="124"/>
      <c r="D253" s="120"/>
      <c r="E253" s="125"/>
      <c r="F253" s="120"/>
      <c r="G253" s="125"/>
      <c r="H253" s="125"/>
      <c r="I253" s="125"/>
      <c r="J253" s="120"/>
      <c r="K253" s="120"/>
      <c r="L253" s="120"/>
      <c r="M253" s="120"/>
      <c r="N253" s="121"/>
      <c r="O253" s="121"/>
      <c r="P253" s="121"/>
      <c r="Q253" s="121"/>
      <c r="R253" s="121"/>
      <c r="S253" s="121"/>
      <c r="T253" s="121"/>
      <c r="U253" s="121"/>
      <c r="V253" s="121"/>
    </row>
    <row r="254">
      <c r="A254" s="120"/>
      <c r="B254" s="123"/>
      <c r="C254" s="124"/>
      <c r="D254" s="120"/>
      <c r="E254" s="125"/>
      <c r="F254" s="120"/>
      <c r="G254" s="125"/>
      <c r="H254" s="125"/>
      <c r="I254" s="125"/>
      <c r="J254" s="120"/>
      <c r="K254" s="120"/>
      <c r="L254" s="120"/>
      <c r="M254" s="120"/>
      <c r="N254" s="121"/>
      <c r="O254" s="121"/>
      <c r="P254" s="121"/>
      <c r="Q254" s="121"/>
      <c r="R254" s="121"/>
      <c r="S254" s="121"/>
      <c r="T254" s="121"/>
      <c r="U254" s="121"/>
      <c r="V254" s="121"/>
    </row>
    <row r="255">
      <c r="A255" s="120"/>
      <c r="B255" s="123"/>
      <c r="C255" s="124"/>
      <c r="D255" s="120"/>
      <c r="E255" s="125"/>
      <c r="F255" s="120"/>
      <c r="G255" s="125"/>
      <c r="H255" s="125"/>
      <c r="I255" s="125"/>
      <c r="J255" s="120"/>
      <c r="K255" s="120"/>
      <c r="L255" s="120"/>
      <c r="M255" s="120"/>
      <c r="N255" s="121"/>
      <c r="O255" s="121"/>
      <c r="P255" s="121"/>
      <c r="Q255" s="121"/>
      <c r="R255" s="121"/>
      <c r="S255" s="121"/>
      <c r="T255" s="121"/>
      <c r="U255" s="121"/>
      <c r="V255" s="121"/>
    </row>
    <row r="256">
      <c r="A256" s="120"/>
      <c r="B256" s="123"/>
      <c r="C256" s="124"/>
      <c r="D256" s="120"/>
      <c r="E256" s="125"/>
      <c r="F256" s="120"/>
      <c r="G256" s="125"/>
      <c r="H256" s="125"/>
      <c r="I256" s="125"/>
      <c r="J256" s="120"/>
      <c r="K256" s="120"/>
      <c r="L256" s="120"/>
      <c r="M256" s="120"/>
      <c r="N256" s="121"/>
      <c r="O256" s="121"/>
      <c r="P256" s="121"/>
      <c r="Q256" s="121"/>
      <c r="R256" s="121"/>
      <c r="S256" s="121"/>
      <c r="T256" s="121"/>
      <c r="U256" s="121"/>
      <c r="V256" s="121"/>
    </row>
    <row r="257">
      <c r="A257" s="120"/>
      <c r="B257" s="123"/>
      <c r="C257" s="124"/>
      <c r="D257" s="120"/>
      <c r="E257" s="125"/>
      <c r="F257" s="120"/>
      <c r="G257" s="125"/>
      <c r="H257" s="125"/>
      <c r="I257" s="125"/>
      <c r="J257" s="120"/>
      <c r="K257" s="120"/>
      <c r="L257" s="120"/>
      <c r="M257" s="120"/>
      <c r="N257" s="121"/>
      <c r="O257" s="121"/>
      <c r="P257" s="121"/>
      <c r="Q257" s="121"/>
      <c r="R257" s="121"/>
      <c r="S257" s="121"/>
      <c r="T257" s="121"/>
      <c r="U257" s="121"/>
      <c r="V257" s="121"/>
    </row>
    <row r="258">
      <c r="A258" s="120"/>
      <c r="B258" s="123"/>
      <c r="C258" s="124"/>
      <c r="D258" s="120"/>
      <c r="E258" s="125"/>
      <c r="F258" s="120"/>
      <c r="G258" s="125"/>
      <c r="H258" s="125"/>
      <c r="I258" s="125"/>
      <c r="J258" s="120"/>
      <c r="K258" s="120"/>
      <c r="L258" s="120"/>
      <c r="M258" s="120"/>
      <c r="N258" s="121"/>
      <c r="O258" s="121"/>
      <c r="P258" s="121"/>
      <c r="Q258" s="121"/>
      <c r="R258" s="121"/>
      <c r="S258" s="121"/>
      <c r="T258" s="121"/>
      <c r="U258" s="121"/>
      <c r="V258" s="121"/>
    </row>
    <row r="259">
      <c r="A259" s="120"/>
      <c r="B259" s="123"/>
      <c r="C259" s="124"/>
      <c r="D259" s="120"/>
      <c r="E259" s="125"/>
      <c r="F259" s="120"/>
      <c r="G259" s="125"/>
      <c r="H259" s="125"/>
      <c r="I259" s="125"/>
      <c r="J259" s="120"/>
      <c r="K259" s="120"/>
      <c r="L259" s="120"/>
      <c r="M259" s="120"/>
      <c r="N259" s="121"/>
      <c r="O259" s="121"/>
      <c r="P259" s="121"/>
      <c r="Q259" s="121"/>
      <c r="R259" s="121"/>
      <c r="S259" s="121"/>
      <c r="T259" s="121"/>
      <c r="U259" s="121"/>
      <c r="V259" s="121"/>
    </row>
    <row r="260">
      <c r="A260" s="120"/>
      <c r="B260" s="123"/>
      <c r="C260" s="124"/>
      <c r="D260" s="120"/>
      <c r="E260" s="125"/>
      <c r="F260" s="120"/>
      <c r="G260" s="125"/>
      <c r="H260" s="125"/>
      <c r="I260" s="125"/>
      <c r="J260" s="120"/>
      <c r="K260" s="120"/>
      <c r="L260" s="120"/>
      <c r="M260" s="120"/>
      <c r="N260" s="121"/>
      <c r="O260" s="121"/>
      <c r="P260" s="121"/>
      <c r="Q260" s="121"/>
      <c r="R260" s="121"/>
      <c r="S260" s="121"/>
      <c r="T260" s="121"/>
      <c r="U260" s="121"/>
      <c r="V260" s="121"/>
    </row>
    <row r="261">
      <c r="A261" s="120"/>
      <c r="B261" s="123"/>
      <c r="C261" s="124"/>
      <c r="D261" s="120"/>
      <c r="E261" s="125"/>
      <c r="F261" s="120"/>
      <c r="G261" s="125"/>
      <c r="H261" s="125"/>
      <c r="I261" s="125"/>
      <c r="J261" s="120"/>
      <c r="K261" s="120"/>
      <c r="L261" s="120"/>
      <c r="M261" s="120"/>
      <c r="N261" s="121"/>
      <c r="O261" s="121"/>
      <c r="P261" s="121"/>
      <c r="Q261" s="121"/>
      <c r="R261" s="121"/>
      <c r="S261" s="121"/>
      <c r="T261" s="121"/>
      <c r="U261" s="121"/>
      <c r="V261" s="121"/>
    </row>
    <row r="262">
      <c r="A262" s="120"/>
      <c r="B262" s="123"/>
      <c r="C262" s="124"/>
      <c r="D262" s="120"/>
      <c r="E262" s="125"/>
      <c r="F262" s="120"/>
      <c r="G262" s="125"/>
      <c r="H262" s="125"/>
      <c r="I262" s="125"/>
      <c r="J262" s="120"/>
      <c r="K262" s="120"/>
      <c r="L262" s="120"/>
      <c r="M262" s="120"/>
      <c r="N262" s="121"/>
      <c r="O262" s="121"/>
      <c r="P262" s="121"/>
      <c r="Q262" s="121"/>
      <c r="R262" s="121"/>
      <c r="S262" s="121"/>
      <c r="T262" s="121"/>
      <c r="U262" s="121"/>
      <c r="V262" s="121"/>
    </row>
    <row r="263">
      <c r="A263" s="120"/>
      <c r="B263" s="123"/>
      <c r="C263" s="124"/>
      <c r="D263" s="120"/>
      <c r="E263" s="125"/>
      <c r="F263" s="120"/>
      <c r="G263" s="125"/>
      <c r="H263" s="125"/>
      <c r="I263" s="125"/>
      <c r="J263" s="120"/>
      <c r="K263" s="120"/>
      <c r="L263" s="120"/>
      <c r="M263" s="120"/>
      <c r="N263" s="121"/>
      <c r="O263" s="121"/>
      <c r="P263" s="121"/>
      <c r="Q263" s="121"/>
      <c r="R263" s="121"/>
      <c r="S263" s="121"/>
      <c r="T263" s="121"/>
      <c r="U263" s="121"/>
      <c r="V263" s="121"/>
    </row>
    <row r="264">
      <c r="A264" s="120"/>
      <c r="B264" s="123"/>
      <c r="C264" s="124"/>
      <c r="D264" s="120"/>
      <c r="E264" s="125"/>
      <c r="F264" s="120"/>
      <c r="G264" s="125"/>
      <c r="H264" s="125"/>
      <c r="I264" s="125"/>
      <c r="J264" s="120"/>
      <c r="K264" s="120"/>
      <c r="L264" s="120"/>
      <c r="M264" s="120"/>
      <c r="N264" s="121"/>
      <c r="O264" s="121"/>
      <c r="P264" s="121"/>
      <c r="Q264" s="121"/>
      <c r="R264" s="121"/>
      <c r="S264" s="121"/>
      <c r="T264" s="121"/>
      <c r="U264" s="121"/>
      <c r="V264" s="121"/>
    </row>
    <row r="265">
      <c r="A265" s="120"/>
      <c r="B265" s="123"/>
      <c r="C265" s="124"/>
      <c r="D265" s="120"/>
      <c r="E265" s="125"/>
      <c r="F265" s="120"/>
      <c r="G265" s="125"/>
      <c r="H265" s="125"/>
      <c r="I265" s="125"/>
      <c r="J265" s="120"/>
      <c r="K265" s="120"/>
      <c r="L265" s="120"/>
      <c r="M265" s="120"/>
      <c r="N265" s="121"/>
      <c r="O265" s="121"/>
      <c r="P265" s="121"/>
      <c r="Q265" s="121"/>
      <c r="R265" s="121"/>
      <c r="S265" s="121"/>
      <c r="T265" s="121"/>
      <c r="U265" s="121"/>
      <c r="V265" s="121"/>
    </row>
    <row r="266">
      <c r="A266" s="120"/>
      <c r="B266" s="123"/>
      <c r="C266" s="124"/>
      <c r="D266" s="120"/>
      <c r="E266" s="125"/>
      <c r="F266" s="120"/>
      <c r="G266" s="125"/>
      <c r="H266" s="125"/>
      <c r="I266" s="125"/>
      <c r="J266" s="120"/>
      <c r="K266" s="120"/>
      <c r="L266" s="120"/>
      <c r="M266" s="120"/>
      <c r="N266" s="121"/>
      <c r="O266" s="121"/>
      <c r="P266" s="121"/>
      <c r="Q266" s="121"/>
      <c r="R266" s="121"/>
      <c r="S266" s="121"/>
      <c r="T266" s="121"/>
      <c r="U266" s="121"/>
      <c r="V266" s="121"/>
    </row>
    <row r="267">
      <c r="A267" s="120"/>
      <c r="B267" s="123"/>
      <c r="C267" s="124"/>
      <c r="D267" s="120"/>
      <c r="E267" s="125"/>
      <c r="F267" s="120"/>
      <c r="G267" s="125"/>
      <c r="H267" s="125"/>
      <c r="I267" s="125"/>
      <c r="J267" s="120"/>
      <c r="K267" s="120"/>
      <c r="L267" s="120"/>
      <c r="M267" s="120"/>
      <c r="N267" s="121"/>
      <c r="O267" s="121"/>
      <c r="P267" s="121"/>
      <c r="Q267" s="121"/>
      <c r="R267" s="121"/>
      <c r="S267" s="121"/>
      <c r="T267" s="121"/>
      <c r="U267" s="121"/>
      <c r="V267" s="121"/>
    </row>
    <row r="268">
      <c r="A268" s="120"/>
      <c r="B268" s="123"/>
      <c r="C268" s="124"/>
      <c r="D268" s="120"/>
      <c r="E268" s="125"/>
      <c r="F268" s="120"/>
      <c r="G268" s="125"/>
      <c r="H268" s="125"/>
      <c r="I268" s="125"/>
      <c r="J268" s="120"/>
      <c r="K268" s="120"/>
      <c r="L268" s="120"/>
      <c r="M268" s="120"/>
      <c r="N268" s="121"/>
      <c r="O268" s="121"/>
      <c r="P268" s="121"/>
      <c r="Q268" s="121"/>
      <c r="R268" s="121"/>
      <c r="S268" s="121"/>
      <c r="T268" s="121"/>
      <c r="U268" s="121"/>
      <c r="V268" s="121"/>
    </row>
    <row r="269">
      <c r="A269" s="120"/>
      <c r="B269" s="123"/>
      <c r="C269" s="124"/>
      <c r="D269" s="120"/>
      <c r="E269" s="125"/>
      <c r="F269" s="120"/>
      <c r="G269" s="125"/>
      <c r="H269" s="125"/>
      <c r="I269" s="125"/>
      <c r="J269" s="120"/>
      <c r="K269" s="120"/>
      <c r="L269" s="120"/>
      <c r="M269" s="120"/>
      <c r="N269" s="121"/>
      <c r="O269" s="121"/>
      <c r="P269" s="121"/>
      <c r="Q269" s="121"/>
      <c r="R269" s="121"/>
      <c r="S269" s="121"/>
      <c r="T269" s="121"/>
      <c r="U269" s="121"/>
      <c r="V269" s="121"/>
    </row>
    <row r="270">
      <c r="A270" s="120"/>
      <c r="B270" s="123"/>
      <c r="C270" s="124"/>
      <c r="D270" s="120"/>
      <c r="E270" s="125"/>
      <c r="F270" s="120"/>
      <c r="G270" s="125"/>
      <c r="H270" s="125"/>
      <c r="I270" s="125"/>
      <c r="J270" s="120"/>
      <c r="K270" s="120"/>
      <c r="L270" s="120"/>
      <c r="M270" s="120"/>
      <c r="N270" s="121"/>
      <c r="O270" s="121"/>
      <c r="P270" s="121"/>
      <c r="Q270" s="121"/>
      <c r="R270" s="121"/>
      <c r="S270" s="121"/>
      <c r="T270" s="121"/>
      <c r="U270" s="121"/>
      <c r="V270" s="121"/>
    </row>
    <row r="271">
      <c r="A271" s="120"/>
      <c r="B271" s="123"/>
      <c r="C271" s="124"/>
      <c r="D271" s="120"/>
      <c r="E271" s="125"/>
      <c r="F271" s="120"/>
      <c r="G271" s="125"/>
      <c r="H271" s="125"/>
      <c r="I271" s="125"/>
      <c r="J271" s="120"/>
      <c r="K271" s="120"/>
      <c r="L271" s="120"/>
      <c r="M271" s="120"/>
      <c r="N271" s="121"/>
      <c r="O271" s="121"/>
      <c r="P271" s="121"/>
      <c r="Q271" s="121"/>
      <c r="R271" s="121"/>
      <c r="S271" s="121"/>
      <c r="T271" s="121"/>
      <c r="U271" s="121"/>
      <c r="V271" s="121"/>
    </row>
    <row r="272">
      <c r="A272" s="120"/>
      <c r="B272" s="123"/>
      <c r="C272" s="124"/>
      <c r="D272" s="120"/>
      <c r="E272" s="125"/>
      <c r="F272" s="120"/>
      <c r="G272" s="125"/>
      <c r="H272" s="125"/>
      <c r="I272" s="125"/>
      <c r="J272" s="120"/>
      <c r="K272" s="120"/>
      <c r="L272" s="120"/>
      <c r="M272" s="120"/>
      <c r="N272" s="121"/>
      <c r="O272" s="121"/>
      <c r="P272" s="121"/>
      <c r="Q272" s="121"/>
      <c r="R272" s="121"/>
      <c r="S272" s="121"/>
      <c r="T272" s="121"/>
      <c r="U272" s="121"/>
      <c r="V272" s="121"/>
    </row>
    <row r="273">
      <c r="A273" s="120"/>
      <c r="B273" s="123"/>
      <c r="C273" s="124"/>
      <c r="D273" s="120"/>
      <c r="E273" s="125"/>
      <c r="F273" s="120"/>
      <c r="G273" s="125"/>
      <c r="H273" s="125"/>
      <c r="I273" s="125"/>
      <c r="J273" s="120"/>
      <c r="K273" s="120"/>
      <c r="L273" s="120"/>
      <c r="M273" s="120"/>
      <c r="N273" s="121"/>
      <c r="O273" s="121"/>
      <c r="P273" s="121"/>
      <c r="Q273" s="121"/>
      <c r="R273" s="121"/>
      <c r="S273" s="121"/>
      <c r="T273" s="121"/>
      <c r="U273" s="121"/>
      <c r="V273" s="121"/>
    </row>
    <row r="274">
      <c r="A274" s="120"/>
      <c r="B274" s="123"/>
      <c r="C274" s="124"/>
      <c r="D274" s="120"/>
      <c r="E274" s="125"/>
      <c r="F274" s="120"/>
      <c r="G274" s="125"/>
      <c r="H274" s="125"/>
      <c r="I274" s="125"/>
      <c r="J274" s="120"/>
      <c r="K274" s="120"/>
      <c r="L274" s="120"/>
      <c r="M274" s="120"/>
      <c r="N274" s="121"/>
      <c r="O274" s="121"/>
      <c r="P274" s="121"/>
      <c r="Q274" s="121"/>
      <c r="R274" s="121"/>
      <c r="S274" s="121"/>
      <c r="T274" s="121"/>
      <c r="U274" s="121"/>
      <c r="V274" s="121"/>
    </row>
    <row r="275">
      <c r="A275" s="120"/>
      <c r="B275" s="123"/>
      <c r="C275" s="124"/>
      <c r="D275" s="120"/>
      <c r="E275" s="125"/>
      <c r="F275" s="120"/>
      <c r="G275" s="125"/>
      <c r="H275" s="125"/>
      <c r="I275" s="125"/>
      <c r="J275" s="120"/>
      <c r="K275" s="120"/>
      <c r="L275" s="120"/>
      <c r="M275" s="120"/>
      <c r="N275" s="121"/>
      <c r="O275" s="121"/>
      <c r="P275" s="121"/>
      <c r="Q275" s="121"/>
      <c r="R275" s="121"/>
      <c r="S275" s="121"/>
      <c r="T275" s="121"/>
      <c r="U275" s="121"/>
      <c r="V275" s="121"/>
    </row>
    <row r="276">
      <c r="A276" s="120"/>
      <c r="B276" s="123"/>
      <c r="C276" s="124"/>
      <c r="D276" s="120"/>
      <c r="E276" s="125"/>
      <c r="F276" s="120"/>
      <c r="G276" s="125"/>
      <c r="H276" s="125"/>
      <c r="I276" s="125"/>
      <c r="J276" s="120"/>
      <c r="K276" s="120"/>
      <c r="L276" s="120"/>
      <c r="M276" s="120"/>
      <c r="N276" s="121"/>
      <c r="O276" s="121"/>
      <c r="P276" s="121"/>
      <c r="Q276" s="121"/>
      <c r="R276" s="121"/>
      <c r="S276" s="121"/>
      <c r="T276" s="121"/>
      <c r="U276" s="121"/>
      <c r="V276" s="121"/>
    </row>
    <row r="277">
      <c r="A277" s="120"/>
      <c r="B277" s="123"/>
      <c r="C277" s="124"/>
      <c r="D277" s="120"/>
      <c r="E277" s="125"/>
      <c r="F277" s="120"/>
      <c r="G277" s="125"/>
      <c r="H277" s="125"/>
      <c r="I277" s="125"/>
      <c r="J277" s="120"/>
      <c r="K277" s="120"/>
      <c r="L277" s="120"/>
      <c r="M277" s="120"/>
      <c r="N277" s="121"/>
      <c r="O277" s="121"/>
      <c r="P277" s="121"/>
      <c r="Q277" s="121"/>
      <c r="R277" s="121"/>
      <c r="S277" s="121"/>
      <c r="T277" s="121"/>
      <c r="U277" s="121"/>
      <c r="V277" s="121"/>
    </row>
    <row r="278">
      <c r="A278" s="120"/>
      <c r="B278" s="123"/>
      <c r="C278" s="124"/>
      <c r="D278" s="120"/>
      <c r="E278" s="125"/>
      <c r="F278" s="120"/>
      <c r="G278" s="125"/>
      <c r="H278" s="125"/>
      <c r="I278" s="125"/>
      <c r="J278" s="120"/>
      <c r="K278" s="120"/>
      <c r="L278" s="120"/>
      <c r="M278" s="120"/>
      <c r="N278" s="121"/>
      <c r="O278" s="121"/>
      <c r="P278" s="121"/>
      <c r="Q278" s="121"/>
      <c r="R278" s="121"/>
      <c r="S278" s="121"/>
      <c r="T278" s="121"/>
      <c r="U278" s="121"/>
      <c r="V278" s="121"/>
    </row>
    <row r="279">
      <c r="A279" s="120"/>
      <c r="B279" s="123"/>
      <c r="C279" s="124"/>
      <c r="D279" s="120"/>
      <c r="E279" s="125"/>
      <c r="F279" s="120"/>
      <c r="G279" s="125"/>
      <c r="H279" s="125"/>
      <c r="I279" s="125"/>
      <c r="J279" s="120"/>
      <c r="K279" s="120"/>
      <c r="L279" s="120"/>
      <c r="M279" s="120"/>
      <c r="N279" s="121"/>
      <c r="O279" s="121"/>
      <c r="P279" s="121"/>
      <c r="Q279" s="121"/>
      <c r="R279" s="121"/>
      <c r="S279" s="121"/>
      <c r="T279" s="121"/>
      <c r="U279" s="121"/>
      <c r="V279" s="121"/>
    </row>
    <row r="280">
      <c r="A280" s="120"/>
      <c r="B280" s="123"/>
      <c r="C280" s="124"/>
      <c r="D280" s="120"/>
      <c r="E280" s="125"/>
      <c r="F280" s="120"/>
      <c r="G280" s="125"/>
      <c r="H280" s="125"/>
      <c r="I280" s="125"/>
      <c r="J280" s="120"/>
      <c r="K280" s="120"/>
      <c r="L280" s="120"/>
      <c r="M280" s="120"/>
      <c r="N280" s="121"/>
      <c r="O280" s="121"/>
      <c r="P280" s="121"/>
      <c r="Q280" s="121"/>
      <c r="R280" s="121"/>
      <c r="S280" s="121"/>
      <c r="T280" s="121"/>
      <c r="U280" s="121"/>
      <c r="V280" s="121"/>
    </row>
    <row r="281">
      <c r="A281" s="120"/>
      <c r="B281" s="123"/>
      <c r="C281" s="124"/>
      <c r="D281" s="120"/>
      <c r="E281" s="125"/>
      <c r="F281" s="120"/>
      <c r="G281" s="125"/>
      <c r="H281" s="125"/>
      <c r="I281" s="125"/>
      <c r="J281" s="120"/>
      <c r="K281" s="120"/>
      <c r="L281" s="120"/>
      <c r="M281" s="120"/>
      <c r="N281" s="121"/>
      <c r="O281" s="121"/>
      <c r="P281" s="121"/>
      <c r="Q281" s="121"/>
      <c r="R281" s="121"/>
      <c r="S281" s="121"/>
      <c r="T281" s="121"/>
      <c r="U281" s="121"/>
      <c r="V281" s="121"/>
    </row>
    <row r="282">
      <c r="A282" s="120"/>
      <c r="B282" s="123"/>
      <c r="C282" s="124"/>
      <c r="D282" s="120"/>
      <c r="E282" s="125"/>
      <c r="F282" s="120"/>
      <c r="G282" s="125"/>
      <c r="H282" s="125"/>
      <c r="I282" s="125"/>
      <c r="J282" s="120"/>
      <c r="K282" s="120"/>
      <c r="L282" s="120"/>
      <c r="M282" s="120"/>
      <c r="N282" s="121"/>
      <c r="O282" s="121"/>
      <c r="P282" s="121"/>
      <c r="Q282" s="121"/>
      <c r="R282" s="121"/>
      <c r="S282" s="121"/>
      <c r="T282" s="121"/>
      <c r="U282" s="121"/>
      <c r="V282" s="121"/>
    </row>
    <row r="283">
      <c r="A283" s="120"/>
      <c r="B283" s="123"/>
      <c r="C283" s="124"/>
      <c r="D283" s="120"/>
      <c r="E283" s="125"/>
      <c r="F283" s="120"/>
      <c r="G283" s="125"/>
      <c r="H283" s="125"/>
      <c r="I283" s="125"/>
      <c r="J283" s="120"/>
      <c r="K283" s="120"/>
      <c r="L283" s="120"/>
      <c r="M283" s="120"/>
      <c r="N283" s="121"/>
      <c r="O283" s="121"/>
      <c r="P283" s="121"/>
      <c r="Q283" s="121"/>
      <c r="R283" s="121"/>
      <c r="S283" s="121"/>
      <c r="T283" s="121"/>
      <c r="U283" s="121"/>
      <c r="V283" s="121"/>
    </row>
    <row r="284">
      <c r="A284" s="120"/>
      <c r="B284" s="123"/>
      <c r="C284" s="124"/>
      <c r="D284" s="120"/>
      <c r="E284" s="125"/>
      <c r="F284" s="120"/>
      <c r="G284" s="125"/>
      <c r="H284" s="125"/>
      <c r="I284" s="125"/>
      <c r="J284" s="120"/>
      <c r="K284" s="120"/>
      <c r="L284" s="120"/>
      <c r="M284" s="120"/>
      <c r="N284" s="121"/>
      <c r="O284" s="121"/>
      <c r="P284" s="121"/>
      <c r="Q284" s="121"/>
      <c r="R284" s="121"/>
      <c r="S284" s="121"/>
      <c r="T284" s="121"/>
      <c r="U284" s="121"/>
      <c r="V284" s="121"/>
    </row>
    <row r="285">
      <c r="A285" s="120"/>
      <c r="B285" s="123"/>
      <c r="C285" s="124"/>
      <c r="D285" s="120"/>
      <c r="E285" s="122"/>
      <c r="F285" s="120"/>
      <c r="G285" s="122"/>
      <c r="H285" s="122"/>
      <c r="I285" s="122"/>
      <c r="J285" s="120"/>
      <c r="K285" s="120"/>
      <c r="L285" s="120"/>
      <c r="M285" s="120"/>
      <c r="N285" s="121"/>
      <c r="O285" s="121"/>
      <c r="P285" s="121"/>
      <c r="Q285" s="121"/>
      <c r="R285" s="121"/>
      <c r="S285" s="121"/>
      <c r="T285" s="121"/>
      <c r="U285" s="121"/>
      <c r="V285" s="121"/>
    </row>
    <row r="286">
      <c r="A286" s="120"/>
      <c r="B286" s="123"/>
      <c r="C286" s="124"/>
      <c r="D286" s="120"/>
      <c r="E286" s="122"/>
      <c r="F286" s="120"/>
      <c r="G286" s="122"/>
      <c r="H286" s="122"/>
      <c r="I286" s="122"/>
      <c r="J286" s="120"/>
      <c r="K286" s="120"/>
      <c r="L286" s="120"/>
      <c r="M286" s="120"/>
      <c r="N286" s="121"/>
      <c r="O286" s="121"/>
      <c r="P286" s="121"/>
      <c r="Q286" s="121"/>
      <c r="R286" s="121"/>
      <c r="S286" s="121"/>
      <c r="T286" s="121"/>
      <c r="U286" s="121"/>
      <c r="V286" s="121"/>
    </row>
    <row r="287">
      <c r="A287" s="120"/>
      <c r="B287" s="123"/>
      <c r="C287" s="124"/>
      <c r="D287" s="120"/>
      <c r="E287" s="122"/>
      <c r="F287" s="120"/>
      <c r="G287" s="122"/>
      <c r="H287" s="122"/>
      <c r="I287" s="122"/>
      <c r="J287" s="120"/>
      <c r="K287" s="120"/>
      <c r="L287" s="120"/>
      <c r="M287" s="120"/>
      <c r="N287" s="121"/>
      <c r="O287" s="121"/>
      <c r="P287" s="121"/>
      <c r="Q287" s="121"/>
      <c r="R287" s="121"/>
      <c r="S287" s="121"/>
      <c r="T287" s="121"/>
      <c r="U287" s="121"/>
      <c r="V287" s="121"/>
    </row>
    <row r="288">
      <c r="A288" s="120"/>
      <c r="B288" s="123"/>
      <c r="C288" s="124"/>
      <c r="D288" s="120"/>
      <c r="E288" s="122"/>
      <c r="F288" s="120"/>
      <c r="G288" s="122"/>
      <c r="H288" s="122"/>
      <c r="I288" s="122"/>
      <c r="J288" s="120"/>
      <c r="K288" s="120"/>
      <c r="L288" s="120"/>
      <c r="M288" s="120"/>
      <c r="N288" s="121"/>
      <c r="O288" s="121"/>
      <c r="P288" s="121"/>
      <c r="Q288" s="121"/>
      <c r="R288" s="121"/>
      <c r="S288" s="121"/>
      <c r="T288" s="121"/>
      <c r="U288" s="121"/>
      <c r="V288" s="121"/>
    </row>
    <row r="289">
      <c r="A289" s="120"/>
      <c r="B289" s="123"/>
      <c r="C289" s="124"/>
      <c r="D289" s="120"/>
      <c r="E289" s="122"/>
      <c r="F289" s="120"/>
      <c r="G289" s="122"/>
      <c r="H289" s="122"/>
      <c r="I289" s="122"/>
      <c r="J289" s="120"/>
      <c r="K289" s="120"/>
      <c r="L289" s="120"/>
      <c r="M289" s="120"/>
      <c r="N289" s="121"/>
      <c r="O289" s="121"/>
      <c r="P289" s="121"/>
      <c r="Q289" s="121"/>
      <c r="R289" s="121"/>
      <c r="S289" s="121"/>
      <c r="T289" s="121"/>
      <c r="U289" s="121"/>
      <c r="V289" s="121"/>
    </row>
    <row r="290">
      <c r="A290" s="120"/>
      <c r="B290" s="123"/>
      <c r="C290" s="124"/>
      <c r="D290" s="120"/>
      <c r="E290" s="122"/>
      <c r="F290" s="120"/>
      <c r="G290" s="122"/>
      <c r="H290" s="122"/>
      <c r="I290" s="122"/>
      <c r="J290" s="120"/>
      <c r="K290" s="120"/>
      <c r="L290" s="120"/>
      <c r="M290" s="120"/>
      <c r="N290" s="121"/>
      <c r="O290" s="121"/>
      <c r="P290" s="121"/>
      <c r="Q290" s="121"/>
      <c r="R290" s="121"/>
      <c r="S290" s="121"/>
      <c r="T290" s="121"/>
      <c r="U290" s="121"/>
      <c r="V290" s="121"/>
    </row>
    <row r="291">
      <c r="A291" s="120"/>
      <c r="B291" s="123"/>
      <c r="C291" s="124"/>
      <c r="D291" s="120"/>
      <c r="E291" s="122"/>
      <c r="F291" s="120"/>
      <c r="G291" s="122"/>
      <c r="H291" s="122"/>
      <c r="I291" s="122"/>
      <c r="J291" s="120"/>
      <c r="K291" s="120"/>
      <c r="L291" s="120"/>
      <c r="M291" s="120"/>
      <c r="N291" s="121"/>
      <c r="O291" s="121"/>
      <c r="P291" s="121"/>
      <c r="Q291" s="121"/>
      <c r="R291" s="121"/>
      <c r="S291" s="121"/>
      <c r="T291" s="121"/>
      <c r="U291" s="121"/>
      <c r="V291" s="121"/>
    </row>
    <row r="292">
      <c r="A292" s="120"/>
      <c r="B292" s="123"/>
      <c r="C292" s="124"/>
      <c r="D292" s="120"/>
      <c r="E292" s="122"/>
      <c r="F292" s="120"/>
      <c r="G292" s="122"/>
      <c r="H292" s="122"/>
      <c r="I292" s="122"/>
      <c r="J292" s="120"/>
      <c r="K292" s="120"/>
      <c r="L292" s="120"/>
      <c r="M292" s="120"/>
      <c r="N292" s="121"/>
      <c r="O292" s="121"/>
      <c r="P292" s="121"/>
      <c r="Q292" s="121"/>
      <c r="R292" s="121"/>
      <c r="S292" s="121"/>
      <c r="T292" s="121"/>
      <c r="U292" s="121"/>
      <c r="V292" s="121"/>
    </row>
    <row r="293">
      <c r="A293" s="120"/>
      <c r="B293" s="123"/>
      <c r="C293" s="124"/>
      <c r="D293" s="120"/>
      <c r="E293" s="122"/>
      <c r="F293" s="120"/>
      <c r="G293" s="122"/>
      <c r="H293" s="122"/>
      <c r="I293" s="122"/>
      <c r="J293" s="120"/>
      <c r="K293" s="120"/>
      <c r="L293" s="120"/>
      <c r="M293" s="120"/>
      <c r="N293" s="121"/>
      <c r="O293" s="121"/>
      <c r="P293" s="121"/>
      <c r="Q293" s="121"/>
      <c r="R293" s="121"/>
      <c r="S293" s="121"/>
      <c r="T293" s="121"/>
      <c r="U293" s="121"/>
      <c r="V293" s="121"/>
    </row>
    <row r="294">
      <c r="A294" s="120"/>
      <c r="B294" s="123"/>
      <c r="C294" s="124"/>
      <c r="D294" s="120"/>
      <c r="E294" s="122"/>
      <c r="F294" s="120"/>
      <c r="G294" s="122"/>
      <c r="H294" s="122"/>
      <c r="I294" s="122"/>
      <c r="J294" s="120"/>
      <c r="K294" s="120"/>
      <c r="L294" s="120"/>
      <c r="M294" s="120"/>
      <c r="N294" s="121"/>
      <c r="O294" s="121"/>
      <c r="P294" s="121"/>
      <c r="Q294" s="121"/>
      <c r="R294" s="121"/>
      <c r="S294" s="121"/>
      <c r="T294" s="121"/>
      <c r="U294" s="121"/>
      <c r="V294" s="121"/>
    </row>
    <row r="295">
      <c r="A295" s="120"/>
      <c r="B295" s="123"/>
      <c r="C295" s="124"/>
      <c r="D295" s="120"/>
      <c r="E295" s="122"/>
      <c r="F295" s="120"/>
      <c r="G295" s="122"/>
      <c r="H295" s="122"/>
      <c r="I295" s="122"/>
      <c r="J295" s="120"/>
      <c r="K295" s="120"/>
      <c r="L295" s="120"/>
      <c r="M295" s="120"/>
      <c r="N295" s="121"/>
      <c r="O295" s="121"/>
      <c r="P295" s="121"/>
      <c r="Q295" s="121"/>
      <c r="R295" s="121"/>
      <c r="S295" s="121"/>
      <c r="T295" s="121"/>
      <c r="U295" s="121"/>
      <c r="V295" s="121"/>
    </row>
    <row r="296">
      <c r="A296" s="120"/>
      <c r="B296" s="123"/>
      <c r="C296" s="124"/>
      <c r="D296" s="120"/>
      <c r="E296" s="122"/>
      <c r="F296" s="120"/>
      <c r="G296" s="122"/>
      <c r="H296" s="122"/>
      <c r="I296" s="122"/>
      <c r="J296" s="120"/>
      <c r="K296" s="120"/>
      <c r="L296" s="120"/>
      <c r="M296" s="120"/>
      <c r="N296" s="121"/>
      <c r="O296" s="121"/>
      <c r="P296" s="121"/>
      <c r="Q296" s="121"/>
      <c r="R296" s="121"/>
      <c r="S296" s="121"/>
      <c r="T296" s="121"/>
      <c r="U296" s="121"/>
      <c r="V296" s="121"/>
    </row>
    <row r="297">
      <c r="A297" s="120"/>
      <c r="B297" s="123"/>
      <c r="C297" s="124"/>
      <c r="D297" s="120"/>
      <c r="E297" s="122"/>
      <c r="F297" s="120"/>
      <c r="G297" s="122"/>
      <c r="H297" s="122"/>
      <c r="I297" s="122"/>
      <c r="J297" s="120"/>
      <c r="K297" s="120"/>
      <c r="L297" s="120"/>
      <c r="M297" s="120"/>
      <c r="N297" s="121"/>
      <c r="O297" s="121"/>
      <c r="P297" s="121"/>
      <c r="Q297" s="121"/>
      <c r="R297" s="121"/>
      <c r="S297" s="121"/>
      <c r="T297" s="121"/>
      <c r="U297" s="121"/>
      <c r="V297" s="121"/>
    </row>
    <row r="298">
      <c r="A298" s="120"/>
      <c r="B298" s="123"/>
      <c r="C298" s="124"/>
      <c r="D298" s="120"/>
      <c r="E298" s="122"/>
      <c r="F298" s="120"/>
      <c r="G298" s="122"/>
      <c r="H298" s="122"/>
      <c r="I298" s="122"/>
      <c r="J298" s="120"/>
      <c r="K298" s="120"/>
      <c r="L298" s="120"/>
      <c r="M298" s="120"/>
      <c r="N298" s="121"/>
      <c r="O298" s="121"/>
      <c r="P298" s="121"/>
      <c r="Q298" s="121"/>
      <c r="R298" s="121"/>
      <c r="S298" s="121"/>
      <c r="T298" s="121"/>
      <c r="U298" s="121"/>
      <c r="V298" s="121"/>
    </row>
    <row r="299">
      <c r="A299" s="120"/>
      <c r="B299" s="123"/>
      <c r="C299" s="124"/>
      <c r="D299" s="120"/>
      <c r="E299" s="122"/>
      <c r="F299" s="120"/>
      <c r="G299" s="122"/>
      <c r="H299" s="122"/>
      <c r="I299" s="122"/>
      <c r="J299" s="120"/>
      <c r="K299" s="120"/>
      <c r="L299" s="120"/>
      <c r="M299" s="120"/>
      <c r="N299" s="121"/>
      <c r="O299" s="121"/>
      <c r="P299" s="121"/>
      <c r="Q299" s="121"/>
      <c r="R299" s="121"/>
      <c r="S299" s="121"/>
      <c r="T299" s="121"/>
      <c r="U299" s="121"/>
      <c r="V299" s="121"/>
    </row>
    <row r="300">
      <c r="A300" s="120"/>
      <c r="B300" s="123"/>
      <c r="C300" s="124"/>
      <c r="D300" s="120"/>
      <c r="E300" s="122"/>
      <c r="F300" s="120"/>
      <c r="G300" s="122"/>
      <c r="H300" s="122"/>
      <c r="I300" s="122"/>
      <c r="J300" s="120"/>
      <c r="K300" s="120"/>
      <c r="L300" s="120"/>
      <c r="M300" s="120"/>
      <c r="N300" s="121"/>
      <c r="O300" s="121"/>
      <c r="P300" s="121"/>
      <c r="Q300" s="121"/>
      <c r="R300" s="121"/>
      <c r="S300" s="121"/>
      <c r="T300" s="121"/>
      <c r="U300" s="121"/>
      <c r="V300" s="121"/>
    </row>
    <row r="301">
      <c r="A301" s="120"/>
      <c r="B301" s="123"/>
      <c r="C301" s="124"/>
      <c r="D301" s="120"/>
      <c r="E301" s="122"/>
      <c r="F301" s="120"/>
      <c r="G301" s="122"/>
      <c r="H301" s="122"/>
      <c r="I301" s="122"/>
      <c r="J301" s="120"/>
      <c r="K301" s="120"/>
      <c r="L301" s="120"/>
      <c r="M301" s="120"/>
      <c r="N301" s="121"/>
      <c r="O301" s="121"/>
      <c r="P301" s="121"/>
      <c r="Q301" s="121"/>
      <c r="R301" s="121"/>
      <c r="S301" s="121"/>
      <c r="T301" s="121"/>
      <c r="U301" s="121"/>
      <c r="V301" s="121"/>
    </row>
    <row r="302">
      <c r="A302" s="120"/>
      <c r="B302" s="123"/>
      <c r="C302" s="124"/>
      <c r="D302" s="120"/>
      <c r="E302" s="122"/>
      <c r="F302" s="120"/>
      <c r="G302" s="122"/>
      <c r="H302" s="122"/>
      <c r="I302" s="122"/>
      <c r="J302" s="120"/>
      <c r="K302" s="120"/>
      <c r="L302" s="120"/>
      <c r="M302" s="120"/>
      <c r="N302" s="121"/>
      <c r="O302" s="121"/>
      <c r="P302" s="121"/>
      <c r="Q302" s="121"/>
      <c r="R302" s="121"/>
      <c r="S302" s="121"/>
      <c r="T302" s="121"/>
      <c r="U302" s="121"/>
      <c r="V302" s="121"/>
    </row>
    <row r="303">
      <c r="A303" s="120"/>
      <c r="B303" s="123"/>
      <c r="C303" s="124"/>
      <c r="D303" s="120"/>
      <c r="E303" s="125"/>
      <c r="F303" s="120"/>
      <c r="G303" s="125"/>
      <c r="H303" s="125"/>
      <c r="I303" s="125"/>
      <c r="J303" s="120"/>
      <c r="K303" s="120"/>
      <c r="L303" s="120"/>
      <c r="M303" s="120"/>
      <c r="N303" s="121"/>
      <c r="O303" s="121"/>
      <c r="P303" s="121"/>
      <c r="Q303" s="121"/>
      <c r="R303" s="121"/>
      <c r="S303" s="121"/>
      <c r="T303" s="121"/>
      <c r="U303" s="121"/>
      <c r="V303" s="121"/>
    </row>
    <row r="304">
      <c r="A304" s="120"/>
      <c r="B304" s="123"/>
      <c r="C304" s="124"/>
      <c r="D304" s="120"/>
      <c r="E304" s="125"/>
      <c r="F304" s="120"/>
      <c r="G304" s="125"/>
      <c r="H304" s="125"/>
      <c r="I304" s="125"/>
      <c r="J304" s="120"/>
      <c r="K304" s="120"/>
      <c r="L304" s="120"/>
      <c r="M304" s="120"/>
      <c r="N304" s="121"/>
      <c r="O304" s="121"/>
      <c r="P304" s="121"/>
      <c r="Q304" s="121"/>
      <c r="R304" s="121"/>
      <c r="S304" s="121"/>
      <c r="T304" s="121"/>
      <c r="U304" s="121"/>
      <c r="V304" s="121"/>
    </row>
    <row r="305">
      <c r="A305" s="120"/>
      <c r="B305" s="123"/>
      <c r="C305" s="124"/>
      <c r="D305" s="120"/>
      <c r="E305" s="125"/>
      <c r="F305" s="120"/>
      <c r="G305" s="125"/>
      <c r="H305" s="125"/>
      <c r="I305" s="125"/>
      <c r="J305" s="120"/>
      <c r="K305" s="120"/>
      <c r="L305" s="120"/>
      <c r="M305" s="120"/>
      <c r="N305" s="121"/>
      <c r="O305" s="121"/>
      <c r="P305" s="121"/>
      <c r="Q305" s="121"/>
      <c r="R305" s="121"/>
      <c r="S305" s="121"/>
      <c r="T305" s="121"/>
      <c r="U305" s="121"/>
      <c r="V305" s="121"/>
    </row>
    <row r="306">
      <c r="A306" s="120"/>
      <c r="B306" s="123"/>
      <c r="C306" s="124"/>
      <c r="D306" s="120"/>
      <c r="E306" s="125"/>
      <c r="F306" s="120"/>
      <c r="G306" s="125"/>
      <c r="H306" s="125"/>
      <c r="I306" s="125"/>
      <c r="J306" s="120"/>
      <c r="K306" s="120"/>
      <c r="L306" s="120"/>
      <c r="M306" s="120"/>
      <c r="N306" s="121"/>
      <c r="O306" s="121"/>
      <c r="P306" s="121"/>
      <c r="Q306" s="121"/>
      <c r="R306" s="121"/>
      <c r="S306" s="121"/>
      <c r="T306" s="121"/>
      <c r="U306" s="121"/>
      <c r="V306" s="121"/>
    </row>
    <row r="307">
      <c r="A307" s="120"/>
      <c r="B307" s="123"/>
      <c r="C307" s="124"/>
      <c r="D307" s="120"/>
      <c r="E307" s="125"/>
      <c r="F307" s="120"/>
      <c r="G307" s="125"/>
      <c r="H307" s="125"/>
      <c r="I307" s="125"/>
      <c r="J307" s="120"/>
      <c r="K307" s="120"/>
      <c r="L307" s="120"/>
      <c r="M307" s="120"/>
      <c r="N307" s="121"/>
      <c r="O307" s="121"/>
      <c r="P307" s="121"/>
      <c r="Q307" s="121"/>
      <c r="R307" s="121"/>
      <c r="S307" s="121"/>
      <c r="T307" s="121"/>
      <c r="U307" s="121"/>
      <c r="V307" s="121"/>
    </row>
    <row r="308">
      <c r="A308" s="120"/>
      <c r="B308" s="123"/>
      <c r="C308" s="124"/>
      <c r="D308" s="120"/>
      <c r="E308" s="125"/>
      <c r="F308" s="120"/>
      <c r="G308" s="125"/>
      <c r="H308" s="125"/>
      <c r="I308" s="125"/>
      <c r="J308" s="120"/>
      <c r="K308" s="120"/>
      <c r="L308" s="120"/>
      <c r="M308" s="120"/>
      <c r="N308" s="121"/>
      <c r="O308" s="121"/>
      <c r="P308" s="121"/>
      <c r="Q308" s="121"/>
      <c r="R308" s="121"/>
      <c r="S308" s="121"/>
      <c r="T308" s="121"/>
      <c r="U308" s="121"/>
      <c r="V308" s="121"/>
    </row>
    <row r="309">
      <c r="A309" s="120"/>
      <c r="B309" s="123"/>
      <c r="C309" s="124"/>
      <c r="D309" s="120"/>
      <c r="E309" s="125"/>
      <c r="F309" s="120"/>
      <c r="G309" s="125"/>
      <c r="H309" s="125"/>
      <c r="I309" s="125"/>
      <c r="J309" s="120"/>
      <c r="K309" s="120"/>
      <c r="L309" s="120"/>
      <c r="M309" s="120"/>
      <c r="N309" s="121"/>
      <c r="O309" s="121"/>
      <c r="P309" s="121"/>
      <c r="Q309" s="121"/>
      <c r="R309" s="121"/>
      <c r="S309" s="121"/>
      <c r="T309" s="121"/>
      <c r="U309" s="121"/>
      <c r="V309" s="121"/>
    </row>
    <row r="310">
      <c r="A310" s="120"/>
      <c r="B310" s="123"/>
      <c r="C310" s="124"/>
      <c r="D310" s="120"/>
      <c r="E310" s="125"/>
      <c r="F310" s="120"/>
      <c r="G310" s="125"/>
      <c r="H310" s="125"/>
      <c r="I310" s="125"/>
      <c r="J310" s="120"/>
      <c r="K310" s="120"/>
      <c r="L310" s="120"/>
      <c r="M310" s="120"/>
      <c r="N310" s="121"/>
      <c r="O310" s="121"/>
      <c r="P310" s="121"/>
      <c r="Q310" s="121"/>
      <c r="R310" s="121"/>
      <c r="S310" s="121"/>
      <c r="T310" s="121"/>
      <c r="U310" s="121"/>
      <c r="V310" s="121"/>
    </row>
    <row r="311">
      <c r="A311" s="120"/>
      <c r="B311" s="123"/>
      <c r="C311" s="124"/>
      <c r="D311" s="120"/>
      <c r="E311" s="125"/>
      <c r="F311" s="120"/>
      <c r="G311" s="125"/>
      <c r="H311" s="125"/>
      <c r="I311" s="125"/>
      <c r="J311" s="120"/>
      <c r="K311" s="120"/>
      <c r="L311" s="120"/>
      <c r="M311" s="120"/>
      <c r="N311" s="121"/>
      <c r="O311" s="121"/>
      <c r="P311" s="121"/>
      <c r="Q311" s="121"/>
      <c r="R311" s="121"/>
      <c r="S311" s="121"/>
      <c r="T311" s="121"/>
      <c r="U311" s="121"/>
      <c r="V311" s="121"/>
    </row>
    <row r="312">
      <c r="A312" s="120"/>
      <c r="B312" s="123"/>
      <c r="C312" s="124"/>
      <c r="D312" s="120"/>
      <c r="E312" s="125"/>
      <c r="F312" s="120"/>
      <c r="G312" s="125"/>
      <c r="H312" s="125"/>
      <c r="I312" s="125"/>
      <c r="J312" s="120"/>
      <c r="K312" s="120"/>
      <c r="L312" s="120"/>
      <c r="M312" s="120"/>
      <c r="N312" s="121"/>
      <c r="O312" s="121"/>
      <c r="P312" s="121"/>
      <c r="Q312" s="121"/>
      <c r="R312" s="121"/>
      <c r="S312" s="121"/>
      <c r="T312" s="121"/>
      <c r="U312" s="121"/>
      <c r="V312" s="121"/>
    </row>
    <row r="313">
      <c r="A313" s="120"/>
      <c r="B313" s="123"/>
      <c r="C313" s="124"/>
      <c r="D313" s="120"/>
      <c r="E313" s="125"/>
      <c r="F313" s="120"/>
      <c r="G313" s="125"/>
      <c r="H313" s="125"/>
      <c r="I313" s="125"/>
      <c r="J313" s="120"/>
      <c r="K313" s="120"/>
      <c r="L313" s="120"/>
      <c r="M313" s="120"/>
      <c r="N313" s="121"/>
      <c r="O313" s="121"/>
      <c r="P313" s="121"/>
      <c r="Q313" s="121"/>
      <c r="R313" s="121"/>
      <c r="S313" s="121"/>
      <c r="T313" s="121"/>
      <c r="U313" s="121"/>
      <c r="V313" s="121"/>
    </row>
    <row r="314">
      <c r="A314" s="120"/>
      <c r="B314" s="123"/>
      <c r="C314" s="124"/>
      <c r="D314" s="120"/>
      <c r="E314" s="125"/>
      <c r="F314" s="120"/>
      <c r="G314" s="125"/>
      <c r="H314" s="125"/>
      <c r="I314" s="125"/>
      <c r="J314" s="120"/>
      <c r="K314" s="120"/>
      <c r="L314" s="120"/>
      <c r="M314" s="120"/>
      <c r="N314" s="121"/>
      <c r="O314" s="121"/>
      <c r="P314" s="121"/>
      <c r="Q314" s="121"/>
      <c r="R314" s="121"/>
      <c r="S314" s="121"/>
      <c r="T314" s="121"/>
      <c r="U314" s="121"/>
      <c r="V314" s="121"/>
    </row>
    <row r="315">
      <c r="A315" s="120"/>
      <c r="B315" s="123"/>
      <c r="C315" s="124"/>
      <c r="D315" s="120"/>
      <c r="E315" s="125"/>
      <c r="F315" s="120"/>
      <c r="G315" s="125"/>
      <c r="H315" s="125"/>
      <c r="I315" s="125"/>
      <c r="J315" s="120"/>
      <c r="K315" s="120"/>
      <c r="L315" s="120"/>
      <c r="M315" s="120"/>
      <c r="N315" s="121"/>
      <c r="O315" s="121"/>
      <c r="P315" s="121"/>
      <c r="Q315" s="121"/>
      <c r="R315" s="121"/>
      <c r="S315" s="121"/>
      <c r="T315" s="121"/>
      <c r="U315" s="121"/>
      <c r="V315" s="121"/>
    </row>
    <row r="316">
      <c r="A316" s="120"/>
      <c r="B316" s="123"/>
      <c r="C316" s="124"/>
      <c r="D316" s="120"/>
      <c r="E316" s="125"/>
      <c r="F316" s="120"/>
      <c r="G316" s="125"/>
      <c r="H316" s="125"/>
      <c r="I316" s="125"/>
      <c r="J316" s="120"/>
      <c r="K316" s="120"/>
      <c r="L316" s="120"/>
      <c r="M316" s="120"/>
      <c r="N316" s="121"/>
      <c r="O316" s="121"/>
      <c r="P316" s="121"/>
      <c r="Q316" s="121"/>
      <c r="R316" s="121"/>
      <c r="S316" s="121"/>
      <c r="T316" s="121"/>
      <c r="U316" s="121"/>
      <c r="V316" s="121"/>
    </row>
    <row r="317">
      <c r="A317" s="120"/>
      <c r="B317" s="123"/>
      <c r="C317" s="124"/>
      <c r="D317" s="120"/>
      <c r="E317" s="125"/>
      <c r="F317" s="120"/>
      <c r="G317" s="125"/>
      <c r="H317" s="125"/>
      <c r="I317" s="125"/>
      <c r="J317" s="120"/>
      <c r="K317" s="120"/>
      <c r="L317" s="120"/>
      <c r="M317" s="120"/>
      <c r="N317" s="121"/>
      <c r="O317" s="121"/>
      <c r="P317" s="121"/>
      <c r="Q317" s="121"/>
      <c r="R317" s="121"/>
      <c r="S317" s="121"/>
      <c r="T317" s="121"/>
      <c r="U317" s="121"/>
      <c r="V317" s="121"/>
    </row>
    <row r="318">
      <c r="A318" s="120"/>
      <c r="B318" s="123"/>
      <c r="C318" s="124"/>
      <c r="D318" s="120"/>
      <c r="E318" s="125"/>
      <c r="F318" s="120"/>
      <c r="G318" s="125"/>
      <c r="H318" s="125"/>
      <c r="I318" s="125"/>
      <c r="J318" s="120"/>
      <c r="K318" s="120"/>
      <c r="L318" s="120"/>
      <c r="M318" s="120"/>
      <c r="N318" s="121"/>
      <c r="O318" s="121"/>
      <c r="P318" s="121"/>
      <c r="Q318" s="121"/>
      <c r="R318" s="121"/>
      <c r="S318" s="121"/>
      <c r="T318" s="121"/>
      <c r="U318" s="121"/>
      <c r="V318" s="121"/>
    </row>
    <row r="319">
      <c r="A319" s="120"/>
      <c r="B319" s="123"/>
      <c r="C319" s="124"/>
      <c r="D319" s="120"/>
      <c r="E319" s="125"/>
      <c r="F319" s="120"/>
      <c r="G319" s="125"/>
      <c r="H319" s="125"/>
      <c r="I319" s="125"/>
      <c r="J319" s="120"/>
      <c r="K319" s="120"/>
      <c r="L319" s="120"/>
      <c r="M319" s="120"/>
      <c r="N319" s="121"/>
      <c r="O319" s="121"/>
      <c r="P319" s="121"/>
      <c r="Q319" s="121"/>
      <c r="R319" s="121"/>
      <c r="S319" s="121"/>
      <c r="T319" s="121"/>
      <c r="U319" s="121"/>
      <c r="V319" s="121"/>
    </row>
    <row r="320">
      <c r="A320" s="120"/>
      <c r="B320" s="123"/>
      <c r="C320" s="124"/>
      <c r="D320" s="120"/>
      <c r="E320" s="125"/>
      <c r="F320" s="120"/>
      <c r="G320" s="125"/>
      <c r="H320" s="125"/>
      <c r="I320" s="125"/>
      <c r="J320" s="120"/>
      <c r="K320" s="120"/>
      <c r="L320" s="120"/>
      <c r="M320" s="120"/>
      <c r="N320" s="121"/>
      <c r="O320" s="121"/>
      <c r="P320" s="121"/>
      <c r="Q320" s="121"/>
      <c r="R320" s="121"/>
      <c r="S320" s="121"/>
      <c r="T320" s="121"/>
      <c r="U320" s="121"/>
      <c r="V320" s="121"/>
    </row>
    <row r="321">
      <c r="A321" s="120"/>
      <c r="B321" s="123"/>
      <c r="C321" s="124"/>
      <c r="D321" s="120"/>
      <c r="E321" s="125"/>
      <c r="F321" s="120"/>
      <c r="G321" s="125"/>
      <c r="H321" s="125"/>
      <c r="I321" s="125"/>
      <c r="J321" s="120"/>
      <c r="K321" s="120"/>
      <c r="L321" s="120"/>
      <c r="M321" s="120"/>
      <c r="N321" s="121"/>
      <c r="O321" s="121"/>
      <c r="P321" s="121"/>
      <c r="Q321" s="121"/>
      <c r="R321" s="121"/>
      <c r="S321" s="121"/>
      <c r="T321" s="121"/>
      <c r="U321" s="121"/>
      <c r="V321" s="121"/>
    </row>
    <row r="322">
      <c r="A322" s="120"/>
      <c r="B322" s="123"/>
      <c r="C322" s="124"/>
      <c r="D322" s="120"/>
      <c r="E322" s="125"/>
      <c r="F322" s="120"/>
      <c r="G322" s="125"/>
      <c r="H322" s="125"/>
      <c r="I322" s="125"/>
      <c r="J322" s="120"/>
      <c r="K322" s="120"/>
      <c r="L322" s="120"/>
      <c r="M322" s="120"/>
      <c r="N322" s="121"/>
      <c r="O322" s="121"/>
      <c r="P322" s="121"/>
      <c r="Q322" s="121"/>
      <c r="R322" s="121"/>
      <c r="S322" s="121"/>
      <c r="T322" s="121"/>
      <c r="U322" s="121"/>
      <c r="V322" s="121"/>
    </row>
    <row r="323">
      <c r="A323" s="120"/>
      <c r="B323" s="123"/>
      <c r="C323" s="124"/>
      <c r="D323" s="120"/>
      <c r="E323" s="125"/>
      <c r="F323" s="120"/>
      <c r="G323" s="125"/>
      <c r="H323" s="125"/>
      <c r="I323" s="125"/>
      <c r="J323" s="120"/>
      <c r="K323" s="120"/>
      <c r="L323" s="120"/>
      <c r="M323" s="120"/>
      <c r="N323" s="121"/>
      <c r="O323" s="121"/>
      <c r="P323" s="121"/>
      <c r="Q323" s="121"/>
      <c r="R323" s="121"/>
      <c r="S323" s="121"/>
      <c r="T323" s="121"/>
      <c r="U323" s="121"/>
      <c r="V323" s="121"/>
    </row>
    <row r="324">
      <c r="A324" s="120"/>
      <c r="B324" s="123"/>
      <c r="C324" s="124"/>
      <c r="D324" s="120"/>
      <c r="E324" s="125"/>
      <c r="F324" s="120"/>
      <c r="G324" s="125"/>
      <c r="H324" s="125"/>
      <c r="I324" s="125"/>
      <c r="J324" s="120"/>
      <c r="K324" s="120"/>
      <c r="L324" s="120"/>
      <c r="M324" s="120"/>
      <c r="N324" s="121"/>
      <c r="O324" s="121"/>
      <c r="P324" s="121"/>
      <c r="Q324" s="121"/>
      <c r="R324" s="121"/>
      <c r="S324" s="121"/>
      <c r="T324" s="121"/>
      <c r="U324" s="121"/>
      <c r="V324" s="121"/>
    </row>
    <row r="325">
      <c r="A325" s="120"/>
      <c r="B325" s="123"/>
      <c r="C325" s="124"/>
      <c r="D325" s="120"/>
      <c r="E325" s="125"/>
      <c r="F325" s="120"/>
      <c r="G325" s="125"/>
      <c r="H325" s="125"/>
      <c r="I325" s="125"/>
      <c r="J325" s="120"/>
      <c r="K325" s="120"/>
      <c r="L325" s="120"/>
      <c r="M325" s="120"/>
      <c r="N325" s="121"/>
      <c r="O325" s="121"/>
      <c r="P325" s="121"/>
      <c r="Q325" s="121"/>
      <c r="R325" s="121"/>
      <c r="S325" s="121"/>
      <c r="T325" s="121"/>
      <c r="U325" s="121"/>
      <c r="V325" s="121"/>
    </row>
    <row r="326">
      <c r="A326" s="120"/>
      <c r="B326" s="123"/>
      <c r="C326" s="124"/>
      <c r="D326" s="120"/>
      <c r="E326" s="125"/>
      <c r="F326" s="120"/>
      <c r="G326" s="125"/>
      <c r="H326" s="125"/>
      <c r="I326" s="125"/>
      <c r="J326" s="120"/>
      <c r="K326" s="120"/>
      <c r="L326" s="120"/>
      <c r="M326" s="120"/>
      <c r="N326" s="121"/>
      <c r="O326" s="121"/>
      <c r="P326" s="121"/>
      <c r="Q326" s="121"/>
      <c r="R326" s="121"/>
      <c r="S326" s="121"/>
      <c r="T326" s="121"/>
      <c r="U326" s="121"/>
      <c r="V326" s="121"/>
    </row>
    <row r="327">
      <c r="A327" s="120"/>
      <c r="B327" s="123"/>
      <c r="C327" s="124"/>
      <c r="D327" s="120"/>
      <c r="E327" s="125"/>
      <c r="F327" s="120"/>
      <c r="G327" s="125"/>
      <c r="H327" s="125"/>
      <c r="I327" s="125"/>
      <c r="J327" s="120"/>
      <c r="K327" s="120"/>
      <c r="L327" s="120"/>
      <c r="M327" s="120"/>
      <c r="N327" s="121"/>
      <c r="O327" s="121"/>
      <c r="P327" s="121"/>
      <c r="Q327" s="121"/>
      <c r="R327" s="121"/>
      <c r="S327" s="121"/>
      <c r="T327" s="121"/>
      <c r="U327" s="121"/>
      <c r="V327" s="121"/>
    </row>
    <row r="328">
      <c r="A328" s="120"/>
      <c r="B328" s="123"/>
      <c r="C328" s="124"/>
      <c r="D328" s="120"/>
      <c r="E328" s="125"/>
      <c r="F328" s="120"/>
      <c r="G328" s="125"/>
      <c r="H328" s="125"/>
      <c r="I328" s="125"/>
      <c r="J328" s="120"/>
      <c r="K328" s="120"/>
      <c r="L328" s="120"/>
      <c r="M328" s="120"/>
      <c r="N328" s="121"/>
      <c r="O328" s="121"/>
      <c r="P328" s="121"/>
      <c r="Q328" s="121"/>
      <c r="R328" s="121"/>
      <c r="S328" s="121"/>
      <c r="T328" s="121"/>
      <c r="U328" s="121"/>
      <c r="V328" s="121"/>
    </row>
    <row r="329">
      <c r="A329" s="120"/>
      <c r="B329" s="123"/>
      <c r="C329" s="124"/>
      <c r="D329" s="120"/>
      <c r="E329" s="125"/>
      <c r="F329" s="120"/>
      <c r="G329" s="125"/>
      <c r="H329" s="125"/>
      <c r="I329" s="125"/>
      <c r="J329" s="120"/>
      <c r="K329" s="120"/>
      <c r="L329" s="120"/>
      <c r="M329" s="120"/>
      <c r="N329" s="121"/>
      <c r="O329" s="121"/>
      <c r="P329" s="121"/>
      <c r="Q329" s="121"/>
      <c r="R329" s="121"/>
      <c r="S329" s="121"/>
      <c r="T329" s="121"/>
      <c r="U329" s="121"/>
      <c r="V329" s="121"/>
    </row>
    <row r="330">
      <c r="A330" s="120"/>
      <c r="B330" s="123"/>
      <c r="C330" s="124"/>
      <c r="D330" s="120"/>
      <c r="E330" s="125"/>
      <c r="F330" s="120"/>
      <c r="G330" s="125"/>
      <c r="H330" s="125"/>
      <c r="I330" s="125"/>
      <c r="J330" s="120"/>
      <c r="K330" s="120"/>
      <c r="L330" s="120"/>
      <c r="M330" s="120"/>
      <c r="N330" s="121"/>
      <c r="O330" s="121"/>
      <c r="P330" s="121"/>
      <c r="Q330" s="121"/>
      <c r="R330" s="121"/>
      <c r="S330" s="121"/>
      <c r="T330" s="121"/>
      <c r="U330" s="121"/>
      <c r="V330" s="121"/>
    </row>
    <row r="331">
      <c r="A331" s="120"/>
      <c r="B331" s="123"/>
      <c r="C331" s="124"/>
      <c r="D331" s="120"/>
      <c r="E331" s="125"/>
      <c r="F331" s="120"/>
      <c r="G331" s="125"/>
      <c r="H331" s="125"/>
      <c r="I331" s="125"/>
      <c r="J331" s="120"/>
      <c r="K331" s="120"/>
      <c r="L331" s="120"/>
      <c r="M331" s="120"/>
      <c r="N331" s="121"/>
      <c r="O331" s="121"/>
      <c r="P331" s="121"/>
      <c r="Q331" s="121"/>
      <c r="R331" s="121"/>
      <c r="S331" s="121"/>
      <c r="T331" s="121"/>
      <c r="U331" s="121"/>
      <c r="V331" s="121"/>
    </row>
    <row r="332">
      <c r="A332" s="120"/>
      <c r="B332" s="123"/>
      <c r="C332" s="124"/>
      <c r="D332" s="120"/>
      <c r="E332" s="125"/>
      <c r="F332" s="120"/>
      <c r="G332" s="125"/>
      <c r="H332" s="125"/>
      <c r="I332" s="125"/>
      <c r="J332" s="120"/>
      <c r="K332" s="120"/>
      <c r="L332" s="120"/>
      <c r="M332" s="120"/>
      <c r="N332" s="121"/>
      <c r="O332" s="121"/>
      <c r="P332" s="121"/>
      <c r="Q332" s="121"/>
      <c r="R332" s="121"/>
      <c r="S332" s="121"/>
      <c r="T332" s="121"/>
      <c r="U332" s="121"/>
      <c r="V332" s="121"/>
    </row>
    <row r="333">
      <c r="A333" s="120"/>
      <c r="B333" s="123"/>
      <c r="C333" s="124"/>
      <c r="D333" s="120"/>
      <c r="E333" s="125"/>
      <c r="F333" s="120"/>
      <c r="G333" s="125"/>
      <c r="H333" s="125"/>
      <c r="I333" s="125"/>
      <c r="J333" s="120"/>
      <c r="K333" s="120"/>
      <c r="L333" s="120"/>
      <c r="M333" s="120"/>
      <c r="N333" s="121"/>
      <c r="O333" s="121"/>
      <c r="P333" s="121"/>
      <c r="Q333" s="121"/>
      <c r="R333" s="121"/>
      <c r="S333" s="121"/>
      <c r="T333" s="121"/>
      <c r="U333" s="121"/>
      <c r="V333" s="121"/>
    </row>
    <row r="334">
      <c r="A334" s="120"/>
      <c r="B334" s="123"/>
      <c r="C334" s="124"/>
      <c r="D334" s="120"/>
      <c r="E334" s="125"/>
      <c r="F334" s="120"/>
      <c r="G334" s="125"/>
      <c r="H334" s="125"/>
      <c r="I334" s="125"/>
      <c r="J334" s="120"/>
      <c r="K334" s="120"/>
      <c r="L334" s="120"/>
      <c r="M334" s="120"/>
      <c r="N334" s="121"/>
      <c r="O334" s="121"/>
      <c r="P334" s="121"/>
      <c r="Q334" s="121"/>
      <c r="R334" s="121"/>
      <c r="S334" s="121"/>
      <c r="T334" s="121"/>
      <c r="U334" s="121"/>
      <c r="V334" s="121"/>
    </row>
    <row r="335">
      <c r="A335" s="120"/>
      <c r="B335" s="123"/>
      <c r="C335" s="124"/>
      <c r="D335" s="120"/>
      <c r="E335" s="125"/>
      <c r="F335" s="120"/>
      <c r="G335" s="125"/>
      <c r="H335" s="125"/>
      <c r="I335" s="125"/>
      <c r="J335" s="120"/>
      <c r="K335" s="120"/>
      <c r="L335" s="120"/>
      <c r="M335" s="120"/>
      <c r="N335" s="121"/>
      <c r="O335" s="121"/>
      <c r="P335" s="121"/>
      <c r="Q335" s="121"/>
      <c r="R335" s="121"/>
      <c r="S335" s="121"/>
      <c r="T335" s="121"/>
      <c r="U335" s="121"/>
      <c r="V335" s="121"/>
    </row>
    <row r="336">
      <c r="A336" s="120"/>
      <c r="B336" s="123"/>
      <c r="C336" s="124"/>
      <c r="D336" s="120"/>
      <c r="E336" s="125"/>
      <c r="F336" s="120"/>
      <c r="G336" s="125"/>
      <c r="H336" s="125"/>
      <c r="I336" s="125"/>
      <c r="J336" s="120"/>
      <c r="K336" s="120"/>
      <c r="L336" s="120"/>
      <c r="M336" s="120"/>
      <c r="N336" s="121"/>
      <c r="O336" s="121"/>
      <c r="P336" s="121"/>
      <c r="Q336" s="121"/>
      <c r="R336" s="121"/>
      <c r="S336" s="121"/>
      <c r="T336" s="121"/>
      <c r="U336" s="121"/>
      <c r="V336" s="121"/>
    </row>
    <row r="337">
      <c r="A337" s="120"/>
      <c r="B337" s="123"/>
      <c r="C337" s="124"/>
      <c r="D337" s="120"/>
      <c r="E337" s="125"/>
      <c r="F337" s="120"/>
      <c r="G337" s="125"/>
      <c r="H337" s="125"/>
      <c r="I337" s="125"/>
      <c r="J337" s="120"/>
      <c r="K337" s="120"/>
      <c r="L337" s="120"/>
      <c r="M337" s="120"/>
      <c r="N337" s="121"/>
      <c r="O337" s="121"/>
      <c r="P337" s="121"/>
      <c r="Q337" s="121"/>
      <c r="R337" s="121"/>
      <c r="S337" s="121"/>
      <c r="T337" s="121"/>
      <c r="U337" s="121"/>
      <c r="V337" s="121"/>
    </row>
    <row r="338">
      <c r="A338" s="120"/>
      <c r="B338" s="123"/>
      <c r="C338" s="124"/>
      <c r="D338" s="120"/>
      <c r="E338" s="125"/>
      <c r="F338" s="120"/>
      <c r="G338" s="125"/>
      <c r="H338" s="125"/>
      <c r="I338" s="125"/>
      <c r="J338" s="120"/>
      <c r="K338" s="120"/>
      <c r="L338" s="120"/>
      <c r="M338" s="120"/>
      <c r="N338" s="121"/>
      <c r="O338" s="121"/>
      <c r="P338" s="121"/>
      <c r="Q338" s="121"/>
      <c r="R338" s="121"/>
      <c r="S338" s="121"/>
      <c r="T338" s="121"/>
      <c r="U338" s="121"/>
      <c r="V338" s="121"/>
    </row>
    <row r="339">
      <c r="A339" s="120"/>
      <c r="B339" s="123"/>
      <c r="C339" s="124"/>
      <c r="D339" s="120"/>
      <c r="E339" s="125"/>
      <c r="F339" s="120"/>
      <c r="G339" s="125"/>
      <c r="H339" s="125"/>
      <c r="I339" s="125"/>
      <c r="J339" s="120"/>
      <c r="K339" s="120"/>
      <c r="L339" s="120"/>
      <c r="M339" s="120"/>
      <c r="N339" s="121"/>
      <c r="O339" s="121"/>
      <c r="P339" s="121"/>
      <c r="Q339" s="121"/>
      <c r="R339" s="121"/>
      <c r="S339" s="121"/>
      <c r="T339" s="121"/>
      <c r="U339" s="121"/>
      <c r="V339" s="121"/>
    </row>
    <row r="340">
      <c r="A340" s="120"/>
      <c r="B340" s="123"/>
      <c r="C340" s="124"/>
      <c r="D340" s="120"/>
      <c r="E340" s="125"/>
      <c r="F340" s="120"/>
      <c r="G340" s="125"/>
      <c r="H340" s="125"/>
      <c r="I340" s="125"/>
      <c r="J340" s="120"/>
      <c r="K340" s="120"/>
      <c r="L340" s="120"/>
      <c r="M340" s="120"/>
      <c r="N340" s="121"/>
      <c r="O340" s="121"/>
      <c r="P340" s="121"/>
      <c r="Q340" s="121"/>
      <c r="R340" s="121"/>
      <c r="S340" s="121"/>
      <c r="T340" s="121"/>
      <c r="U340" s="121"/>
      <c r="V340" s="121"/>
    </row>
    <row r="341">
      <c r="A341" s="120"/>
      <c r="B341" s="123"/>
      <c r="C341" s="124"/>
      <c r="D341" s="120"/>
      <c r="E341" s="125"/>
      <c r="F341" s="120"/>
      <c r="G341" s="125"/>
      <c r="H341" s="125"/>
      <c r="I341" s="125"/>
      <c r="J341" s="120"/>
      <c r="K341" s="120"/>
      <c r="L341" s="120"/>
      <c r="M341" s="120"/>
      <c r="N341" s="121"/>
      <c r="O341" s="121"/>
      <c r="P341" s="121"/>
      <c r="Q341" s="121"/>
      <c r="R341" s="121"/>
      <c r="S341" s="121"/>
      <c r="T341" s="121"/>
      <c r="U341" s="121"/>
      <c r="V341" s="121"/>
    </row>
    <row r="342">
      <c r="A342" s="120"/>
      <c r="B342" s="123"/>
      <c r="C342" s="124"/>
      <c r="D342" s="120"/>
      <c r="E342" s="125"/>
      <c r="F342" s="120"/>
      <c r="G342" s="125"/>
      <c r="H342" s="125"/>
      <c r="I342" s="125"/>
      <c r="J342" s="120"/>
      <c r="K342" s="120"/>
      <c r="L342" s="120"/>
      <c r="M342" s="120"/>
      <c r="N342" s="121"/>
      <c r="O342" s="121"/>
      <c r="P342" s="121"/>
      <c r="Q342" s="121"/>
      <c r="R342" s="121"/>
      <c r="S342" s="121"/>
      <c r="T342" s="121"/>
      <c r="U342" s="121"/>
      <c r="V342" s="121"/>
    </row>
    <row r="343">
      <c r="A343" s="120"/>
      <c r="B343" s="123"/>
      <c r="C343" s="124"/>
      <c r="D343" s="120"/>
      <c r="E343" s="125"/>
      <c r="F343" s="120"/>
      <c r="G343" s="125"/>
      <c r="H343" s="125"/>
      <c r="I343" s="125"/>
      <c r="J343" s="120"/>
      <c r="K343" s="120"/>
      <c r="L343" s="120"/>
      <c r="M343" s="120"/>
      <c r="N343" s="121"/>
      <c r="O343" s="121"/>
      <c r="P343" s="121"/>
      <c r="Q343" s="121"/>
      <c r="R343" s="121"/>
      <c r="S343" s="121"/>
      <c r="T343" s="121"/>
      <c r="U343" s="121"/>
      <c r="V343" s="121"/>
    </row>
    <row r="344">
      <c r="A344" s="120"/>
      <c r="B344" s="123"/>
      <c r="C344" s="124"/>
      <c r="D344" s="120"/>
      <c r="E344" s="125"/>
      <c r="F344" s="120"/>
      <c r="G344" s="125"/>
      <c r="H344" s="125"/>
      <c r="I344" s="125"/>
      <c r="J344" s="120"/>
      <c r="K344" s="120"/>
      <c r="L344" s="120"/>
      <c r="M344" s="120"/>
      <c r="N344" s="121"/>
      <c r="O344" s="121"/>
      <c r="P344" s="121"/>
      <c r="Q344" s="121"/>
      <c r="R344" s="121"/>
      <c r="S344" s="121"/>
      <c r="T344" s="121"/>
      <c r="U344" s="121"/>
      <c r="V344" s="121"/>
    </row>
    <row r="345">
      <c r="A345" s="120"/>
      <c r="B345" s="123"/>
      <c r="C345" s="124"/>
      <c r="D345" s="120"/>
      <c r="E345" s="125"/>
      <c r="F345" s="120"/>
      <c r="G345" s="125"/>
      <c r="H345" s="125"/>
      <c r="I345" s="125"/>
      <c r="J345" s="120"/>
      <c r="K345" s="120"/>
      <c r="L345" s="120"/>
      <c r="M345" s="120"/>
      <c r="N345" s="121"/>
      <c r="O345" s="121"/>
      <c r="P345" s="121"/>
      <c r="Q345" s="121"/>
      <c r="R345" s="121"/>
      <c r="S345" s="121"/>
      <c r="T345" s="121"/>
      <c r="U345" s="121"/>
      <c r="V345" s="121"/>
    </row>
    <row r="346">
      <c r="A346" s="120"/>
      <c r="B346" s="123"/>
      <c r="C346" s="124"/>
      <c r="D346" s="120"/>
      <c r="E346" s="125"/>
      <c r="F346" s="120"/>
      <c r="G346" s="125"/>
      <c r="H346" s="125"/>
      <c r="I346" s="125"/>
      <c r="J346" s="120"/>
      <c r="K346" s="120"/>
      <c r="L346" s="120"/>
      <c r="M346" s="120"/>
      <c r="N346" s="121"/>
      <c r="O346" s="121"/>
      <c r="P346" s="121"/>
      <c r="Q346" s="121"/>
      <c r="R346" s="121"/>
      <c r="S346" s="121"/>
      <c r="T346" s="121"/>
      <c r="U346" s="121"/>
      <c r="V346" s="121"/>
    </row>
    <row r="347">
      <c r="A347" s="120"/>
      <c r="B347" s="123"/>
      <c r="C347" s="124"/>
      <c r="D347" s="120"/>
      <c r="E347" s="122"/>
      <c r="F347" s="120"/>
      <c r="G347" s="122"/>
      <c r="H347" s="122"/>
      <c r="I347" s="122"/>
      <c r="J347" s="120"/>
      <c r="K347" s="120"/>
      <c r="L347" s="120"/>
      <c r="M347" s="120"/>
      <c r="N347" s="121"/>
      <c r="O347" s="121"/>
      <c r="P347" s="121"/>
      <c r="Q347" s="121"/>
      <c r="R347" s="121"/>
      <c r="S347" s="121"/>
      <c r="T347" s="121"/>
      <c r="U347" s="121"/>
      <c r="V347" s="121"/>
    </row>
    <row r="348">
      <c r="A348" s="120"/>
      <c r="B348" s="123"/>
      <c r="C348" s="124"/>
      <c r="D348" s="120"/>
      <c r="E348" s="122"/>
      <c r="F348" s="120"/>
      <c r="G348" s="122"/>
      <c r="H348" s="122"/>
      <c r="I348" s="122"/>
      <c r="J348" s="120"/>
      <c r="K348" s="120"/>
      <c r="L348" s="120"/>
      <c r="M348" s="120"/>
      <c r="N348" s="121"/>
      <c r="O348" s="121"/>
      <c r="P348" s="121"/>
      <c r="Q348" s="121"/>
      <c r="R348" s="121"/>
      <c r="S348" s="121"/>
      <c r="T348" s="121"/>
      <c r="U348" s="121"/>
      <c r="V348" s="121"/>
    </row>
    <row r="349">
      <c r="A349" s="120"/>
      <c r="B349" s="123"/>
      <c r="C349" s="124"/>
      <c r="D349" s="120"/>
      <c r="E349" s="122"/>
      <c r="F349" s="120"/>
      <c r="G349" s="122"/>
      <c r="H349" s="122"/>
      <c r="I349" s="122"/>
      <c r="J349" s="120"/>
      <c r="K349" s="120"/>
      <c r="L349" s="120"/>
      <c r="M349" s="120"/>
      <c r="N349" s="121"/>
      <c r="O349" s="121"/>
      <c r="P349" s="121"/>
      <c r="Q349" s="121"/>
      <c r="R349" s="121"/>
      <c r="S349" s="121"/>
      <c r="T349" s="121"/>
      <c r="U349" s="121"/>
      <c r="V349" s="121"/>
    </row>
    <row r="350">
      <c r="A350" s="120"/>
      <c r="B350" s="123"/>
      <c r="C350" s="124"/>
      <c r="D350" s="120"/>
      <c r="E350" s="122"/>
      <c r="F350" s="120"/>
      <c r="G350" s="122"/>
      <c r="H350" s="122"/>
      <c r="I350" s="122"/>
      <c r="J350" s="120"/>
      <c r="K350" s="120"/>
      <c r="L350" s="120"/>
      <c r="M350" s="120"/>
      <c r="N350" s="121"/>
      <c r="O350" s="121"/>
      <c r="P350" s="121"/>
      <c r="Q350" s="121"/>
      <c r="R350" s="121"/>
      <c r="S350" s="121"/>
      <c r="T350" s="121"/>
      <c r="U350" s="121"/>
      <c r="V350" s="121"/>
    </row>
    <row r="351">
      <c r="A351" s="120"/>
      <c r="B351" s="123"/>
      <c r="C351" s="124"/>
      <c r="D351" s="120"/>
      <c r="E351" s="122"/>
      <c r="F351" s="120"/>
      <c r="G351" s="122"/>
      <c r="H351" s="122"/>
      <c r="I351" s="122"/>
      <c r="J351" s="120"/>
      <c r="K351" s="120"/>
      <c r="L351" s="120"/>
      <c r="M351" s="120"/>
      <c r="N351" s="121"/>
      <c r="O351" s="121"/>
      <c r="P351" s="121"/>
      <c r="Q351" s="121"/>
      <c r="R351" s="121"/>
      <c r="S351" s="121"/>
      <c r="T351" s="121"/>
      <c r="U351" s="121"/>
      <c r="V351" s="121"/>
    </row>
    <row r="352">
      <c r="A352" s="120"/>
      <c r="B352" s="123"/>
      <c r="C352" s="124"/>
      <c r="D352" s="120"/>
      <c r="E352" s="122"/>
      <c r="F352" s="120"/>
      <c r="G352" s="122"/>
      <c r="H352" s="122"/>
      <c r="I352" s="122"/>
      <c r="J352" s="120"/>
      <c r="K352" s="120"/>
      <c r="L352" s="120"/>
      <c r="M352" s="120"/>
      <c r="N352" s="121"/>
      <c r="O352" s="121"/>
      <c r="P352" s="121"/>
      <c r="Q352" s="121"/>
      <c r="R352" s="121"/>
      <c r="S352" s="121"/>
      <c r="T352" s="121"/>
      <c r="U352" s="121"/>
      <c r="V352" s="121"/>
    </row>
    <row r="353">
      <c r="A353" s="120"/>
      <c r="B353" s="123"/>
      <c r="C353" s="124"/>
      <c r="D353" s="120"/>
      <c r="E353" s="122"/>
      <c r="F353" s="120"/>
      <c r="G353" s="122"/>
      <c r="H353" s="122"/>
      <c r="I353" s="122"/>
      <c r="J353" s="120"/>
      <c r="K353" s="120"/>
      <c r="L353" s="120"/>
      <c r="M353" s="120"/>
      <c r="N353" s="121"/>
      <c r="O353" s="121"/>
      <c r="P353" s="121"/>
      <c r="Q353" s="121"/>
      <c r="R353" s="121"/>
      <c r="S353" s="121"/>
      <c r="T353" s="121"/>
      <c r="U353" s="121"/>
      <c r="V353" s="121"/>
    </row>
    <row r="354">
      <c r="A354" s="120"/>
      <c r="B354" s="123"/>
      <c r="C354" s="124"/>
      <c r="D354" s="120"/>
      <c r="E354" s="122"/>
      <c r="F354" s="120"/>
      <c r="G354" s="122"/>
      <c r="H354" s="122"/>
      <c r="I354" s="122"/>
      <c r="J354" s="120"/>
      <c r="K354" s="120"/>
      <c r="L354" s="120"/>
      <c r="M354" s="120"/>
      <c r="N354" s="121"/>
      <c r="O354" s="121"/>
      <c r="P354" s="121"/>
      <c r="Q354" s="121"/>
      <c r="R354" s="121"/>
      <c r="S354" s="121"/>
      <c r="T354" s="121"/>
      <c r="U354" s="121"/>
      <c r="V354" s="121"/>
    </row>
    <row r="355">
      <c r="A355" s="120"/>
      <c r="B355" s="123"/>
      <c r="C355" s="124"/>
      <c r="D355" s="120"/>
      <c r="E355" s="122"/>
      <c r="F355" s="120"/>
      <c r="G355" s="122"/>
      <c r="H355" s="122"/>
      <c r="I355" s="122"/>
      <c r="J355" s="120"/>
      <c r="K355" s="120"/>
      <c r="L355" s="120"/>
      <c r="M355" s="120"/>
      <c r="N355" s="121"/>
      <c r="O355" s="121"/>
      <c r="P355" s="121"/>
      <c r="Q355" s="121"/>
      <c r="R355" s="121"/>
      <c r="S355" s="121"/>
      <c r="T355" s="121"/>
      <c r="U355" s="121"/>
      <c r="V355" s="121"/>
    </row>
    <row r="356">
      <c r="A356" s="120"/>
      <c r="B356" s="123"/>
      <c r="C356" s="124"/>
      <c r="D356" s="120"/>
      <c r="E356" s="122"/>
      <c r="F356" s="120"/>
      <c r="G356" s="122"/>
      <c r="H356" s="122"/>
      <c r="I356" s="122"/>
      <c r="J356" s="120"/>
      <c r="K356" s="120"/>
      <c r="L356" s="120"/>
      <c r="M356" s="120"/>
      <c r="N356" s="121"/>
      <c r="O356" s="121"/>
      <c r="P356" s="121"/>
      <c r="Q356" s="121"/>
      <c r="R356" s="121"/>
      <c r="S356" s="121"/>
      <c r="T356" s="121"/>
      <c r="U356" s="121"/>
      <c r="V356" s="121"/>
    </row>
    <row r="357">
      <c r="A357" s="120"/>
      <c r="B357" s="123"/>
      <c r="C357" s="124"/>
      <c r="D357" s="120"/>
      <c r="E357" s="122"/>
      <c r="F357" s="120"/>
      <c r="G357" s="122"/>
      <c r="H357" s="122"/>
      <c r="I357" s="122"/>
      <c r="J357" s="120"/>
      <c r="K357" s="120"/>
      <c r="L357" s="120"/>
      <c r="M357" s="120"/>
      <c r="N357" s="121"/>
      <c r="O357" s="121"/>
      <c r="P357" s="121"/>
      <c r="Q357" s="121"/>
      <c r="R357" s="121"/>
      <c r="S357" s="121"/>
      <c r="T357" s="121"/>
      <c r="U357" s="121"/>
      <c r="V357" s="121"/>
    </row>
    <row r="358">
      <c r="A358" s="120"/>
      <c r="B358" s="123"/>
      <c r="C358" s="124"/>
      <c r="D358" s="120"/>
      <c r="E358" s="122"/>
      <c r="F358" s="120"/>
      <c r="G358" s="122"/>
      <c r="H358" s="122"/>
      <c r="I358" s="122"/>
      <c r="J358" s="120"/>
      <c r="K358" s="120"/>
      <c r="L358" s="120"/>
      <c r="M358" s="120"/>
      <c r="N358" s="121"/>
      <c r="O358" s="121"/>
      <c r="P358" s="121"/>
      <c r="Q358" s="121"/>
      <c r="R358" s="121"/>
      <c r="S358" s="121"/>
      <c r="T358" s="121"/>
      <c r="U358" s="121"/>
      <c r="V358" s="121"/>
    </row>
    <row r="359">
      <c r="A359" s="120"/>
      <c r="B359" s="123"/>
      <c r="C359" s="124"/>
      <c r="D359" s="120"/>
      <c r="E359" s="122"/>
      <c r="F359" s="120"/>
      <c r="G359" s="122"/>
      <c r="H359" s="122"/>
      <c r="I359" s="122"/>
      <c r="J359" s="120"/>
      <c r="K359" s="120"/>
      <c r="L359" s="120"/>
      <c r="M359" s="120"/>
      <c r="N359" s="121"/>
      <c r="O359" s="121"/>
      <c r="P359" s="121"/>
      <c r="Q359" s="121"/>
      <c r="R359" s="121"/>
      <c r="S359" s="121"/>
      <c r="T359" s="121"/>
      <c r="U359" s="121"/>
      <c r="V359" s="121"/>
    </row>
    <row r="360">
      <c r="A360" s="120"/>
      <c r="B360" s="123"/>
      <c r="C360" s="124"/>
      <c r="D360" s="120"/>
      <c r="E360" s="122"/>
      <c r="F360" s="120"/>
      <c r="G360" s="122"/>
      <c r="H360" s="122"/>
      <c r="I360" s="122"/>
      <c r="J360" s="120"/>
      <c r="K360" s="120"/>
      <c r="L360" s="120"/>
      <c r="M360" s="120"/>
      <c r="N360" s="121"/>
      <c r="O360" s="121"/>
      <c r="P360" s="121"/>
      <c r="Q360" s="121"/>
      <c r="R360" s="121"/>
      <c r="S360" s="121"/>
      <c r="T360" s="121"/>
      <c r="U360" s="121"/>
      <c r="V360" s="121"/>
    </row>
    <row r="361">
      <c r="A361" s="120"/>
      <c r="B361" s="123"/>
      <c r="C361" s="124"/>
      <c r="D361" s="120"/>
      <c r="E361" s="122"/>
      <c r="F361" s="120"/>
      <c r="G361" s="122"/>
      <c r="H361" s="122"/>
      <c r="I361" s="122"/>
      <c r="J361" s="120"/>
      <c r="K361" s="120"/>
      <c r="L361" s="120"/>
      <c r="M361" s="120"/>
      <c r="N361" s="121"/>
      <c r="O361" s="121"/>
      <c r="P361" s="121"/>
      <c r="Q361" s="121"/>
      <c r="R361" s="121"/>
      <c r="S361" s="121"/>
      <c r="T361" s="121"/>
      <c r="U361" s="121"/>
      <c r="V361" s="121"/>
    </row>
    <row r="362">
      <c r="A362" s="120"/>
      <c r="B362" s="123"/>
      <c r="C362" s="124"/>
      <c r="D362" s="120"/>
      <c r="E362" s="122"/>
      <c r="F362" s="120"/>
      <c r="G362" s="122"/>
      <c r="H362" s="122"/>
      <c r="I362" s="122"/>
      <c r="J362" s="120"/>
      <c r="K362" s="120"/>
      <c r="L362" s="120"/>
      <c r="M362" s="120"/>
      <c r="N362" s="121"/>
      <c r="O362" s="121"/>
      <c r="P362" s="121"/>
      <c r="Q362" s="121"/>
      <c r="R362" s="121"/>
      <c r="S362" s="121"/>
      <c r="T362" s="121"/>
      <c r="U362" s="121"/>
      <c r="V362" s="121"/>
    </row>
    <row r="363">
      <c r="A363" s="120"/>
      <c r="B363" s="123"/>
      <c r="C363" s="124"/>
      <c r="D363" s="120"/>
      <c r="E363" s="122"/>
      <c r="F363" s="120"/>
      <c r="G363" s="122"/>
      <c r="H363" s="122"/>
      <c r="I363" s="122"/>
      <c r="J363" s="120"/>
      <c r="K363" s="120"/>
      <c r="L363" s="120"/>
      <c r="M363" s="120"/>
      <c r="N363" s="121"/>
      <c r="O363" s="121"/>
      <c r="P363" s="121"/>
      <c r="Q363" s="121"/>
      <c r="R363" s="121"/>
      <c r="S363" s="121"/>
      <c r="T363" s="121"/>
      <c r="U363" s="121"/>
      <c r="V363" s="121"/>
    </row>
    <row r="364">
      <c r="A364" s="120"/>
      <c r="B364" s="123"/>
      <c r="C364" s="124"/>
      <c r="D364" s="120"/>
      <c r="E364" s="122"/>
      <c r="F364" s="120"/>
      <c r="G364" s="122"/>
      <c r="H364" s="122"/>
      <c r="I364" s="122"/>
      <c r="J364" s="120"/>
      <c r="K364" s="120"/>
      <c r="L364" s="120"/>
      <c r="M364" s="120"/>
      <c r="N364" s="121"/>
      <c r="O364" s="121"/>
      <c r="P364" s="121"/>
      <c r="Q364" s="121"/>
      <c r="R364" s="121"/>
      <c r="S364" s="121"/>
      <c r="T364" s="121"/>
      <c r="U364" s="121"/>
      <c r="V364" s="121"/>
    </row>
    <row r="365">
      <c r="A365" s="120"/>
      <c r="B365" s="123"/>
      <c r="C365" s="124"/>
      <c r="D365" s="120"/>
      <c r="E365" s="125"/>
      <c r="F365" s="120"/>
      <c r="G365" s="125"/>
      <c r="H365" s="125"/>
      <c r="I365" s="125"/>
      <c r="J365" s="120"/>
      <c r="K365" s="120"/>
      <c r="L365" s="120"/>
      <c r="M365" s="120"/>
      <c r="N365" s="121"/>
      <c r="O365" s="121"/>
      <c r="P365" s="121"/>
      <c r="Q365" s="121"/>
      <c r="R365" s="121"/>
      <c r="S365" s="121"/>
      <c r="T365" s="121"/>
      <c r="U365" s="121"/>
      <c r="V365" s="121"/>
    </row>
    <row r="366">
      <c r="A366" s="120"/>
      <c r="B366" s="123"/>
      <c r="C366" s="124"/>
      <c r="D366" s="120"/>
      <c r="E366" s="125"/>
      <c r="F366" s="120"/>
      <c r="G366" s="125"/>
      <c r="H366" s="125"/>
      <c r="I366" s="125"/>
      <c r="J366" s="120"/>
      <c r="K366" s="120"/>
      <c r="L366" s="120"/>
      <c r="M366" s="120"/>
      <c r="N366" s="121"/>
      <c r="O366" s="121"/>
      <c r="P366" s="121"/>
      <c r="Q366" s="121"/>
      <c r="R366" s="121"/>
      <c r="S366" s="121"/>
      <c r="T366" s="121"/>
      <c r="U366" s="121"/>
      <c r="V366" s="121"/>
    </row>
    <row r="367">
      <c r="A367" s="120"/>
      <c r="B367" s="123"/>
      <c r="C367" s="124"/>
      <c r="D367" s="120"/>
      <c r="E367" s="125"/>
      <c r="F367" s="120"/>
      <c r="G367" s="125"/>
      <c r="H367" s="125"/>
      <c r="I367" s="125"/>
      <c r="J367" s="120"/>
      <c r="K367" s="120"/>
      <c r="L367" s="120"/>
      <c r="M367" s="120"/>
      <c r="N367" s="121"/>
      <c r="O367" s="121"/>
      <c r="P367" s="121"/>
      <c r="Q367" s="121"/>
      <c r="R367" s="121"/>
      <c r="S367" s="121"/>
      <c r="T367" s="121"/>
      <c r="U367" s="121"/>
      <c r="V367" s="121"/>
    </row>
    <row r="368">
      <c r="A368" s="120"/>
      <c r="B368" s="123"/>
      <c r="C368" s="124"/>
      <c r="D368" s="120"/>
      <c r="E368" s="125"/>
      <c r="F368" s="120"/>
      <c r="G368" s="125"/>
      <c r="H368" s="125"/>
      <c r="I368" s="125"/>
      <c r="J368" s="120"/>
      <c r="K368" s="120"/>
      <c r="L368" s="120"/>
      <c r="M368" s="120"/>
      <c r="N368" s="121"/>
      <c r="O368" s="121"/>
      <c r="P368" s="121"/>
      <c r="Q368" s="121"/>
      <c r="R368" s="121"/>
      <c r="S368" s="121"/>
      <c r="T368" s="121"/>
      <c r="U368" s="121"/>
      <c r="V368" s="121"/>
    </row>
    <row r="369">
      <c r="A369" s="120"/>
      <c r="B369" s="123"/>
      <c r="C369" s="124"/>
      <c r="D369" s="120"/>
      <c r="E369" s="125"/>
      <c r="F369" s="120"/>
      <c r="G369" s="125"/>
      <c r="H369" s="125"/>
      <c r="I369" s="125"/>
      <c r="J369" s="120"/>
      <c r="K369" s="120"/>
      <c r="L369" s="120"/>
      <c r="M369" s="120"/>
      <c r="N369" s="121"/>
      <c r="O369" s="121"/>
      <c r="P369" s="121"/>
      <c r="Q369" s="121"/>
      <c r="R369" s="121"/>
      <c r="S369" s="121"/>
      <c r="T369" s="121"/>
      <c r="U369" s="121"/>
      <c r="V369" s="121"/>
    </row>
    <row r="370">
      <c r="A370" s="120"/>
      <c r="B370" s="123"/>
      <c r="C370" s="124"/>
      <c r="D370" s="120"/>
      <c r="E370" s="125"/>
      <c r="F370" s="120"/>
      <c r="G370" s="125"/>
      <c r="H370" s="125"/>
      <c r="I370" s="125"/>
      <c r="J370" s="120"/>
      <c r="K370" s="120"/>
      <c r="L370" s="120"/>
      <c r="M370" s="120"/>
      <c r="N370" s="121"/>
      <c r="O370" s="121"/>
      <c r="P370" s="121"/>
      <c r="Q370" s="121"/>
      <c r="R370" s="121"/>
      <c r="S370" s="121"/>
      <c r="T370" s="121"/>
      <c r="U370" s="121"/>
      <c r="V370" s="121"/>
    </row>
    <row r="371">
      <c r="A371" s="120"/>
      <c r="B371" s="123"/>
      <c r="C371" s="124"/>
      <c r="D371" s="120"/>
      <c r="E371" s="125"/>
      <c r="F371" s="120"/>
      <c r="G371" s="125"/>
      <c r="H371" s="125"/>
      <c r="I371" s="125"/>
      <c r="J371" s="120"/>
      <c r="K371" s="120"/>
      <c r="L371" s="120"/>
      <c r="M371" s="120"/>
      <c r="N371" s="121"/>
      <c r="O371" s="121"/>
      <c r="P371" s="121"/>
      <c r="Q371" s="121"/>
      <c r="R371" s="121"/>
      <c r="S371" s="121"/>
      <c r="T371" s="121"/>
      <c r="U371" s="121"/>
      <c r="V371" s="121"/>
    </row>
    <row r="372">
      <c r="A372" s="120"/>
      <c r="B372" s="123"/>
      <c r="C372" s="124"/>
      <c r="D372" s="120"/>
      <c r="E372" s="125"/>
      <c r="F372" s="120"/>
      <c r="G372" s="125"/>
      <c r="H372" s="125"/>
      <c r="I372" s="125"/>
      <c r="J372" s="120"/>
      <c r="K372" s="120"/>
      <c r="L372" s="120"/>
      <c r="M372" s="120"/>
      <c r="N372" s="121"/>
      <c r="O372" s="121"/>
      <c r="P372" s="121"/>
      <c r="Q372" s="121"/>
      <c r="R372" s="121"/>
      <c r="S372" s="121"/>
      <c r="T372" s="121"/>
      <c r="U372" s="121"/>
      <c r="V372" s="121"/>
    </row>
    <row r="373">
      <c r="A373" s="120"/>
      <c r="B373" s="123"/>
      <c r="C373" s="124"/>
      <c r="D373" s="120"/>
      <c r="E373" s="125"/>
      <c r="F373" s="120"/>
      <c r="G373" s="125"/>
      <c r="H373" s="125"/>
      <c r="I373" s="125"/>
      <c r="J373" s="120"/>
      <c r="K373" s="120"/>
      <c r="L373" s="120"/>
      <c r="M373" s="120"/>
      <c r="N373" s="121"/>
      <c r="O373" s="121"/>
      <c r="P373" s="121"/>
      <c r="Q373" s="121"/>
      <c r="R373" s="121"/>
      <c r="S373" s="121"/>
      <c r="T373" s="121"/>
      <c r="U373" s="121"/>
      <c r="V373" s="121"/>
    </row>
    <row r="374">
      <c r="A374" s="120"/>
      <c r="B374" s="123"/>
      <c r="C374" s="124"/>
      <c r="D374" s="120"/>
      <c r="E374" s="125"/>
      <c r="F374" s="120"/>
      <c r="G374" s="125"/>
      <c r="H374" s="125"/>
      <c r="I374" s="125"/>
      <c r="J374" s="120"/>
      <c r="K374" s="120"/>
      <c r="L374" s="120"/>
      <c r="M374" s="120"/>
      <c r="N374" s="121"/>
      <c r="O374" s="121"/>
      <c r="P374" s="121"/>
      <c r="Q374" s="121"/>
      <c r="R374" s="121"/>
      <c r="S374" s="121"/>
      <c r="T374" s="121"/>
      <c r="U374" s="121"/>
      <c r="V374" s="121"/>
    </row>
    <row r="375">
      <c r="A375" s="120"/>
      <c r="B375" s="123"/>
      <c r="C375" s="124"/>
      <c r="D375" s="120"/>
      <c r="E375" s="125"/>
      <c r="F375" s="120"/>
      <c r="G375" s="125"/>
      <c r="H375" s="125"/>
      <c r="I375" s="125"/>
      <c r="J375" s="120"/>
      <c r="K375" s="120"/>
      <c r="L375" s="120"/>
      <c r="M375" s="120"/>
      <c r="N375" s="121"/>
      <c r="O375" s="121"/>
      <c r="P375" s="121"/>
      <c r="Q375" s="121"/>
      <c r="R375" s="121"/>
      <c r="S375" s="121"/>
      <c r="T375" s="121"/>
      <c r="U375" s="121"/>
      <c r="V375" s="121"/>
    </row>
    <row r="376">
      <c r="A376" s="120"/>
      <c r="B376" s="123"/>
      <c r="C376" s="124"/>
      <c r="D376" s="120"/>
      <c r="E376" s="125"/>
      <c r="F376" s="120"/>
      <c r="G376" s="125"/>
      <c r="H376" s="125"/>
      <c r="I376" s="125"/>
      <c r="J376" s="120"/>
      <c r="K376" s="120"/>
      <c r="L376" s="120"/>
      <c r="M376" s="120"/>
      <c r="N376" s="121"/>
      <c r="O376" s="121"/>
      <c r="P376" s="121"/>
      <c r="Q376" s="121"/>
      <c r="R376" s="121"/>
      <c r="S376" s="121"/>
      <c r="T376" s="121"/>
      <c r="U376" s="121"/>
      <c r="V376" s="121"/>
    </row>
    <row r="377">
      <c r="A377" s="120"/>
      <c r="B377" s="123"/>
      <c r="C377" s="124"/>
      <c r="D377" s="120"/>
      <c r="E377" s="125"/>
      <c r="F377" s="120"/>
      <c r="G377" s="125"/>
      <c r="H377" s="125"/>
      <c r="I377" s="125"/>
      <c r="J377" s="120"/>
      <c r="K377" s="120"/>
      <c r="L377" s="120"/>
      <c r="M377" s="120"/>
      <c r="N377" s="121"/>
      <c r="O377" s="121"/>
      <c r="P377" s="121"/>
      <c r="Q377" s="121"/>
      <c r="R377" s="121"/>
      <c r="S377" s="121"/>
      <c r="T377" s="121"/>
      <c r="U377" s="121"/>
      <c r="V377" s="121"/>
    </row>
    <row r="378">
      <c r="A378" s="120"/>
      <c r="B378" s="123"/>
      <c r="C378" s="124"/>
      <c r="D378" s="120"/>
      <c r="E378" s="125"/>
      <c r="F378" s="120"/>
      <c r="G378" s="125"/>
      <c r="H378" s="125"/>
      <c r="I378" s="125"/>
      <c r="J378" s="120"/>
      <c r="K378" s="120"/>
      <c r="L378" s="120"/>
      <c r="M378" s="120"/>
      <c r="N378" s="121"/>
      <c r="O378" s="121"/>
      <c r="P378" s="121"/>
      <c r="Q378" s="121"/>
      <c r="R378" s="121"/>
      <c r="S378" s="121"/>
      <c r="T378" s="121"/>
      <c r="U378" s="121"/>
      <c r="V378" s="121"/>
    </row>
    <row r="379">
      <c r="A379" s="120"/>
      <c r="B379" s="123"/>
      <c r="C379" s="124"/>
      <c r="D379" s="120"/>
      <c r="E379" s="125"/>
      <c r="F379" s="120"/>
      <c r="G379" s="125"/>
      <c r="H379" s="125"/>
      <c r="I379" s="125"/>
      <c r="J379" s="120"/>
      <c r="K379" s="120"/>
      <c r="L379" s="120"/>
      <c r="M379" s="120"/>
      <c r="N379" s="121"/>
      <c r="O379" s="121"/>
      <c r="P379" s="121"/>
      <c r="Q379" s="121"/>
      <c r="R379" s="121"/>
      <c r="S379" s="121"/>
      <c r="T379" s="121"/>
      <c r="U379" s="121"/>
      <c r="V379" s="121"/>
    </row>
    <row r="380">
      <c r="A380" s="120"/>
      <c r="B380" s="123"/>
      <c r="C380" s="124"/>
      <c r="D380" s="120"/>
      <c r="E380" s="125"/>
      <c r="F380" s="120"/>
      <c r="G380" s="125"/>
      <c r="H380" s="125"/>
      <c r="I380" s="125"/>
      <c r="J380" s="120"/>
      <c r="K380" s="120"/>
      <c r="L380" s="120"/>
      <c r="M380" s="120"/>
      <c r="N380" s="121"/>
      <c r="O380" s="121"/>
      <c r="P380" s="121"/>
      <c r="Q380" s="121"/>
      <c r="R380" s="121"/>
      <c r="S380" s="121"/>
      <c r="T380" s="121"/>
      <c r="U380" s="121"/>
      <c r="V380" s="121"/>
    </row>
    <row r="381">
      <c r="A381" s="120"/>
      <c r="B381" s="123"/>
      <c r="C381" s="124"/>
      <c r="D381" s="120"/>
      <c r="E381" s="125"/>
      <c r="F381" s="120"/>
      <c r="G381" s="125"/>
      <c r="H381" s="125"/>
      <c r="I381" s="125"/>
      <c r="J381" s="120"/>
      <c r="K381" s="120"/>
      <c r="L381" s="120"/>
      <c r="M381" s="120"/>
      <c r="N381" s="121"/>
      <c r="O381" s="121"/>
      <c r="P381" s="121"/>
      <c r="Q381" s="121"/>
      <c r="R381" s="121"/>
      <c r="S381" s="121"/>
      <c r="T381" s="121"/>
      <c r="U381" s="121"/>
      <c r="V381" s="121"/>
    </row>
    <row r="382">
      <c r="A382" s="120"/>
      <c r="B382" s="123"/>
      <c r="C382" s="124"/>
      <c r="D382" s="120"/>
      <c r="E382" s="125"/>
      <c r="F382" s="120"/>
      <c r="G382" s="125"/>
      <c r="H382" s="125"/>
      <c r="I382" s="125"/>
      <c r="J382" s="120"/>
      <c r="K382" s="120"/>
      <c r="L382" s="120"/>
      <c r="M382" s="120"/>
      <c r="N382" s="121"/>
      <c r="O382" s="121"/>
      <c r="P382" s="121"/>
      <c r="Q382" s="121"/>
      <c r="R382" s="121"/>
      <c r="S382" s="121"/>
      <c r="T382" s="121"/>
      <c r="U382" s="121"/>
      <c r="V382" s="121"/>
    </row>
    <row r="383">
      <c r="A383" s="120"/>
      <c r="B383" s="123"/>
      <c r="C383" s="124"/>
      <c r="D383" s="120"/>
      <c r="E383" s="125"/>
      <c r="F383" s="120"/>
      <c r="G383" s="125"/>
      <c r="H383" s="125"/>
      <c r="I383" s="125"/>
      <c r="J383" s="120"/>
      <c r="K383" s="120"/>
      <c r="L383" s="120"/>
      <c r="M383" s="120"/>
      <c r="N383" s="121"/>
      <c r="O383" s="121"/>
      <c r="P383" s="121"/>
      <c r="Q383" s="121"/>
      <c r="R383" s="121"/>
      <c r="S383" s="121"/>
      <c r="T383" s="121"/>
      <c r="U383" s="121"/>
      <c r="V383" s="121"/>
    </row>
    <row r="384">
      <c r="A384" s="120"/>
      <c r="B384" s="123"/>
      <c r="C384" s="124"/>
      <c r="D384" s="120"/>
      <c r="E384" s="125"/>
      <c r="F384" s="120"/>
      <c r="G384" s="125"/>
      <c r="H384" s="125"/>
      <c r="I384" s="125"/>
      <c r="J384" s="120"/>
      <c r="K384" s="120"/>
      <c r="L384" s="120"/>
      <c r="M384" s="120"/>
      <c r="N384" s="121"/>
      <c r="O384" s="121"/>
      <c r="P384" s="121"/>
      <c r="Q384" s="121"/>
      <c r="R384" s="121"/>
      <c r="S384" s="121"/>
      <c r="T384" s="121"/>
      <c r="U384" s="121"/>
      <c r="V384" s="121"/>
    </row>
    <row r="385">
      <c r="A385" s="120"/>
      <c r="B385" s="123"/>
      <c r="C385" s="124"/>
      <c r="D385" s="120"/>
      <c r="E385" s="125"/>
      <c r="F385" s="120"/>
      <c r="G385" s="125"/>
      <c r="H385" s="125"/>
      <c r="I385" s="125"/>
      <c r="J385" s="120"/>
      <c r="K385" s="120"/>
      <c r="L385" s="120"/>
      <c r="M385" s="120"/>
      <c r="N385" s="121"/>
      <c r="O385" s="121"/>
      <c r="P385" s="121"/>
      <c r="Q385" s="121"/>
      <c r="R385" s="121"/>
      <c r="S385" s="121"/>
      <c r="T385" s="121"/>
      <c r="U385" s="121"/>
      <c r="V385" s="121"/>
    </row>
    <row r="386">
      <c r="A386" s="120"/>
      <c r="B386" s="123"/>
      <c r="C386" s="124"/>
      <c r="D386" s="120"/>
      <c r="E386" s="125"/>
      <c r="F386" s="120"/>
      <c r="G386" s="125"/>
      <c r="H386" s="125"/>
      <c r="I386" s="125"/>
      <c r="J386" s="120"/>
      <c r="K386" s="120"/>
      <c r="L386" s="120"/>
      <c r="M386" s="120"/>
      <c r="N386" s="121"/>
      <c r="O386" s="121"/>
      <c r="P386" s="121"/>
      <c r="Q386" s="121"/>
      <c r="R386" s="121"/>
      <c r="S386" s="121"/>
      <c r="T386" s="121"/>
      <c r="U386" s="121"/>
      <c r="V386" s="121"/>
    </row>
    <row r="387">
      <c r="A387" s="120"/>
      <c r="B387" s="123"/>
      <c r="C387" s="124"/>
      <c r="D387" s="120"/>
      <c r="E387" s="125"/>
      <c r="F387" s="120"/>
      <c r="G387" s="125"/>
      <c r="H387" s="125"/>
      <c r="I387" s="125"/>
      <c r="J387" s="120"/>
      <c r="K387" s="120"/>
      <c r="L387" s="120"/>
      <c r="M387" s="120"/>
      <c r="N387" s="121"/>
      <c r="O387" s="121"/>
      <c r="P387" s="121"/>
      <c r="Q387" s="121"/>
      <c r="R387" s="121"/>
      <c r="S387" s="121"/>
      <c r="T387" s="121"/>
      <c r="U387" s="121"/>
      <c r="V387" s="121"/>
    </row>
    <row r="388">
      <c r="A388" s="120"/>
      <c r="B388" s="123"/>
      <c r="C388" s="124"/>
      <c r="D388" s="120"/>
      <c r="E388" s="125"/>
      <c r="F388" s="120"/>
      <c r="G388" s="125"/>
      <c r="H388" s="125"/>
      <c r="I388" s="125"/>
      <c r="J388" s="120"/>
      <c r="K388" s="120"/>
      <c r="L388" s="120"/>
      <c r="M388" s="120"/>
      <c r="N388" s="121"/>
      <c r="O388" s="121"/>
      <c r="P388" s="121"/>
      <c r="Q388" s="121"/>
      <c r="R388" s="121"/>
      <c r="S388" s="121"/>
      <c r="T388" s="121"/>
      <c r="U388" s="121"/>
      <c r="V388" s="121"/>
    </row>
    <row r="389">
      <c r="A389" s="120"/>
      <c r="B389" s="123"/>
      <c r="C389" s="124"/>
      <c r="D389" s="120"/>
      <c r="E389" s="125"/>
      <c r="F389" s="120"/>
      <c r="G389" s="125"/>
      <c r="H389" s="125"/>
      <c r="I389" s="125"/>
      <c r="J389" s="120"/>
      <c r="K389" s="120"/>
      <c r="L389" s="120"/>
      <c r="M389" s="120"/>
      <c r="N389" s="121"/>
      <c r="O389" s="121"/>
      <c r="P389" s="121"/>
      <c r="Q389" s="121"/>
      <c r="R389" s="121"/>
      <c r="S389" s="121"/>
      <c r="T389" s="121"/>
      <c r="U389" s="121"/>
      <c r="V389" s="121"/>
    </row>
    <row r="390">
      <c r="A390" s="120"/>
      <c r="B390" s="123"/>
      <c r="C390" s="124"/>
      <c r="D390" s="120"/>
      <c r="E390" s="125"/>
      <c r="F390" s="120"/>
      <c r="G390" s="125"/>
      <c r="H390" s="125"/>
      <c r="I390" s="125"/>
      <c r="J390" s="120"/>
      <c r="K390" s="120"/>
      <c r="L390" s="120"/>
      <c r="M390" s="120"/>
      <c r="N390" s="121"/>
      <c r="O390" s="121"/>
      <c r="P390" s="121"/>
      <c r="Q390" s="121"/>
      <c r="R390" s="121"/>
      <c r="S390" s="121"/>
      <c r="T390" s="121"/>
      <c r="U390" s="121"/>
      <c r="V390" s="121"/>
    </row>
    <row r="391">
      <c r="A391" s="120"/>
      <c r="B391" s="123"/>
      <c r="C391" s="124"/>
      <c r="D391" s="120"/>
      <c r="E391" s="125"/>
      <c r="F391" s="120"/>
      <c r="G391" s="125"/>
      <c r="H391" s="125"/>
      <c r="I391" s="125"/>
      <c r="J391" s="120"/>
      <c r="K391" s="120"/>
      <c r="L391" s="120"/>
      <c r="M391" s="120"/>
      <c r="N391" s="121"/>
      <c r="O391" s="121"/>
      <c r="P391" s="121"/>
      <c r="Q391" s="121"/>
      <c r="R391" s="121"/>
      <c r="S391" s="121"/>
      <c r="T391" s="121"/>
      <c r="U391" s="121"/>
      <c r="V391" s="121"/>
    </row>
    <row r="392">
      <c r="A392" s="120"/>
      <c r="B392" s="123"/>
      <c r="C392" s="124"/>
      <c r="D392" s="120"/>
      <c r="E392" s="125"/>
      <c r="F392" s="120"/>
      <c r="G392" s="125"/>
      <c r="H392" s="125"/>
      <c r="I392" s="125"/>
      <c r="J392" s="120"/>
      <c r="K392" s="120"/>
      <c r="L392" s="120"/>
      <c r="M392" s="120"/>
      <c r="N392" s="121"/>
      <c r="O392" s="121"/>
      <c r="P392" s="121"/>
      <c r="Q392" s="121"/>
      <c r="R392" s="121"/>
      <c r="S392" s="121"/>
      <c r="T392" s="121"/>
      <c r="U392" s="121"/>
      <c r="V392" s="121"/>
    </row>
    <row r="393">
      <c r="A393" s="120"/>
      <c r="B393" s="123"/>
      <c r="C393" s="124"/>
      <c r="D393" s="120"/>
      <c r="E393" s="125"/>
      <c r="F393" s="120"/>
      <c r="G393" s="125"/>
      <c r="H393" s="125"/>
      <c r="I393" s="125"/>
      <c r="J393" s="120"/>
      <c r="K393" s="120"/>
      <c r="L393" s="120"/>
      <c r="M393" s="120"/>
      <c r="N393" s="121"/>
      <c r="O393" s="121"/>
      <c r="P393" s="121"/>
      <c r="Q393" s="121"/>
      <c r="R393" s="121"/>
      <c r="S393" s="121"/>
      <c r="T393" s="121"/>
      <c r="U393" s="121"/>
      <c r="V393" s="121"/>
    </row>
    <row r="394">
      <c r="A394" s="120"/>
      <c r="B394" s="123"/>
      <c r="C394" s="124"/>
      <c r="D394" s="120"/>
      <c r="E394" s="125"/>
      <c r="F394" s="120"/>
      <c r="G394" s="125"/>
      <c r="H394" s="125"/>
      <c r="I394" s="125"/>
      <c r="J394" s="120"/>
      <c r="K394" s="120"/>
      <c r="L394" s="120"/>
      <c r="M394" s="120"/>
      <c r="N394" s="121"/>
      <c r="O394" s="121"/>
      <c r="P394" s="121"/>
      <c r="Q394" s="121"/>
      <c r="R394" s="121"/>
      <c r="S394" s="121"/>
      <c r="T394" s="121"/>
      <c r="U394" s="121"/>
      <c r="V394" s="121"/>
    </row>
    <row r="395">
      <c r="A395" s="120"/>
      <c r="B395" s="123"/>
      <c r="C395" s="124"/>
      <c r="D395" s="120"/>
      <c r="E395" s="125"/>
      <c r="F395" s="120"/>
      <c r="G395" s="125"/>
      <c r="H395" s="125"/>
      <c r="I395" s="125"/>
      <c r="J395" s="120"/>
      <c r="K395" s="120"/>
      <c r="L395" s="120"/>
      <c r="M395" s="120"/>
      <c r="N395" s="121"/>
      <c r="O395" s="121"/>
      <c r="P395" s="121"/>
      <c r="Q395" s="121"/>
      <c r="R395" s="121"/>
      <c r="S395" s="121"/>
      <c r="T395" s="121"/>
      <c r="U395" s="121"/>
      <c r="V395" s="121"/>
    </row>
    <row r="396">
      <c r="A396" s="120"/>
      <c r="B396" s="123"/>
      <c r="C396" s="124"/>
      <c r="D396" s="120"/>
      <c r="E396" s="125"/>
      <c r="F396" s="120"/>
      <c r="G396" s="125"/>
      <c r="H396" s="125"/>
      <c r="I396" s="125"/>
      <c r="J396" s="120"/>
      <c r="K396" s="120"/>
      <c r="L396" s="120"/>
      <c r="M396" s="120"/>
      <c r="N396" s="121"/>
      <c r="O396" s="121"/>
      <c r="P396" s="121"/>
      <c r="Q396" s="121"/>
      <c r="R396" s="121"/>
      <c r="S396" s="121"/>
      <c r="T396" s="121"/>
      <c r="U396" s="121"/>
      <c r="V396" s="121"/>
    </row>
    <row r="397">
      <c r="A397" s="120"/>
      <c r="B397" s="123"/>
      <c r="C397" s="124"/>
      <c r="D397" s="120"/>
      <c r="E397" s="125"/>
      <c r="F397" s="120"/>
      <c r="G397" s="125"/>
      <c r="H397" s="125"/>
      <c r="I397" s="125"/>
      <c r="J397" s="120"/>
      <c r="K397" s="120"/>
      <c r="L397" s="120"/>
      <c r="M397" s="120"/>
      <c r="N397" s="121"/>
      <c r="O397" s="121"/>
      <c r="P397" s="121"/>
      <c r="Q397" s="121"/>
      <c r="R397" s="121"/>
      <c r="S397" s="121"/>
      <c r="T397" s="121"/>
      <c r="U397" s="121"/>
      <c r="V397" s="121"/>
    </row>
    <row r="398">
      <c r="A398" s="120"/>
      <c r="B398" s="123"/>
      <c r="C398" s="124"/>
      <c r="D398" s="120"/>
      <c r="E398" s="125"/>
      <c r="F398" s="120"/>
      <c r="G398" s="125"/>
      <c r="H398" s="125"/>
      <c r="I398" s="125"/>
      <c r="J398" s="120"/>
      <c r="K398" s="120"/>
      <c r="L398" s="120"/>
      <c r="M398" s="120"/>
      <c r="N398" s="121"/>
      <c r="O398" s="121"/>
      <c r="P398" s="121"/>
      <c r="Q398" s="121"/>
      <c r="R398" s="121"/>
      <c r="S398" s="121"/>
      <c r="T398" s="121"/>
      <c r="U398" s="121"/>
      <c r="V398" s="121"/>
    </row>
    <row r="399">
      <c r="A399" s="120"/>
      <c r="B399" s="123"/>
      <c r="C399" s="124"/>
      <c r="D399" s="120"/>
      <c r="E399" s="125"/>
      <c r="F399" s="120"/>
      <c r="G399" s="125"/>
      <c r="H399" s="125"/>
      <c r="I399" s="125"/>
      <c r="J399" s="120"/>
      <c r="K399" s="120"/>
      <c r="L399" s="120"/>
      <c r="M399" s="120"/>
      <c r="N399" s="121"/>
      <c r="O399" s="121"/>
      <c r="P399" s="121"/>
      <c r="Q399" s="121"/>
      <c r="R399" s="121"/>
      <c r="S399" s="121"/>
      <c r="T399" s="121"/>
      <c r="U399" s="121"/>
      <c r="V399" s="121"/>
    </row>
    <row r="400">
      <c r="A400" s="120"/>
      <c r="B400" s="123"/>
      <c r="C400" s="124"/>
      <c r="D400" s="120"/>
      <c r="E400" s="125"/>
      <c r="F400" s="120"/>
      <c r="G400" s="125"/>
      <c r="H400" s="125"/>
      <c r="I400" s="125"/>
      <c r="J400" s="120"/>
      <c r="K400" s="120"/>
      <c r="L400" s="120"/>
      <c r="M400" s="120"/>
      <c r="N400" s="121"/>
      <c r="O400" s="121"/>
      <c r="P400" s="121"/>
      <c r="Q400" s="121"/>
      <c r="R400" s="121"/>
      <c r="S400" s="121"/>
      <c r="T400" s="121"/>
      <c r="U400" s="121"/>
      <c r="V400" s="121"/>
    </row>
    <row r="401">
      <c r="A401" s="120"/>
      <c r="B401" s="123"/>
      <c r="C401" s="124"/>
      <c r="D401" s="120"/>
      <c r="E401" s="125"/>
      <c r="F401" s="120"/>
      <c r="G401" s="125"/>
      <c r="H401" s="125"/>
      <c r="I401" s="125"/>
      <c r="J401" s="120"/>
      <c r="K401" s="120"/>
      <c r="L401" s="120"/>
      <c r="M401" s="120"/>
      <c r="N401" s="121"/>
      <c r="O401" s="121"/>
      <c r="P401" s="121"/>
      <c r="Q401" s="121"/>
      <c r="R401" s="121"/>
      <c r="S401" s="121"/>
      <c r="T401" s="121"/>
      <c r="U401" s="121"/>
      <c r="V401" s="121"/>
    </row>
    <row r="402">
      <c r="A402" s="120"/>
      <c r="B402" s="123"/>
      <c r="C402" s="124"/>
      <c r="D402" s="120"/>
      <c r="E402" s="125"/>
      <c r="F402" s="120"/>
      <c r="G402" s="125"/>
      <c r="H402" s="125"/>
      <c r="I402" s="125"/>
      <c r="J402" s="120"/>
      <c r="K402" s="120"/>
      <c r="L402" s="120"/>
      <c r="M402" s="120"/>
      <c r="N402" s="121"/>
      <c r="O402" s="121"/>
      <c r="P402" s="121"/>
      <c r="Q402" s="121"/>
      <c r="R402" s="121"/>
      <c r="S402" s="121"/>
      <c r="T402" s="121"/>
      <c r="U402" s="121"/>
      <c r="V402" s="121"/>
    </row>
    <row r="403">
      <c r="A403" s="120"/>
      <c r="B403" s="123"/>
      <c r="C403" s="124"/>
      <c r="D403" s="120"/>
      <c r="E403" s="125"/>
      <c r="F403" s="120"/>
      <c r="G403" s="125"/>
      <c r="H403" s="125"/>
      <c r="I403" s="125"/>
      <c r="J403" s="120"/>
      <c r="K403" s="120"/>
      <c r="L403" s="120"/>
      <c r="M403" s="120"/>
      <c r="N403" s="121"/>
      <c r="O403" s="121"/>
      <c r="P403" s="121"/>
      <c r="Q403" s="121"/>
      <c r="R403" s="121"/>
      <c r="S403" s="121"/>
      <c r="T403" s="121"/>
      <c r="U403" s="121"/>
      <c r="V403" s="121"/>
    </row>
    <row r="404">
      <c r="A404" s="120"/>
      <c r="B404" s="123"/>
      <c r="C404" s="124"/>
      <c r="D404" s="120"/>
      <c r="E404" s="125"/>
      <c r="F404" s="120"/>
      <c r="G404" s="125"/>
      <c r="H404" s="125"/>
      <c r="I404" s="125"/>
      <c r="J404" s="120"/>
      <c r="K404" s="120"/>
      <c r="L404" s="120"/>
      <c r="M404" s="120"/>
      <c r="N404" s="121"/>
      <c r="O404" s="121"/>
      <c r="P404" s="121"/>
      <c r="Q404" s="121"/>
      <c r="R404" s="121"/>
      <c r="S404" s="121"/>
      <c r="T404" s="121"/>
      <c r="U404" s="121"/>
      <c r="V404" s="121"/>
    </row>
    <row r="405">
      <c r="A405" s="120"/>
      <c r="B405" s="123"/>
      <c r="C405" s="124"/>
      <c r="D405" s="120"/>
      <c r="E405" s="125"/>
      <c r="F405" s="120"/>
      <c r="G405" s="125"/>
      <c r="H405" s="125"/>
      <c r="I405" s="125"/>
      <c r="J405" s="120"/>
      <c r="K405" s="120"/>
      <c r="L405" s="120"/>
      <c r="M405" s="120"/>
      <c r="N405" s="121"/>
      <c r="O405" s="121"/>
      <c r="P405" s="121"/>
      <c r="Q405" s="121"/>
      <c r="R405" s="121"/>
      <c r="S405" s="121"/>
      <c r="T405" s="121"/>
      <c r="U405" s="121"/>
      <c r="V405" s="121"/>
    </row>
    <row r="406">
      <c r="A406" s="120"/>
      <c r="B406" s="123"/>
      <c r="C406" s="124"/>
      <c r="D406" s="120"/>
      <c r="E406" s="125"/>
      <c r="F406" s="120"/>
      <c r="G406" s="125"/>
      <c r="H406" s="125"/>
      <c r="I406" s="125"/>
      <c r="J406" s="120"/>
      <c r="K406" s="120"/>
      <c r="L406" s="120"/>
      <c r="M406" s="120"/>
      <c r="N406" s="121"/>
      <c r="O406" s="121"/>
      <c r="P406" s="121"/>
      <c r="Q406" s="121"/>
      <c r="R406" s="121"/>
      <c r="S406" s="121"/>
      <c r="T406" s="121"/>
      <c r="U406" s="121"/>
      <c r="V406" s="121"/>
    </row>
    <row r="407">
      <c r="A407" s="120"/>
      <c r="B407" s="123"/>
      <c r="C407" s="124"/>
      <c r="D407" s="120"/>
      <c r="E407" s="125"/>
      <c r="F407" s="120"/>
      <c r="G407" s="125"/>
      <c r="H407" s="125"/>
      <c r="I407" s="125"/>
      <c r="J407" s="120"/>
      <c r="K407" s="120"/>
      <c r="L407" s="120"/>
      <c r="M407" s="120"/>
      <c r="N407" s="121"/>
      <c r="O407" s="121"/>
      <c r="P407" s="121"/>
      <c r="Q407" s="121"/>
      <c r="R407" s="121"/>
      <c r="S407" s="121"/>
      <c r="T407" s="121"/>
      <c r="U407" s="121"/>
      <c r="V407" s="121"/>
    </row>
    <row r="408">
      <c r="A408" s="120"/>
      <c r="B408" s="123"/>
      <c r="C408" s="124"/>
      <c r="D408" s="120"/>
      <c r="E408" s="125"/>
      <c r="F408" s="120"/>
      <c r="G408" s="125"/>
      <c r="H408" s="125"/>
      <c r="I408" s="125"/>
      <c r="J408" s="120"/>
      <c r="K408" s="120"/>
      <c r="L408" s="120"/>
      <c r="M408" s="120"/>
      <c r="N408" s="121"/>
      <c r="O408" s="121"/>
      <c r="P408" s="121"/>
      <c r="Q408" s="121"/>
      <c r="R408" s="121"/>
      <c r="S408" s="121"/>
      <c r="T408" s="121"/>
      <c r="U408" s="121"/>
      <c r="V408" s="121"/>
    </row>
    <row r="409">
      <c r="A409" s="120"/>
      <c r="B409" s="123"/>
      <c r="C409" s="124"/>
      <c r="D409" s="120"/>
      <c r="E409" s="125"/>
      <c r="F409" s="120"/>
      <c r="G409" s="125"/>
      <c r="H409" s="125"/>
      <c r="I409" s="125"/>
      <c r="J409" s="120"/>
      <c r="K409" s="120"/>
      <c r="L409" s="120"/>
      <c r="M409" s="120"/>
      <c r="N409" s="121"/>
      <c r="O409" s="121"/>
      <c r="P409" s="121"/>
      <c r="Q409" s="121"/>
      <c r="R409" s="121"/>
      <c r="S409" s="121"/>
      <c r="T409" s="121"/>
      <c r="U409" s="121"/>
      <c r="V409" s="121"/>
    </row>
    <row r="410">
      <c r="A410" s="120"/>
      <c r="B410" s="123"/>
      <c r="C410" s="124"/>
      <c r="D410" s="120"/>
      <c r="E410" s="125"/>
      <c r="F410" s="120"/>
      <c r="G410" s="125"/>
      <c r="H410" s="125"/>
      <c r="I410" s="125"/>
      <c r="J410" s="120"/>
      <c r="K410" s="120"/>
      <c r="L410" s="120"/>
      <c r="M410" s="120"/>
      <c r="N410" s="121"/>
      <c r="O410" s="121"/>
      <c r="P410" s="121"/>
      <c r="Q410" s="121"/>
      <c r="R410" s="121"/>
      <c r="S410" s="121"/>
      <c r="T410" s="121"/>
      <c r="U410" s="121"/>
      <c r="V410" s="121"/>
    </row>
    <row r="411">
      <c r="A411" s="120"/>
      <c r="B411" s="123"/>
      <c r="C411" s="124"/>
      <c r="D411" s="120"/>
      <c r="E411" s="122"/>
      <c r="F411" s="120"/>
      <c r="G411" s="122"/>
      <c r="H411" s="122"/>
      <c r="I411" s="122"/>
      <c r="J411" s="120"/>
      <c r="K411" s="120"/>
      <c r="L411" s="120"/>
      <c r="M411" s="120"/>
      <c r="N411" s="121"/>
      <c r="O411" s="121"/>
      <c r="P411" s="121"/>
      <c r="Q411" s="121"/>
      <c r="R411" s="121"/>
      <c r="S411" s="121"/>
      <c r="T411" s="121"/>
      <c r="U411" s="121"/>
      <c r="V411" s="121"/>
    </row>
    <row r="412">
      <c r="A412" s="120"/>
      <c r="B412" s="123"/>
      <c r="C412" s="124"/>
      <c r="D412" s="120"/>
      <c r="E412" s="122"/>
      <c r="F412" s="120"/>
      <c r="G412" s="122"/>
      <c r="H412" s="122"/>
      <c r="I412" s="122"/>
      <c r="J412" s="120"/>
      <c r="K412" s="120"/>
      <c r="L412" s="120"/>
      <c r="M412" s="120"/>
      <c r="N412" s="121"/>
      <c r="O412" s="121"/>
      <c r="P412" s="121"/>
      <c r="Q412" s="121"/>
      <c r="R412" s="121"/>
      <c r="S412" s="121"/>
      <c r="T412" s="121"/>
      <c r="U412" s="121"/>
      <c r="V412" s="121"/>
    </row>
    <row r="413">
      <c r="A413" s="120"/>
      <c r="B413" s="123"/>
      <c r="C413" s="124"/>
      <c r="D413" s="120"/>
      <c r="E413" s="122"/>
      <c r="F413" s="120"/>
      <c r="G413" s="122"/>
      <c r="H413" s="122"/>
      <c r="I413" s="122"/>
      <c r="J413" s="120"/>
      <c r="K413" s="120"/>
      <c r="L413" s="120"/>
      <c r="M413" s="120"/>
      <c r="N413" s="121"/>
      <c r="O413" s="121"/>
      <c r="P413" s="121"/>
      <c r="Q413" s="121"/>
      <c r="R413" s="121"/>
      <c r="S413" s="121"/>
      <c r="T413" s="121"/>
      <c r="U413" s="121"/>
      <c r="V413" s="121"/>
    </row>
    <row r="414">
      <c r="A414" s="120"/>
      <c r="B414" s="123"/>
      <c r="C414" s="124"/>
      <c r="D414" s="120"/>
      <c r="E414" s="122"/>
      <c r="F414" s="120"/>
      <c r="G414" s="122"/>
      <c r="H414" s="122"/>
      <c r="I414" s="122"/>
      <c r="J414" s="120"/>
      <c r="K414" s="120"/>
      <c r="L414" s="120"/>
      <c r="M414" s="120"/>
      <c r="N414" s="121"/>
      <c r="O414" s="121"/>
      <c r="P414" s="121"/>
      <c r="Q414" s="121"/>
      <c r="R414" s="121"/>
      <c r="S414" s="121"/>
      <c r="T414" s="121"/>
      <c r="U414" s="121"/>
      <c r="V414" s="121"/>
    </row>
    <row r="415">
      <c r="A415" s="120"/>
      <c r="B415" s="123"/>
      <c r="C415" s="124"/>
      <c r="D415" s="120"/>
      <c r="E415" s="122"/>
      <c r="F415" s="120"/>
      <c r="G415" s="122"/>
      <c r="H415" s="122"/>
      <c r="I415" s="122"/>
      <c r="J415" s="120"/>
      <c r="K415" s="120"/>
      <c r="L415" s="120"/>
      <c r="M415" s="120"/>
      <c r="N415" s="121"/>
      <c r="O415" s="121"/>
      <c r="P415" s="121"/>
      <c r="Q415" s="121"/>
      <c r="R415" s="121"/>
      <c r="S415" s="121"/>
      <c r="T415" s="121"/>
      <c r="U415" s="121"/>
      <c r="V415" s="121"/>
    </row>
    <row r="416">
      <c r="A416" s="120"/>
      <c r="B416" s="123"/>
      <c r="C416" s="124"/>
      <c r="D416" s="120"/>
      <c r="E416" s="122"/>
      <c r="F416" s="120"/>
      <c r="G416" s="122"/>
      <c r="H416" s="122"/>
      <c r="I416" s="122"/>
      <c r="J416" s="120"/>
      <c r="K416" s="120"/>
      <c r="L416" s="120"/>
      <c r="M416" s="120"/>
      <c r="N416" s="121"/>
      <c r="O416" s="121"/>
      <c r="P416" s="121"/>
      <c r="Q416" s="121"/>
      <c r="R416" s="121"/>
      <c r="S416" s="121"/>
      <c r="T416" s="121"/>
      <c r="U416" s="121"/>
      <c r="V416" s="121"/>
    </row>
    <row r="417">
      <c r="A417" s="120"/>
      <c r="B417" s="123"/>
      <c r="C417" s="124"/>
      <c r="D417" s="120"/>
      <c r="E417" s="122"/>
      <c r="F417" s="120"/>
      <c r="G417" s="122"/>
      <c r="H417" s="122"/>
      <c r="I417" s="122"/>
      <c r="J417" s="120"/>
      <c r="K417" s="120"/>
      <c r="L417" s="120"/>
      <c r="M417" s="120"/>
      <c r="N417" s="121"/>
      <c r="O417" s="121"/>
      <c r="P417" s="121"/>
      <c r="Q417" s="121"/>
      <c r="R417" s="121"/>
      <c r="S417" s="121"/>
      <c r="T417" s="121"/>
      <c r="U417" s="121"/>
      <c r="V417" s="121"/>
    </row>
    <row r="418">
      <c r="A418" s="120"/>
      <c r="B418" s="123"/>
      <c r="C418" s="124"/>
      <c r="D418" s="120"/>
      <c r="E418" s="122"/>
      <c r="F418" s="120"/>
      <c r="G418" s="122"/>
      <c r="H418" s="122"/>
      <c r="I418" s="122"/>
      <c r="J418" s="120"/>
      <c r="K418" s="120"/>
      <c r="L418" s="120"/>
      <c r="M418" s="120"/>
      <c r="N418" s="121"/>
      <c r="O418" s="121"/>
      <c r="P418" s="121"/>
      <c r="Q418" s="121"/>
      <c r="R418" s="121"/>
      <c r="S418" s="121"/>
      <c r="T418" s="121"/>
      <c r="U418" s="121"/>
      <c r="V418" s="121"/>
    </row>
    <row r="419">
      <c r="A419" s="120"/>
      <c r="B419" s="123"/>
      <c r="C419" s="124"/>
      <c r="D419" s="120"/>
      <c r="E419" s="122"/>
      <c r="F419" s="120"/>
      <c r="G419" s="122"/>
      <c r="H419" s="122"/>
      <c r="I419" s="122"/>
      <c r="J419" s="120"/>
      <c r="K419" s="120"/>
      <c r="L419" s="120"/>
      <c r="M419" s="120"/>
      <c r="N419" s="121"/>
      <c r="O419" s="121"/>
      <c r="P419" s="121"/>
      <c r="Q419" s="121"/>
      <c r="R419" s="121"/>
      <c r="S419" s="121"/>
      <c r="T419" s="121"/>
      <c r="U419" s="121"/>
      <c r="V419" s="121"/>
    </row>
    <row r="420">
      <c r="A420" s="120"/>
      <c r="B420" s="123"/>
      <c r="C420" s="124"/>
      <c r="D420" s="120"/>
      <c r="E420" s="122"/>
      <c r="F420" s="120"/>
      <c r="G420" s="122"/>
      <c r="H420" s="122"/>
      <c r="I420" s="122"/>
      <c r="J420" s="120"/>
      <c r="K420" s="120"/>
      <c r="L420" s="120"/>
      <c r="M420" s="120"/>
      <c r="N420" s="121"/>
      <c r="O420" s="121"/>
      <c r="P420" s="121"/>
      <c r="Q420" s="121"/>
      <c r="R420" s="121"/>
      <c r="S420" s="121"/>
      <c r="T420" s="121"/>
      <c r="U420" s="121"/>
      <c r="V420" s="121"/>
    </row>
    <row r="421">
      <c r="A421" s="120"/>
      <c r="B421" s="123"/>
      <c r="C421" s="124"/>
      <c r="D421" s="120"/>
      <c r="E421" s="122"/>
      <c r="F421" s="120"/>
      <c r="G421" s="122"/>
      <c r="H421" s="122"/>
      <c r="I421" s="122"/>
      <c r="J421" s="120"/>
      <c r="K421" s="120"/>
      <c r="L421" s="120"/>
      <c r="M421" s="120"/>
      <c r="N421" s="121"/>
      <c r="O421" s="121"/>
      <c r="P421" s="121"/>
      <c r="Q421" s="121"/>
      <c r="R421" s="121"/>
      <c r="S421" s="121"/>
      <c r="T421" s="121"/>
      <c r="U421" s="121"/>
      <c r="V421" s="121"/>
    </row>
    <row r="422">
      <c r="A422" s="120"/>
      <c r="B422" s="123"/>
      <c r="C422" s="124"/>
      <c r="D422" s="120"/>
      <c r="E422" s="122"/>
      <c r="F422" s="120"/>
      <c r="G422" s="122"/>
      <c r="H422" s="122"/>
      <c r="I422" s="122"/>
      <c r="J422" s="120"/>
      <c r="K422" s="120"/>
      <c r="L422" s="120"/>
      <c r="M422" s="120"/>
      <c r="N422" s="121"/>
      <c r="O422" s="121"/>
      <c r="P422" s="121"/>
      <c r="Q422" s="121"/>
      <c r="R422" s="121"/>
      <c r="S422" s="121"/>
      <c r="T422" s="121"/>
      <c r="U422" s="121"/>
      <c r="V422" s="121"/>
    </row>
    <row r="423">
      <c r="A423" s="120"/>
      <c r="B423" s="123"/>
      <c r="C423" s="124"/>
      <c r="D423" s="120"/>
      <c r="E423" s="122"/>
      <c r="F423" s="120"/>
      <c r="G423" s="122"/>
      <c r="H423" s="122"/>
      <c r="I423" s="122"/>
      <c r="J423" s="120"/>
      <c r="K423" s="120"/>
      <c r="L423" s="120"/>
      <c r="M423" s="120"/>
      <c r="N423" s="121"/>
      <c r="O423" s="121"/>
      <c r="P423" s="121"/>
      <c r="Q423" s="121"/>
      <c r="R423" s="121"/>
      <c r="S423" s="121"/>
      <c r="T423" s="121"/>
      <c r="U423" s="121"/>
      <c r="V423" s="121"/>
    </row>
    <row r="424">
      <c r="A424" s="120"/>
      <c r="B424" s="123"/>
      <c r="C424" s="124"/>
      <c r="D424" s="120"/>
      <c r="E424" s="122"/>
      <c r="F424" s="120"/>
      <c r="G424" s="122"/>
      <c r="H424" s="122"/>
      <c r="I424" s="122"/>
      <c r="J424" s="120"/>
      <c r="K424" s="120"/>
      <c r="L424" s="120"/>
      <c r="M424" s="120"/>
      <c r="N424" s="121"/>
      <c r="O424" s="121"/>
      <c r="P424" s="121"/>
      <c r="Q424" s="121"/>
      <c r="R424" s="121"/>
      <c r="S424" s="121"/>
      <c r="T424" s="121"/>
      <c r="U424" s="121"/>
      <c r="V424" s="121"/>
    </row>
    <row r="425">
      <c r="A425" s="120"/>
      <c r="B425" s="123"/>
      <c r="C425" s="124"/>
      <c r="D425" s="120"/>
      <c r="E425" s="122"/>
      <c r="F425" s="120"/>
      <c r="G425" s="122"/>
      <c r="H425" s="122"/>
      <c r="I425" s="122"/>
      <c r="J425" s="120"/>
      <c r="K425" s="120"/>
      <c r="L425" s="120"/>
      <c r="M425" s="120"/>
      <c r="N425" s="121"/>
      <c r="O425" s="121"/>
      <c r="P425" s="121"/>
      <c r="Q425" s="121"/>
      <c r="R425" s="121"/>
      <c r="S425" s="121"/>
      <c r="T425" s="121"/>
      <c r="U425" s="121"/>
      <c r="V425" s="121"/>
    </row>
    <row r="426">
      <c r="A426" s="120"/>
      <c r="B426" s="123"/>
      <c r="C426" s="124"/>
      <c r="D426" s="120"/>
      <c r="E426" s="122"/>
      <c r="F426" s="120"/>
      <c r="G426" s="122"/>
      <c r="H426" s="122"/>
      <c r="I426" s="122"/>
      <c r="J426" s="120"/>
      <c r="K426" s="120"/>
      <c r="L426" s="120"/>
      <c r="M426" s="120"/>
      <c r="N426" s="121"/>
      <c r="O426" s="121"/>
      <c r="P426" s="121"/>
      <c r="Q426" s="121"/>
      <c r="R426" s="121"/>
      <c r="S426" s="121"/>
      <c r="T426" s="121"/>
      <c r="U426" s="121"/>
      <c r="V426" s="121"/>
    </row>
    <row r="427">
      <c r="A427" s="120"/>
      <c r="B427" s="123"/>
      <c r="C427" s="124"/>
      <c r="D427" s="120"/>
      <c r="E427" s="122"/>
      <c r="F427" s="120"/>
      <c r="G427" s="122"/>
      <c r="H427" s="122"/>
      <c r="I427" s="122"/>
      <c r="J427" s="120"/>
      <c r="K427" s="120"/>
      <c r="L427" s="120"/>
      <c r="M427" s="120"/>
      <c r="N427" s="121"/>
      <c r="O427" s="121"/>
      <c r="P427" s="121"/>
      <c r="Q427" s="121"/>
      <c r="R427" s="121"/>
      <c r="S427" s="121"/>
      <c r="T427" s="121"/>
      <c r="U427" s="121"/>
      <c r="V427" s="121"/>
    </row>
    <row r="428">
      <c r="A428" s="120"/>
      <c r="B428" s="123"/>
      <c r="C428" s="124"/>
      <c r="D428" s="120"/>
      <c r="E428" s="122"/>
      <c r="F428" s="120"/>
      <c r="G428" s="122"/>
      <c r="H428" s="122"/>
      <c r="I428" s="122"/>
      <c r="J428" s="120"/>
      <c r="K428" s="120"/>
      <c r="L428" s="120"/>
      <c r="M428" s="120"/>
      <c r="N428" s="121"/>
      <c r="O428" s="121"/>
      <c r="P428" s="121"/>
      <c r="Q428" s="121"/>
      <c r="R428" s="121"/>
      <c r="S428" s="121"/>
      <c r="T428" s="121"/>
      <c r="U428" s="121"/>
      <c r="V428" s="121"/>
    </row>
    <row r="429">
      <c r="A429" s="120"/>
      <c r="B429" s="123"/>
      <c r="C429" s="124"/>
      <c r="D429" s="120"/>
      <c r="E429" s="122"/>
      <c r="F429" s="120"/>
      <c r="G429" s="122"/>
      <c r="H429" s="122"/>
      <c r="I429" s="122"/>
      <c r="J429" s="120"/>
      <c r="K429" s="120"/>
      <c r="L429" s="120"/>
      <c r="M429" s="120"/>
      <c r="N429" s="121"/>
      <c r="O429" s="121"/>
      <c r="P429" s="121"/>
      <c r="Q429" s="121"/>
      <c r="R429" s="121"/>
      <c r="S429" s="121"/>
      <c r="T429" s="121"/>
      <c r="U429" s="121"/>
      <c r="V429" s="121"/>
    </row>
    <row r="430">
      <c r="A430" s="120"/>
      <c r="B430" s="123"/>
      <c r="C430" s="124"/>
      <c r="D430" s="120"/>
      <c r="E430" s="122"/>
      <c r="F430" s="120"/>
      <c r="G430" s="122"/>
      <c r="H430" s="122"/>
      <c r="I430" s="122"/>
      <c r="J430" s="120"/>
      <c r="K430" s="120"/>
      <c r="L430" s="120"/>
      <c r="M430" s="120"/>
      <c r="N430" s="121"/>
      <c r="O430" s="121"/>
      <c r="P430" s="121"/>
      <c r="Q430" s="121"/>
      <c r="R430" s="121"/>
      <c r="S430" s="121"/>
      <c r="T430" s="121"/>
      <c r="U430" s="121"/>
      <c r="V430" s="121"/>
    </row>
    <row r="431">
      <c r="A431" s="120"/>
      <c r="B431" s="123"/>
      <c r="C431" s="124"/>
      <c r="D431" s="120"/>
      <c r="E431" s="132"/>
      <c r="F431" s="120"/>
      <c r="G431" s="132"/>
      <c r="H431" s="132"/>
      <c r="I431" s="132"/>
      <c r="J431" s="120"/>
      <c r="K431" s="120"/>
      <c r="L431" s="120"/>
      <c r="M431" s="120"/>
      <c r="N431" s="121"/>
      <c r="O431" s="121"/>
      <c r="P431" s="121"/>
      <c r="Q431" s="121"/>
      <c r="R431" s="121"/>
      <c r="S431" s="121"/>
      <c r="T431" s="121"/>
      <c r="U431" s="121"/>
      <c r="V431" s="121"/>
    </row>
    <row r="432">
      <c r="A432" s="120"/>
      <c r="B432" s="123"/>
      <c r="C432" s="124"/>
      <c r="D432" s="120"/>
      <c r="E432" s="132"/>
      <c r="F432" s="120"/>
      <c r="G432" s="132"/>
      <c r="H432" s="132"/>
      <c r="I432" s="132"/>
      <c r="J432" s="120"/>
      <c r="K432" s="120"/>
      <c r="L432" s="120"/>
      <c r="M432" s="120"/>
      <c r="N432" s="121"/>
      <c r="O432" s="121"/>
      <c r="P432" s="121"/>
      <c r="Q432" s="121"/>
      <c r="R432" s="121"/>
      <c r="S432" s="121"/>
      <c r="T432" s="121"/>
      <c r="U432" s="121"/>
      <c r="V432" s="121"/>
    </row>
    <row r="433">
      <c r="A433" s="120"/>
      <c r="B433" s="123"/>
      <c r="C433" s="124"/>
      <c r="D433" s="120"/>
      <c r="E433" s="132"/>
      <c r="F433" s="120"/>
      <c r="G433" s="132"/>
      <c r="H433" s="132"/>
      <c r="I433" s="132"/>
      <c r="J433" s="120"/>
      <c r="K433" s="120"/>
      <c r="L433" s="120"/>
      <c r="M433" s="120"/>
      <c r="N433" s="121"/>
      <c r="O433" s="121"/>
      <c r="P433" s="121"/>
      <c r="Q433" s="121"/>
      <c r="R433" s="121"/>
      <c r="S433" s="121"/>
      <c r="T433" s="121"/>
      <c r="U433" s="121"/>
      <c r="V433" s="121"/>
    </row>
    <row r="434">
      <c r="A434" s="120"/>
      <c r="B434" s="123"/>
      <c r="C434" s="124"/>
      <c r="D434" s="120"/>
      <c r="E434" s="132"/>
      <c r="F434" s="120"/>
      <c r="G434" s="132"/>
      <c r="H434" s="132"/>
      <c r="I434" s="132"/>
      <c r="J434" s="120"/>
      <c r="K434" s="120"/>
      <c r="L434" s="120"/>
      <c r="M434" s="120"/>
      <c r="N434" s="121"/>
      <c r="O434" s="121"/>
      <c r="P434" s="121"/>
      <c r="Q434" s="121"/>
      <c r="R434" s="121"/>
      <c r="S434" s="121"/>
      <c r="T434" s="121"/>
      <c r="U434" s="121"/>
      <c r="V434" s="121"/>
    </row>
    <row r="435">
      <c r="A435" s="120"/>
      <c r="B435" s="123"/>
      <c r="C435" s="124"/>
      <c r="D435" s="120"/>
      <c r="E435" s="132"/>
      <c r="F435" s="120"/>
      <c r="G435" s="132"/>
      <c r="H435" s="132"/>
      <c r="I435" s="132"/>
      <c r="J435" s="120"/>
      <c r="K435" s="120"/>
      <c r="L435" s="120"/>
      <c r="M435" s="120"/>
      <c r="N435" s="121"/>
      <c r="O435" s="121"/>
      <c r="P435" s="121"/>
      <c r="Q435" s="121"/>
      <c r="R435" s="121"/>
      <c r="S435" s="121"/>
      <c r="T435" s="121"/>
      <c r="U435" s="121"/>
      <c r="V435" s="121"/>
    </row>
    <row r="436">
      <c r="A436" s="120"/>
      <c r="B436" s="123"/>
      <c r="C436" s="124"/>
      <c r="D436" s="120"/>
      <c r="E436" s="132"/>
      <c r="F436" s="120"/>
      <c r="G436" s="132"/>
      <c r="H436" s="132"/>
      <c r="I436" s="132"/>
      <c r="J436" s="120"/>
      <c r="K436" s="120"/>
      <c r="L436" s="120"/>
      <c r="M436" s="120"/>
      <c r="N436" s="121"/>
      <c r="O436" s="121"/>
      <c r="P436" s="121"/>
      <c r="Q436" s="121"/>
      <c r="R436" s="121"/>
      <c r="S436" s="121"/>
      <c r="T436" s="121"/>
      <c r="U436" s="121"/>
      <c r="V436" s="121"/>
    </row>
    <row r="437">
      <c r="A437" s="120"/>
      <c r="B437" s="123"/>
      <c r="C437" s="124"/>
      <c r="D437" s="120"/>
      <c r="E437" s="132"/>
      <c r="F437" s="120"/>
      <c r="G437" s="132"/>
      <c r="H437" s="132"/>
      <c r="I437" s="132"/>
      <c r="J437" s="120"/>
      <c r="K437" s="120"/>
      <c r="L437" s="120"/>
      <c r="M437" s="120"/>
      <c r="N437" s="121"/>
      <c r="O437" s="121"/>
      <c r="P437" s="121"/>
      <c r="Q437" s="121"/>
      <c r="R437" s="121"/>
      <c r="S437" s="121"/>
      <c r="T437" s="121"/>
      <c r="U437" s="121"/>
      <c r="V437" s="121"/>
    </row>
    <row r="438">
      <c r="A438" s="120"/>
      <c r="B438" s="123"/>
      <c r="C438" s="124"/>
      <c r="D438" s="120"/>
      <c r="E438" s="132"/>
      <c r="F438" s="120"/>
      <c r="G438" s="132"/>
      <c r="H438" s="132"/>
      <c r="I438" s="132"/>
      <c r="J438" s="120"/>
      <c r="K438" s="120"/>
      <c r="L438" s="120"/>
      <c r="M438" s="120"/>
      <c r="N438" s="121"/>
      <c r="O438" s="121"/>
      <c r="P438" s="121"/>
      <c r="Q438" s="121"/>
      <c r="R438" s="121"/>
      <c r="S438" s="121"/>
      <c r="T438" s="121"/>
      <c r="U438" s="121"/>
      <c r="V438" s="121"/>
    </row>
    <row r="439">
      <c r="A439" s="120"/>
      <c r="B439" s="123"/>
      <c r="C439" s="124"/>
      <c r="D439" s="120"/>
      <c r="E439" s="132"/>
      <c r="F439" s="120"/>
      <c r="G439" s="132"/>
      <c r="H439" s="132"/>
      <c r="I439" s="132"/>
      <c r="J439" s="120"/>
      <c r="K439" s="120"/>
      <c r="L439" s="120"/>
      <c r="M439" s="120"/>
      <c r="N439" s="121"/>
      <c r="O439" s="121"/>
      <c r="P439" s="121"/>
      <c r="Q439" s="121"/>
      <c r="R439" s="121"/>
      <c r="S439" s="121"/>
      <c r="T439" s="121"/>
      <c r="U439" s="121"/>
      <c r="V439" s="121"/>
    </row>
    <row r="440">
      <c r="A440" s="120"/>
      <c r="B440" s="123"/>
      <c r="C440" s="124"/>
      <c r="D440" s="120"/>
      <c r="E440" s="132"/>
      <c r="F440" s="120"/>
      <c r="G440" s="132"/>
      <c r="H440" s="132"/>
      <c r="I440" s="132"/>
      <c r="J440" s="120"/>
      <c r="K440" s="120"/>
      <c r="L440" s="120"/>
      <c r="M440" s="120"/>
      <c r="N440" s="121"/>
      <c r="O440" s="121"/>
      <c r="P440" s="121"/>
      <c r="Q440" s="121"/>
      <c r="R440" s="121"/>
      <c r="S440" s="121"/>
      <c r="T440" s="121"/>
      <c r="U440" s="121"/>
      <c r="V440" s="121"/>
    </row>
    <row r="441">
      <c r="A441" s="120"/>
      <c r="B441" s="123"/>
      <c r="C441" s="124"/>
      <c r="D441" s="120"/>
      <c r="E441" s="132"/>
      <c r="F441" s="120"/>
      <c r="G441" s="132"/>
      <c r="H441" s="132"/>
      <c r="I441" s="132"/>
      <c r="J441" s="120"/>
      <c r="K441" s="120"/>
      <c r="L441" s="120"/>
      <c r="M441" s="120"/>
      <c r="N441" s="121"/>
      <c r="O441" s="121"/>
      <c r="P441" s="121"/>
      <c r="Q441" s="121"/>
      <c r="R441" s="121"/>
      <c r="S441" s="121"/>
      <c r="T441" s="121"/>
      <c r="U441" s="121"/>
      <c r="V441" s="121"/>
    </row>
    <row r="442">
      <c r="A442" s="120"/>
      <c r="B442" s="123"/>
      <c r="C442" s="124"/>
      <c r="D442" s="120"/>
      <c r="E442" s="132"/>
      <c r="F442" s="120"/>
      <c r="G442" s="132"/>
      <c r="H442" s="132"/>
      <c r="I442" s="132"/>
      <c r="J442" s="120"/>
      <c r="K442" s="120"/>
      <c r="L442" s="120"/>
      <c r="M442" s="120"/>
      <c r="N442" s="121"/>
      <c r="O442" s="121"/>
      <c r="P442" s="121"/>
      <c r="Q442" s="121"/>
      <c r="R442" s="121"/>
      <c r="S442" s="121"/>
      <c r="T442" s="121"/>
      <c r="U442" s="121"/>
      <c r="V442" s="121"/>
    </row>
    <row r="443">
      <c r="A443" s="120"/>
      <c r="B443" s="123"/>
      <c r="C443" s="124"/>
      <c r="D443" s="120"/>
      <c r="E443" s="132"/>
      <c r="F443" s="120"/>
      <c r="G443" s="132"/>
      <c r="H443" s="132"/>
      <c r="I443" s="132"/>
      <c r="J443" s="120"/>
      <c r="K443" s="120"/>
      <c r="L443" s="120"/>
      <c r="M443" s="120"/>
      <c r="N443" s="121"/>
      <c r="O443" s="121"/>
      <c r="P443" s="121"/>
      <c r="Q443" s="121"/>
      <c r="R443" s="121"/>
      <c r="S443" s="121"/>
      <c r="T443" s="121"/>
      <c r="U443" s="121"/>
      <c r="V443" s="121"/>
    </row>
    <row r="444">
      <c r="A444" s="120"/>
      <c r="B444" s="123"/>
      <c r="C444" s="124"/>
      <c r="D444" s="120"/>
      <c r="E444" s="132"/>
      <c r="F444" s="120"/>
      <c r="G444" s="132"/>
      <c r="H444" s="132"/>
      <c r="I444" s="132"/>
      <c r="J444" s="120"/>
      <c r="K444" s="120"/>
      <c r="L444" s="120"/>
      <c r="M444" s="120"/>
      <c r="N444" s="121"/>
      <c r="O444" s="121"/>
      <c r="P444" s="121"/>
      <c r="Q444" s="121"/>
      <c r="R444" s="121"/>
      <c r="S444" s="121"/>
      <c r="T444" s="121"/>
      <c r="U444" s="121"/>
      <c r="V444" s="121"/>
    </row>
    <row r="445">
      <c r="A445" s="120"/>
      <c r="B445" s="123"/>
      <c r="C445" s="124"/>
      <c r="D445" s="120"/>
      <c r="E445" s="132"/>
      <c r="F445" s="120"/>
      <c r="G445" s="132"/>
      <c r="H445" s="132"/>
      <c r="I445" s="132"/>
      <c r="J445" s="120"/>
      <c r="K445" s="120"/>
      <c r="L445" s="120"/>
      <c r="M445" s="120"/>
      <c r="N445" s="121"/>
      <c r="O445" s="121"/>
      <c r="P445" s="121"/>
      <c r="Q445" s="121"/>
      <c r="R445" s="121"/>
      <c r="S445" s="121"/>
      <c r="T445" s="121"/>
      <c r="U445" s="121"/>
      <c r="V445" s="121"/>
    </row>
    <row r="446">
      <c r="A446" s="120"/>
      <c r="B446" s="123"/>
      <c r="C446" s="124"/>
      <c r="D446" s="120"/>
      <c r="E446" s="132"/>
      <c r="F446" s="120"/>
      <c r="G446" s="132"/>
      <c r="H446" s="132"/>
      <c r="I446" s="132"/>
      <c r="J446" s="120"/>
      <c r="K446" s="120"/>
      <c r="L446" s="120"/>
      <c r="M446" s="120"/>
      <c r="N446" s="121"/>
      <c r="O446" s="121"/>
      <c r="P446" s="121"/>
      <c r="Q446" s="121"/>
      <c r="R446" s="121"/>
      <c r="S446" s="121"/>
      <c r="T446" s="121"/>
      <c r="U446" s="121"/>
      <c r="V446" s="121"/>
    </row>
    <row r="447">
      <c r="A447" s="120"/>
      <c r="B447" s="123"/>
      <c r="C447" s="124"/>
      <c r="D447" s="120"/>
      <c r="E447" s="132"/>
      <c r="F447" s="120"/>
      <c r="G447" s="132"/>
      <c r="H447" s="132"/>
      <c r="I447" s="132"/>
      <c r="J447" s="120"/>
      <c r="K447" s="120"/>
      <c r="L447" s="120"/>
      <c r="M447" s="120"/>
      <c r="N447" s="121"/>
      <c r="O447" s="121"/>
      <c r="P447" s="121"/>
      <c r="Q447" s="121"/>
      <c r="R447" s="121"/>
      <c r="S447" s="121"/>
      <c r="T447" s="121"/>
      <c r="U447" s="121"/>
      <c r="V447" s="121"/>
    </row>
    <row r="448">
      <c r="A448" s="120"/>
      <c r="B448" s="123"/>
      <c r="C448" s="124"/>
      <c r="D448" s="120"/>
      <c r="E448" s="132"/>
      <c r="F448" s="120"/>
      <c r="G448" s="132"/>
      <c r="H448" s="132"/>
      <c r="I448" s="132"/>
      <c r="J448" s="120"/>
      <c r="K448" s="120"/>
      <c r="L448" s="120"/>
      <c r="M448" s="120"/>
      <c r="N448" s="121"/>
      <c r="O448" s="121"/>
      <c r="P448" s="121"/>
      <c r="Q448" s="121"/>
      <c r="R448" s="121"/>
      <c r="S448" s="121"/>
      <c r="T448" s="121"/>
      <c r="U448" s="121"/>
      <c r="V448" s="121"/>
    </row>
    <row r="449">
      <c r="A449" s="120"/>
      <c r="B449" s="123"/>
      <c r="C449" s="124"/>
      <c r="D449" s="120"/>
      <c r="E449" s="132"/>
      <c r="F449" s="120"/>
      <c r="G449" s="132"/>
      <c r="H449" s="132"/>
      <c r="I449" s="132"/>
      <c r="J449" s="120"/>
      <c r="K449" s="120"/>
      <c r="L449" s="120"/>
      <c r="M449" s="120"/>
      <c r="N449" s="121"/>
      <c r="O449" s="121"/>
      <c r="P449" s="121"/>
      <c r="Q449" s="121"/>
      <c r="R449" s="121"/>
      <c r="S449" s="121"/>
      <c r="T449" s="121"/>
      <c r="U449" s="121"/>
      <c r="V449" s="121"/>
    </row>
    <row r="450">
      <c r="A450" s="120"/>
      <c r="B450" s="123"/>
      <c r="C450" s="124"/>
      <c r="D450" s="120"/>
      <c r="E450" s="132"/>
      <c r="F450" s="120"/>
      <c r="G450" s="132"/>
      <c r="H450" s="132"/>
      <c r="I450" s="132"/>
      <c r="J450" s="120"/>
      <c r="K450" s="120"/>
      <c r="L450" s="120"/>
      <c r="M450" s="120"/>
      <c r="N450" s="121"/>
      <c r="O450" s="121"/>
      <c r="P450" s="121"/>
      <c r="Q450" s="121"/>
      <c r="R450" s="121"/>
      <c r="S450" s="121"/>
      <c r="T450" s="121"/>
      <c r="U450" s="121"/>
      <c r="V450" s="121"/>
    </row>
    <row r="451">
      <c r="A451" s="120"/>
      <c r="B451" s="123"/>
      <c r="C451" s="124"/>
      <c r="D451" s="120"/>
      <c r="E451" s="132"/>
      <c r="F451" s="120"/>
      <c r="G451" s="132"/>
      <c r="H451" s="132"/>
      <c r="I451" s="132"/>
      <c r="J451" s="120"/>
      <c r="K451" s="120"/>
      <c r="L451" s="120"/>
      <c r="M451" s="120"/>
      <c r="N451" s="121"/>
      <c r="O451" s="121"/>
      <c r="P451" s="121"/>
      <c r="Q451" s="121"/>
      <c r="R451" s="121"/>
      <c r="S451" s="121"/>
      <c r="T451" s="121"/>
      <c r="U451" s="121"/>
      <c r="V451" s="121"/>
    </row>
    <row r="452">
      <c r="A452" s="120"/>
      <c r="B452" s="123"/>
      <c r="C452" s="124"/>
      <c r="D452" s="120"/>
      <c r="E452" s="132"/>
      <c r="F452" s="120"/>
      <c r="G452" s="132"/>
      <c r="H452" s="132"/>
      <c r="I452" s="132"/>
      <c r="J452" s="120"/>
      <c r="K452" s="120"/>
      <c r="L452" s="120"/>
      <c r="M452" s="120"/>
      <c r="N452" s="121"/>
      <c r="O452" s="121"/>
      <c r="P452" s="121"/>
      <c r="Q452" s="121"/>
      <c r="R452" s="121"/>
      <c r="S452" s="121"/>
      <c r="T452" s="121"/>
      <c r="U452" s="121"/>
      <c r="V452" s="121"/>
    </row>
    <row r="453">
      <c r="A453" s="120"/>
      <c r="B453" s="123"/>
      <c r="C453" s="124"/>
      <c r="D453" s="120"/>
      <c r="E453" s="132"/>
      <c r="F453" s="120"/>
      <c r="G453" s="132"/>
      <c r="H453" s="132"/>
      <c r="I453" s="132"/>
      <c r="J453" s="120"/>
      <c r="K453" s="120"/>
      <c r="L453" s="120"/>
      <c r="M453" s="120"/>
      <c r="N453" s="121"/>
      <c r="O453" s="121"/>
      <c r="P453" s="121"/>
      <c r="Q453" s="121"/>
      <c r="R453" s="121"/>
      <c r="S453" s="121"/>
      <c r="T453" s="121"/>
      <c r="U453" s="121"/>
      <c r="V453" s="121"/>
    </row>
    <row r="454">
      <c r="A454" s="120"/>
      <c r="B454" s="123"/>
      <c r="C454" s="124"/>
      <c r="D454" s="120"/>
      <c r="E454" s="132"/>
      <c r="F454" s="120"/>
      <c r="G454" s="132"/>
      <c r="H454" s="132"/>
      <c r="I454" s="132"/>
      <c r="J454" s="120"/>
      <c r="K454" s="120"/>
      <c r="L454" s="120"/>
      <c r="M454" s="120"/>
      <c r="N454" s="121"/>
      <c r="O454" s="121"/>
      <c r="P454" s="121"/>
      <c r="Q454" s="121"/>
      <c r="R454" s="121"/>
      <c r="S454" s="121"/>
      <c r="T454" s="121"/>
      <c r="U454" s="121"/>
      <c r="V454" s="121"/>
    </row>
    <row r="455">
      <c r="A455" s="120"/>
      <c r="B455" s="123"/>
      <c r="C455" s="124"/>
      <c r="D455" s="120"/>
      <c r="E455" s="132"/>
      <c r="F455" s="120"/>
      <c r="G455" s="132"/>
      <c r="H455" s="132"/>
      <c r="I455" s="132"/>
      <c r="J455" s="120"/>
      <c r="K455" s="120"/>
      <c r="L455" s="120"/>
      <c r="M455" s="120"/>
      <c r="N455" s="121"/>
      <c r="O455" s="121"/>
      <c r="P455" s="121"/>
      <c r="Q455" s="121"/>
      <c r="R455" s="121"/>
      <c r="S455" s="121"/>
      <c r="T455" s="121"/>
      <c r="U455" s="121"/>
      <c r="V455" s="121"/>
    </row>
    <row r="456">
      <c r="A456" s="120"/>
      <c r="B456" s="123"/>
      <c r="C456" s="124"/>
      <c r="D456" s="120"/>
      <c r="E456" s="132"/>
      <c r="F456" s="120"/>
      <c r="G456" s="132"/>
      <c r="H456" s="132"/>
      <c r="I456" s="132"/>
      <c r="J456" s="120"/>
      <c r="K456" s="120"/>
      <c r="L456" s="120"/>
      <c r="M456" s="120"/>
      <c r="N456" s="121"/>
      <c r="O456" s="121"/>
      <c r="P456" s="121"/>
      <c r="Q456" s="121"/>
      <c r="R456" s="121"/>
      <c r="S456" s="121"/>
      <c r="T456" s="121"/>
      <c r="U456" s="121"/>
      <c r="V456" s="121"/>
    </row>
    <row r="457">
      <c r="A457" s="120"/>
      <c r="B457" s="123"/>
      <c r="C457" s="124"/>
      <c r="D457" s="120"/>
      <c r="E457" s="132"/>
      <c r="F457" s="120"/>
      <c r="G457" s="132"/>
      <c r="H457" s="132"/>
      <c r="I457" s="132"/>
      <c r="J457" s="120"/>
      <c r="K457" s="120"/>
      <c r="L457" s="120"/>
      <c r="M457" s="120"/>
      <c r="N457" s="121"/>
      <c r="O457" s="121"/>
      <c r="P457" s="121"/>
      <c r="Q457" s="121"/>
      <c r="R457" s="121"/>
      <c r="S457" s="121"/>
      <c r="T457" s="121"/>
      <c r="U457" s="121"/>
      <c r="V457" s="121"/>
    </row>
    <row r="458">
      <c r="A458" s="120"/>
      <c r="B458" s="123"/>
      <c r="C458" s="124"/>
      <c r="D458" s="120"/>
      <c r="E458" s="132"/>
      <c r="F458" s="120"/>
      <c r="G458" s="132"/>
      <c r="H458" s="132"/>
      <c r="I458" s="132"/>
      <c r="J458" s="120"/>
      <c r="K458" s="120"/>
      <c r="L458" s="120"/>
      <c r="M458" s="120"/>
      <c r="N458" s="121"/>
      <c r="O458" s="121"/>
      <c r="P458" s="121"/>
      <c r="Q458" s="121"/>
      <c r="R458" s="121"/>
      <c r="S458" s="121"/>
      <c r="T458" s="121"/>
      <c r="U458" s="121"/>
      <c r="V458" s="121"/>
    </row>
    <row r="459">
      <c r="A459" s="120"/>
      <c r="B459" s="123"/>
      <c r="C459" s="124"/>
      <c r="D459" s="120"/>
      <c r="E459" s="132"/>
      <c r="F459" s="120"/>
      <c r="G459" s="132"/>
      <c r="H459" s="132"/>
      <c r="I459" s="132"/>
      <c r="J459" s="120"/>
      <c r="K459" s="120"/>
      <c r="L459" s="120"/>
      <c r="M459" s="120"/>
      <c r="N459" s="121"/>
      <c r="O459" s="121"/>
      <c r="P459" s="121"/>
      <c r="Q459" s="121"/>
      <c r="R459" s="121"/>
      <c r="S459" s="121"/>
      <c r="T459" s="121"/>
      <c r="U459" s="121"/>
      <c r="V459" s="121"/>
    </row>
    <row r="460">
      <c r="A460" s="120"/>
      <c r="B460" s="123"/>
      <c r="C460" s="124"/>
      <c r="D460" s="120"/>
      <c r="E460" s="132"/>
      <c r="F460" s="120"/>
      <c r="G460" s="132"/>
      <c r="H460" s="132"/>
      <c r="I460" s="132"/>
      <c r="J460" s="120"/>
      <c r="K460" s="120"/>
      <c r="L460" s="120"/>
      <c r="M460" s="120"/>
      <c r="N460" s="121"/>
      <c r="O460" s="121"/>
      <c r="P460" s="121"/>
      <c r="Q460" s="121"/>
      <c r="R460" s="121"/>
      <c r="S460" s="121"/>
      <c r="T460" s="121"/>
      <c r="U460" s="121"/>
      <c r="V460" s="121"/>
    </row>
    <row r="461">
      <c r="A461" s="120"/>
      <c r="B461" s="123"/>
      <c r="C461" s="124"/>
      <c r="D461" s="120"/>
      <c r="E461" s="132"/>
      <c r="F461" s="120"/>
      <c r="G461" s="132"/>
      <c r="H461" s="132"/>
      <c r="I461" s="132"/>
      <c r="J461" s="120"/>
      <c r="K461" s="120"/>
      <c r="L461" s="120"/>
      <c r="M461" s="120"/>
      <c r="N461" s="121"/>
      <c r="O461" s="121"/>
      <c r="P461" s="121"/>
      <c r="Q461" s="121"/>
      <c r="R461" s="121"/>
      <c r="S461" s="121"/>
      <c r="T461" s="121"/>
      <c r="U461" s="121"/>
      <c r="V461" s="121"/>
    </row>
    <row r="462">
      <c r="A462" s="120"/>
      <c r="B462" s="123"/>
      <c r="C462" s="124"/>
      <c r="D462" s="120"/>
      <c r="E462" s="132"/>
      <c r="F462" s="120"/>
      <c r="G462" s="132"/>
      <c r="H462" s="132"/>
      <c r="I462" s="132"/>
      <c r="J462" s="120"/>
      <c r="K462" s="120"/>
      <c r="L462" s="120"/>
      <c r="M462" s="120"/>
      <c r="N462" s="121"/>
      <c r="O462" s="121"/>
      <c r="P462" s="121"/>
      <c r="Q462" s="121"/>
      <c r="R462" s="121"/>
      <c r="S462" s="121"/>
      <c r="T462" s="121"/>
      <c r="U462" s="121"/>
      <c r="V462" s="121"/>
    </row>
    <row r="463">
      <c r="A463" s="120"/>
      <c r="B463" s="123"/>
      <c r="C463" s="124"/>
      <c r="D463" s="120"/>
      <c r="E463" s="132"/>
      <c r="F463" s="120"/>
      <c r="G463" s="132"/>
      <c r="H463" s="132"/>
      <c r="I463" s="132"/>
      <c r="J463" s="120"/>
      <c r="K463" s="120"/>
      <c r="L463" s="120"/>
      <c r="M463" s="120"/>
      <c r="N463" s="121"/>
      <c r="O463" s="121"/>
      <c r="P463" s="121"/>
      <c r="Q463" s="121"/>
      <c r="R463" s="121"/>
      <c r="S463" s="121"/>
      <c r="T463" s="121"/>
      <c r="U463" s="121"/>
      <c r="V463" s="121"/>
    </row>
    <row r="464">
      <c r="A464" s="120"/>
      <c r="B464" s="123"/>
      <c r="C464" s="124"/>
      <c r="D464" s="120"/>
      <c r="E464" s="132"/>
      <c r="F464" s="120"/>
      <c r="G464" s="132"/>
      <c r="H464" s="132"/>
      <c r="I464" s="132"/>
      <c r="J464" s="120"/>
      <c r="K464" s="120"/>
      <c r="L464" s="120"/>
      <c r="M464" s="120"/>
      <c r="N464" s="121"/>
      <c r="O464" s="121"/>
      <c r="P464" s="121"/>
      <c r="Q464" s="121"/>
      <c r="R464" s="121"/>
      <c r="S464" s="121"/>
      <c r="T464" s="121"/>
      <c r="U464" s="121"/>
      <c r="V464" s="121"/>
    </row>
    <row r="465">
      <c r="A465" s="120"/>
      <c r="B465" s="123"/>
      <c r="C465" s="124"/>
      <c r="D465" s="120"/>
      <c r="E465" s="132"/>
      <c r="F465" s="120"/>
      <c r="G465" s="132"/>
      <c r="H465" s="132"/>
      <c r="I465" s="132"/>
      <c r="J465" s="120"/>
      <c r="K465" s="120"/>
      <c r="L465" s="120"/>
      <c r="M465" s="120"/>
      <c r="N465" s="121"/>
      <c r="O465" s="121"/>
      <c r="P465" s="121"/>
      <c r="Q465" s="121"/>
      <c r="R465" s="121"/>
      <c r="S465" s="121"/>
      <c r="T465" s="121"/>
      <c r="U465" s="121"/>
      <c r="V465" s="121"/>
    </row>
    <row r="466">
      <c r="A466" s="120"/>
      <c r="B466" s="123"/>
      <c r="C466" s="124"/>
      <c r="D466" s="120"/>
      <c r="E466" s="132"/>
      <c r="F466" s="120"/>
      <c r="G466" s="132"/>
      <c r="H466" s="132"/>
      <c r="I466" s="132"/>
      <c r="J466" s="120"/>
      <c r="K466" s="120"/>
      <c r="L466" s="120"/>
      <c r="M466" s="120"/>
      <c r="N466" s="121"/>
      <c r="O466" s="121"/>
      <c r="P466" s="121"/>
      <c r="Q466" s="121"/>
      <c r="R466" s="121"/>
      <c r="S466" s="121"/>
      <c r="T466" s="121"/>
      <c r="U466" s="121"/>
      <c r="V466" s="121"/>
    </row>
    <row r="467">
      <c r="A467" s="120"/>
      <c r="B467" s="123"/>
      <c r="C467" s="124"/>
      <c r="D467" s="120"/>
      <c r="E467" s="132"/>
      <c r="F467" s="120"/>
      <c r="G467" s="132"/>
      <c r="H467" s="132"/>
      <c r="I467" s="132"/>
      <c r="J467" s="120"/>
      <c r="K467" s="120"/>
      <c r="L467" s="120"/>
      <c r="M467" s="120"/>
      <c r="N467" s="121"/>
      <c r="O467" s="121"/>
      <c r="P467" s="121"/>
      <c r="Q467" s="121"/>
      <c r="R467" s="121"/>
      <c r="S467" s="121"/>
      <c r="T467" s="121"/>
      <c r="U467" s="121"/>
      <c r="V467" s="121"/>
    </row>
    <row r="468">
      <c r="A468" s="120"/>
      <c r="B468" s="123"/>
      <c r="C468" s="124"/>
      <c r="D468" s="120"/>
      <c r="E468" s="132"/>
      <c r="F468" s="120"/>
      <c r="G468" s="132"/>
      <c r="H468" s="132"/>
      <c r="I468" s="132"/>
      <c r="J468" s="120"/>
      <c r="K468" s="120"/>
      <c r="L468" s="120"/>
      <c r="M468" s="120"/>
      <c r="N468" s="121"/>
      <c r="O468" s="121"/>
      <c r="P468" s="121"/>
      <c r="Q468" s="121"/>
      <c r="R468" s="121"/>
      <c r="S468" s="121"/>
      <c r="T468" s="121"/>
      <c r="U468" s="121"/>
      <c r="V468" s="121"/>
    </row>
    <row r="469">
      <c r="A469" s="120"/>
      <c r="B469" s="123"/>
      <c r="C469" s="124"/>
      <c r="D469" s="120"/>
      <c r="E469" s="132"/>
      <c r="F469" s="120"/>
      <c r="G469" s="132"/>
      <c r="H469" s="132"/>
      <c r="I469" s="132"/>
      <c r="J469" s="120"/>
      <c r="K469" s="120"/>
      <c r="L469" s="120"/>
      <c r="M469" s="120"/>
      <c r="N469" s="121"/>
      <c r="O469" s="121"/>
      <c r="P469" s="121"/>
      <c r="Q469" s="121"/>
      <c r="R469" s="121"/>
      <c r="S469" s="121"/>
      <c r="T469" s="121"/>
      <c r="U469" s="121"/>
      <c r="V469" s="121"/>
    </row>
    <row r="470">
      <c r="A470" s="120"/>
      <c r="B470" s="123"/>
      <c r="C470" s="124"/>
      <c r="D470" s="120"/>
      <c r="E470" s="132"/>
      <c r="F470" s="120"/>
      <c r="G470" s="132"/>
      <c r="H470" s="132"/>
      <c r="I470" s="132"/>
      <c r="J470" s="120"/>
      <c r="K470" s="120"/>
      <c r="L470" s="120"/>
      <c r="M470" s="120"/>
      <c r="N470" s="121"/>
      <c r="O470" s="121"/>
      <c r="P470" s="121"/>
      <c r="Q470" s="121"/>
      <c r="R470" s="121"/>
      <c r="S470" s="121"/>
      <c r="T470" s="121"/>
      <c r="U470" s="121"/>
      <c r="V470" s="121"/>
    </row>
    <row r="471">
      <c r="A471" s="120"/>
      <c r="B471" s="123"/>
      <c r="C471" s="124"/>
      <c r="D471" s="120"/>
      <c r="E471" s="132"/>
      <c r="F471" s="120"/>
      <c r="G471" s="132"/>
      <c r="H471" s="132"/>
      <c r="I471" s="132"/>
      <c r="J471" s="120"/>
      <c r="K471" s="120"/>
      <c r="L471" s="120"/>
      <c r="M471" s="120"/>
      <c r="N471" s="121"/>
      <c r="O471" s="121"/>
      <c r="P471" s="121"/>
      <c r="Q471" s="121"/>
      <c r="R471" s="121"/>
      <c r="S471" s="121"/>
      <c r="T471" s="121"/>
      <c r="U471" s="121"/>
      <c r="V471" s="121"/>
    </row>
    <row r="472">
      <c r="A472" s="120"/>
      <c r="B472" s="123"/>
      <c r="C472" s="124"/>
      <c r="D472" s="120"/>
      <c r="E472" s="132"/>
      <c r="F472" s="120"/>
      <c r="G472" s="132"/>
      <c r="H472" s="132"/>
      <c r="I472" s="132"/>
      <c r="J472" s="120"/>
      <c r="K472" s="120"/>
      <c r="L472" s="120"/>
      <c r="M472" s="120"/>
      <c r="N472" s="121"/>
      <c r="O472" s="121"/>
      <c r="P472" s="121"/>
      <c r="Q472" s="121"/>
      <c r="R472" s="121"/>
      <c r="S472" s="121"/>
      <c r="T472" s="121"/>
      <c r="U472" s="121"/>
      <c r="V472" s="121"/>
    </row>
    <row r="473">
      <c r="A473" s="120"/>
      <c r="B473" s="123"/>
      <c r="C473" s="124"/>
      <c r="D473" s="120"/>
      <c r="E473" s="132"/>
      <c r="F473" s="120"/>
      <c r="G473" s="132"/>
      <c r="H473" s="132"/>
      <c r="I473" s="132"/>
      <c r="J473" s="120"/>
      <c r="K473" s="120"/>
      <c r="L473" s="120"/>
      <c r="M473" s="120"/>
      <c r="N473" s="121"/>
      <c r="O473" s="121"/>
      <c r="P473" s="121"/>
      <c r="Q473" s="121"/>
      <c r="R473" s="121"/>
      <c r="S473" s="121"/>
      <c r="T473" s="121"/>
      <c r="U473" s="121"/>
      <c r="V473" s="121"/>
    </row>
    <row r="474">
      <c r="A474" s="120"/>
      <c r="B474" s="123"/>
      <c r="C474" s="124"/>
      <c r="D474" s="120"/>
      <c r="E474" s="132"/>
      <c r="F474" s="120"/>
      <c r="G474" s="132"/>
      <c r="H474" s="132"/>
      <c r="I474" s="132"/>
      <c r="J474" s="120"/>
      <c r="K474" s="120"/>
      <c r="L474" s="120"/>
      <c r="M474" s="120"/>
      <c r="N474" s="121"/>
      <c r="O474" s="121"/>
      <c r="P474" s="121"/>
      <c r="Q474" s="121"/>
      <c r="R474" s="121"/>
      <c r="S474" s="121"/>
      <c r="T474" s="121"/>
      <c r="U474" s="121"/>
      <c r="V474" s="121"/>
    </row>
    <row r="475">
      <c r="A475" s="120"/>
      <c r="B475" s="123"/>
      <c r="C475" s="124"/>
      <c r="D475" s="120"/>
      <c r="E475" s="132"/>
      <c r="F475" s="120"/>
      <c r="G475" s="132"/>
      <c r="H475" s="132"/>
      <c r="I475" s="132"/>
      <c r="J475" s="120"/>
      <c r="K475" s="120"/>
      <c r="L475" s="120"/>
      <c r="M475" s="120"/>
      <c r="N475" s="121"/>
      <c r="O475" s="121"/>
      <c r="P475" s="121"/>
      <c r="Q475" s="121"/>
      <c r="R475" s="121"/>
      <c r="S475" s="121"/>
      <c r="T475" s="121"/>
      <c r="U475" s="121"/>
      <c r="V475" s="121"/>
    </row>
    <row r="476">
      <c r="A476" s="120"/>
      <c r="B476" s="123"/>
      <c r="C476" s="124"/>
      <c r="D476" s="120"/>
      <c r="E476" s="132"/>
      <c r="F476" s="120"/>
      <c r="G476" s="132"/>
      <c r="H476" s="132"/>
      <c r="I476" s="132"/>
      <c r="J476" s="120"/>
      <c r="K476" s="120"/>
      <c r="L476" s="120"/>
      <c r="M476" s="120"/>
      <c r="N476" s="121"/>
      <c r="O476" s="121"/>
      <c r="P476" s="121"/>
      <c r="Q476" s="121"/>
      <c r="R476" s="121"/>
      <c r="S476" s="121"/>
      <c r="T476" s="121"/>
      <c r="U476" s="121"/>
      <c r="V476" s="121"/>
    </row>
    <row r="477">
      <c r="A477" s="120"/>
      <c r="B477" s="123"/>
      <c r="C477" s="124"/>
      <c r="D477" s="120"/>
      <c r="E477" s="133"/>
      <c r="F477" s="120"/>
      <c r="G477" s="133"/>
      <c r="H477" s="133"/>
      <c r="I477" s="133"/>
      <c r="J477" s="120"/>
      <c r="K477" s="120"/>
      <c r="L477" s="120"/>
      <c r="M477" s="120"/>
      <c r="N477" s="121"/>
      <c r="O477" s="121"/>
      <c r="P477" s="121"/>
      <c r="Q477" s="121"/>
      <c r="R477" s="121"/>
      <c r="S477" s="121"/>
      <c r="T477" s="121"/>
      <c r="U477" s="121"/>
      <c r="V477" s="121"/>
    </row>
    <row r="478">
      <c r="A478" s="120"/>
      <c r="B478" s="123"/>
      <c r="C478" s="124"/>
      <c r="D478" s="120"/>
      <c r="E478" s="133"/>
      <c r="F478" s="120"/>
      <c r="G478" s="133"/>
      <c r="H478" s="133"/>
      <c r="I478" s="133"/>
      <c r="J478" s="120"/>
      <c r="K478" s="120"/>
      <c r="L478" s="120"/>
      <c r="M478" s="120"/>
      <c r="N478" s="121"/>
      <c r="O478" s="121"/>
      <c r="P478" s="121"/>
      <c r="Q478" s="121"/>
      <c r="R478" s="121"/>
      <c r="S478" s="121"/>
      <c r="T478" s="121"/>
      <c r="U478" s="121"/>
      <c r="V478" s="121"/>
    </row>
    <row r="479">
      <c r="A479" s="120"/>
      <c r="B479" s="123"/>
      <c r="C479" s="124"/>
      <c r="D479" s="120"/>
      <c r="E479" s="133"/>
      <c r="F479" s="120"/>
      <c r="G479" s="133"/>
      <c r="H479" s="133"/>
      <c r="I479" s="133"/>
      <c r="J479" s="120"/>
      <c r="K479" s="120"/>
      <c r="L479" s="120"/>
      <c r="M479" s="120"/>
      <c r="N479" s="121"/>
      <c r="O479" s="121"/>
      <c r="P479" s="121"/>
      <c r="Q479" s="121"/>
      <c r="R479" s="121"/>
      <c r="S479" s="121"/>
      <c r="T479" s="121"/>
      <c r="U479" s="121"/>
      <c r="V479" s="121"/>
    </row>
    <row r="480">
      <c r="A480" s="120"/>
      <c r="B480" s="123"/>
      <c r="C480" s="124"/>
      <c r="D480" s="120"/>
      <c r="E480" s="133"/>
      <c r="F480" s="120"/>
      <c r="G480" s="133"/>
      <c r="H480" s="133"/>
      <c r="I480" s="133"/>
      <c r="J480" s="120"/>
      <c r="K480" s="120"/>
      <c r="L480" s="120"/>
      <c r="M480" s="120"/>
      <c r="N480" s="121"/>
      <c r="O480" s="121"/>
      <c r="P480" s="121"/>
      <c r="Q480" s="121"/>
      <c r="R480" s="121"/>
      <c r="S480" s="121"/>
      <c r="T480" s="121"/>
      <c r="U480" s="121"/>
      <c r="V480" s="121"/>
    </row>
    <row r="481">
      <c r="A481" s="120"/>
      <c r="B481" s="123"/>
      <c r="C481" s="124"/>
      <c r="D481" s="120"/>
      <c r="E481" s="133"/>
      <c r="F481" s="120"/>
      <c r="G481" s="133"/>
      <c r="H481" s="133"/>
      <c r="I481" s="133"/>
      <c r="J481" s="120"/>
      <c r="K481" s="120"/>
      <c r="L481" s="120"/>
      <c r="M481" s="120"/>
      <c r="N481" s="121"/>
      <c r="O481" s="121"/>
      <c r="P481" s="121"/>
      <c r="Q481" s="121"/>
      <c r="R481" s="121"/>
      <c r="S481" s="121"/>
      <c r="T481" s="121"/>
      <c r="U481" s="121"/>
      <c r="V481" s="121"/>
    </row>
    <row r="482">
      <c r="A482" s="120"/>
      <c r="B482" s="123"/>
      <c r="C482" s="124"/>
      <c r="D482" s="120"/>
      <c r="E482" s="133"/>
      <c r="F482" s="120"/>
      <c r="G482" s="133"/>
      <c r="H482" s="133"/>
      <c r="I482" s="133"/>
      <c r="J482" s="120"/>
      <c r="K482" s="120"/>
      <c r="L482" s="120"/>
      <c r="M482" s="120"/>
      <c r="N482" s="121"/>
      <c r="O482" s="121"/>
      <c r="P482" s="121"/>
      <c r="Q482" s="121"/>
      <c r="R482" s="121"/>
      <c r="S482" s="121"/>
      <c r="T482" s="121"/>
      <c r="U482" s="121"/>
      <c r="V482" s="121"/>
    </row>
    <row r="483">
      <c r="A483" s="120"/>
      <c r="B483" s="123"/>
      <c r="C483" s="124"/>
      <c r="D483" s="120"/>
      <c r="E483" s="133"/>
      <c r="F483" s="120"/>
      <c r="G483" s="133"/>
      <c r="H483" s="133"/>
      <c r="I483" s="133"/>
      <c r="J483" s="120"/>
      <c r="K483" s="120"/>
      <c r="L483" s="120"/>
      <c r="M483" s="120"/>
      <c r="N483" s="121"/>
      <c r="O483" s="121"/>
      <c r="P483" s="121"/>
      <c r="Q483" s="121"/>
      <c r="R483" s="121"/>
      <c r="S483" s="121"/>
      <c r="T483" s="121"/>
      <c r="U483" s="121"/>
      <c r="V483" s="121"/>
    </row>
    <row r="484">
      <c r="A484" s="120"/>
      <c r="B484" s="123"/>
      <c r="C484" s="124"/>
      <c r="D484" s="120"/>
      <c r="E484" s="133"/>
      <c r="F484" s="120"/>
      <c r="G484" s="133"/>
      <c r="H484" s="133"/>
      <c r="I484" s="133"/>
      <c r="J484" s="120"/>
      <c r="K484" s="120"/>
      <c r="L484" s="120"/>
      <c r="M484" s="120"/>
      <c r="N484" s="121"/>
      <c r="O484" s="121"/>
      <c r="P484" s="121"/>
      <c r="Q484" s="121"/>
      <c r="R484" s="121"/>
      <c r="S484" s="121"/>
      <c r="T484" s="121"/>
      <c r="U484" s="121"/>
      <c r="V484" s="121"/>
    </row>
    <row r="485">
      <c r="A485" s="120"/>
      <c r="B485" s="123"/>
      <c r="C485" s="124"/>
      <c r="D485" s="120"/>
      <c r="E485" s="133"/>
      <c r="F485" s="120"/>
      <c r="G485" s="133"/>
      <c r="H485" s="133"/>
      <c r="I485" s="133"/>
      <c r="J485" s="120"/>
      <c r="K485" s="120"/>
      <c r="L485" s="120"/>
      <c r="M485" s="120"/>
      <c r="N485" s="121"/>
      <c r="O485" s="121"/>
      <c r="P485" s="121"/>
      <c r="Q485" s="121"/>
      <c r="R485" s="121"/>
      <c r="S485" s="121"/>
      <c r="T485" s="121"/>
      <c r="U485" s="121"/>
      <c r="V485" s="121"/>
    </row>
    <row r="486">
      <c r="A486" s="120"/>
      <c r="B486" s="123"/>
      <c r="C486" s="124"/>
      <c r="D486" s="120"/>
      <c r="E486" s="133"/>
      <c r="F486" s="120"/>
      <c r="G486" s="133"/>
      <c r="H486" s="133"/>
      <c r="I486" s="133"/>
      <c r="J486" s="120"/>
      <c r="K486" s="120"/>
      <c r="L486" s="120"/>
      <c r="M486" s="120"/>
      <c r="N486" s="121"/>
      <c r="O486" s="121"/>
      <c r="P486" s="121"/>
      <c r="Q486" s="121"/>
      <c r="R486" s="121"/>
      <c r="S486" s="121"/>
      <c r="T486" s="121"/>
      <c r="U486" s="121"/>
      <c r="V486" s="121"/>
    </row>
    <row r="487">
      <c r="A487" s="120"/>
      <c r="B487" s="123"/>
      <c r="C487" s="124"/>
      <c r="D487" s="120"/>
      <c r="E487" s="133"/>
      <c r="F487" s="120"/>
      <c r="G487" s="133"/>
      <c r="H487" s="133"/>
      <c r="I487" s="133"/>
      <c r="J487" s="120"/>
      <c r="K487" s="120"/>
      <c r="L487" s="120"/>
      <c r="M487" s="120"/>
      <c r="N487" s="121"/>
      <c r="O487" s="121"/>
      <c r="P487" s="121"/>
      <c r="Q487" s="121"/>
      <c r="R487" s="121"/>
      <c r="S487" s="121"/>
      <c r="T487" s="121"/>
      <c r="U487" s="121"/>
      <c r="V487" s="121"/>
    </row>
    <row r="488">
      <c r="A488" s="120"/>
      <c r="B488" s="123"/>
      <c r="C488" s="124"/>
      <c r="D488" s="120"/>
      <c r="E488" s="133"/>
      <c r="F488" s="120"/>
      <c r="G488" s="133"/>
      <c r="H488" s="133"/>
      <c r="I488" s="133"/>
      <c r="J488" s="120"/>
      <c r="K488" s="120"/>
      <c r="L488" s="120"/>
      <c r="M488" s="120"/>
      <c r="N488" s="121"/>
      <c r="O488" s="121"/>
      <c r="P488" s="121"/>
      <c r="Q488" s="121"/>
      <c r="R488" s="121"/>
      <c r="S488" s="121"/>
      <c r="T488" s="121"/>
      <c r="U488" s="121"/>
      <c r="V488" s="121"/>
    </row>
    <row r="489">
      <c r="A489" s="120"/>
      <c r="B489" s="123"/>
      <c r="C489" s="124"/>
      <c r="D489" s="120"/>
      <c r="E489" s="133"/>
      <c r="F489" s="120"/>
      <c r="G489" s="133"/>
      <c r="H489" s="133"/>
      <c r="I489" s="133"/>
      <c r="J489" s="120"/>
      <c r="K489" s="120"/>
      <c r="L489" s="120"/>
      <c r="M489" s="120"/>
      <c r="N489" s="121"/>
      <c r="O489" s="121"/>
      <c r="P489" s="121"/>
      <c r="Q489" s="121"/>
      <c r="R489" s="121"/>
      <c r="S489" s="121"/>
      <c r="T489" s="121"/>
      <c r="U489" s="121"/>
      <c r="V489" s="121"/>
    </row>
    <row r="490">
      <c r="A490" s="120"/>
      <c r="B490" s="123"/>
      <c r="C490" s="124"/>
      <c r="D490" s="120"/>
      <c r="E490" s="133"/>
      <c r="F490" s="120"/>
      <c r="G490" s="133"/>
      <c r="H490" s="133"/>
      <c r="I490" s="133"/>
      <c r="J490" s="120"/>
      <c r="K490" s="120"/>
      <c r="L490" s="120"/>
      <c r="M490" s="120"/>
      <c r="N490" s="121"/>
      <c r="O490" s="121"/>
      <c r="P490" s="121"/>
      <c r="Q490" s="121"/>
      <c r="R490" s="121"/>
      <c r="S490" s="121"/>
      <c r="T490" s="121"/>
      <c r="U490" s="121"/>
      <c r="V490" s="121"/>
    </row>
    <row r="491">
      <c r="A491" s="120"/>
      <c r="B491" s="123"/>
      <c r="C491" s="124"/>
      <c r="D491" s="120"/>
      <c r="E491" s="133"/>
      <c r="F491" s="120"/>
      <c r="G491" s="133"/>
      <c r="H491" s="133"/>
      <c r="I491" s="133"/>
      <c r="J491" s="120"/>
      <c r="K491" s="120"/>
      <c r="L491" s="120"/>
      <c r="M491" s="120"/>
      <c r="N491" s="121"/>
      <c r="O491" s="121"/>
      <c r="P491" s="121"/>
      <c r="Q491" s="121"/>
      <c r="R491" s="121"/>
      <c r="S491" s="121"/>
      <c r="T491" s="121"/>
      <c r="U491" s="121"/>
      <c r="V491" s="121"/>
    </row>
    <row r="492">
      <c r="A492" s="120"/>
      <c r="B492" s="123"/>
      <c r="C492" s="124"/>
      <c r="D492" s="120"/>
      <c r="E492" s="133"/>
      <c r="F492" s="120"/>
      <c r="G492" s="133"/>
      <c r="H492" s="133"/>
      <c r="I492" s="133"/>
      <c r="J492" s="120"/>
      <c r="K492" s="120"/>
      <c r="L492" s="120"/>
      <c r="M492" s="120"/>
      <c r="N492" s="121"/>
      <c r="O492" s="121"/>
      <c r="P492" s="121"/>
      <c r="Q492" s="121"/>
      <c r="R492" s="121"/>
      <c r="S492" s="121"/>
      <c r="T492" s="121"/>
      <c r="U492" s="121"/>
      <c r="V492" s="121"/>
    </row>
    <row r="493">
      <c r="A493" s="120"/>
      <c r="B493" s="123"/>
      <c r="C493" s="124"/>
      <c r="D493" s="120"/>
      <c r="E493" s="133"/>
      <c r="F493" s="120"/>
      <c r="G493" s="133"/>
      <c r="H493" s="133"/>
      <c r="I493" s="133"/>
      <c r="J493" s="120"/>
      <c r="K493" s="120"/>
      <c r="L493" s="120"/>
      <c r="M493" s="120"/>
      <c r="N493" s="121"/>
      <c r="O493" s="121"/>
      <c r="P493" s="121"/>
      <c r="Q493" s="121"/>
      <c r="R493" s="121"/>
      <c r="S493" s="121"/>
      <c r="T493" s="121"/>
      <c r="U493" s="121"/>
      <c r="V493" s="121"/>
    </row>
    <row r="494">
      <c r="A494" s="120"/>
      <c r="B494" s="123"/>
      <c r="C494" s="124"/>
      <c r="D494" s="120"/>
      <c r="E494" s="133"/>
      <c r="F494" s="120"/>
      <c r="G494" s="133"/>
      <c r="H494" s="133"/>
      <c r="I494" s="133"/>
      <c r="J494" s="120"/>
      <c r="K494" s="120"/>
      <c r="L494" s="120"/>
      <c r="M494" s="120"/>
      <c r="N494" s="121"/>
      <c r="O494" s="121"/>
      <c r="P494" s="121"/>
      <c r="Q494" s="121"/>
      <c r="R494" s="121"/>
      <c r="S494" s="121"/>
      <c r="T494" s="121"/>
      <c r="U494" s="121"/>
      <c r="V494" s="121"/>
    </row>
    <row r="495">
      <c r="A495" s="120"/>
      <c r="B495" s="123"/>
      <c r="C495" s="124"/>
      <c r="D495" s="120"/>
      <c r="E495" s="125"/>
      <c r="F495" s="120"/>
      <c r="G495" s="125"/>
      <c r="H495" s="125"/>
      <c r="I495" s="125"/>
      <c r="J495" s="120"/>
      <c r="K495" s="120"/>
      <c r="L495" s="120"/>
      <c r="M495" s="120"/>
      <c r="N495" s="121"/>
      <c r="O495" s="121"/>
      <c r="P495" s="121"/>
      <c r="Q495" s="121"/>
      <c r="R495" s="121"/>
      <c r="S495" s="121"/>
      <c r="T495" s="121"/>
      <c r="U495" s="121"/>
      <c r="V495" s="121"/>
    </row>
    <row r="496">
      <c r="A496" s="120"/>
      <c r="B496" s="123"/>
      <c r="C496" s="124"/>
      <c r="D496" s="120"/>
      <c r="E496" s="125"/>
      <c r="F496" s="120"/>
      <c r="G496" s="125"/>
      <c r="H496" s="125"/>
      <c r="I496" s="125"/>
      <c r="J496" s="120"/>
      <c r="K496" s="120"/>
      <c r="L496" s="120"/>
      <c r="M496" s="120"/>
      <c r="N496" s="121"/>
      <c r="O496" s="121"/>
      <c r="P496" s="121"/>
      <c r="Q496" s="121"/>
      <c r="R496" s="121"/>
      <c r="S496" s="121"/>
      <c r="T496" s="121"/>
      <c r="U496" s="121"/>
      <c r="V496" s="121"/>
    </row>
    <row r="497">
      <c r="A497" s="120"/>
      <c r="B497" s="123"/>
      <c r="C497" s="124"/>
      <c r="D497" s="120"/>
      <c r="E497" s="125"/>
      <c r="F497" s="120"/>
      <c r="G497" s="125"/>
      <c r="H497" s="125"/>
      <c r="I497" s="125"/>
      <c r="J497" s="120"/>
      <c r="K497" s="120"/>
      <c r="L497" s="120"/>
      <c r="M497" s="120"/>
      <c r="N497" s="121"/>
      <c r="O497" s="121"/>
      <c r="P497" s="121"/>
      <c r="Q497" s="121"/>
      <c r="R497" s="121"/>
      <c r="S497" s="121"/>
      <c r="T497" s="121"/>
      <c r="U497" s="121"/>
      <c r="V497" s="121"/>
    </row>
    <row r="498">
      <c r="A498" s="120"/>
      <c r="B498" s="123"/>
      <c r="C498" s="124"/>
      <c r="D498" s="120"/>
      <c r="E498" s="125"/>
      <c r="F498" s="120"/>
      <c r="G498" s="125"/>
      <c r="H498" s="125"/>
      <c r="I498" s="125"/>
      <c r="J498" s="120"/>
      <c r="K498" s="120"/>
      <c r="L498" s="120"/>
      <c r="M498" s="120"/>
      <c r="N498" s="121"/>
      <c r="O498" s="121"/>
      <c r="P498" s="121"/>
      <c r="Q498" s="121"/>
      <c r="R498" s="121"/>
      <c r="S498" s="121"/>
      <c r="T498" s="121"/>
      <c r="U498" s="121"/>
      <c r="V498" s="121"/>
    </row>
    <row r="499">
      <c r="A499" s="120"/>
      <c r="B499" s="123"/>
      <c r="C499" s="124"/>
      <c r="D499" s="120"/>
      <c r="E499" s="125"/>
      <c r="F499" s="120"/>
      <c r="G499" s="125"/>
      <c r="H499" s="125"/>
      <c r="I499" s="125"/>
      <c r="J499" s="120"/>
      <c r="K499" s="120"/>
      <c r="L499" s="120"/>
      <c r="M499" s="120"/>
      <c r="N499" s="121"/>
      <c r="O499" s="121"/>
      <c r="P499" s="121"/>
      <c r="Q499" s="121"/>
      <c r="R499" s="121"/>
      <c r="S499" s="121"/>
      <c r="T499" s="121"/>
      <c r="U499" s="121"/>
      <c r="V499" s="121"/>
    </row>
    <row r="500">
      <c r="A500" s="120"/>
      <c r="B500" s="123"/>
      <c r="C500" s="124"/>
      <c r="D500" s="120"/>
      <c r="E500" s="125"/>
      <c r="F500" s="120"/>
      <c r="G500" s="125"/>
      <c r="H500" s="125"/>
      <c r="I500" s="125"/>
      <c r="J500" s="120"/>
      <c r="K500" s="120"/>
      <c r="L500" s="120"/>
      <c r="M500" s="120"/>
      <c r="N500" s="121"/>
      <c r="O500" s="121"/>
      <c r="P500" s="121"/>
      <c r="Q500" s="121"/>
      <c r="R500" s="121"/>
      <c r="S500" s="121"/>
      <c r="T500" s="121"/>
      <c r="U500" s="121"/>
      <c r="V500" s="121"/>
    </row>
    <row r="501">
      <c r="A501" s="120"/>
      <c r="B501" s="123"/>
      <c r="C501" s="124"/>
      <c r="D501" s="120"/>
      <c r="E501" s="125"/>
      <c r="F501" s="120"/>
      <c r="G501" s="125"/>
      <c r="H501" s="125"/>
      <c r="I501" s="125"/>
      <c r="J501" s="120"/>
      <c r="K501" s="120"/>
      <c r="L501" s="120"/>
      <c r="M501" s="120"/>
      <c r="N501" s="121"/>
      <c r="O501" s="121"/>
      <c r="P501" s="121"/>
      <c r="Q501" s="121"/>
      <c r="R501" s="121"/>
      <c r="S501" s="121"/>
      <c r="T501" s="121"/>
      <c r="U501" s="121"/>
      <c r="V501" s="121"/>
    </row>
    <row r="502">
      <c r="A502" s="120"/>
      <c r="B502" s="123"/>
      <c r="C502" s="124"/>
      <c r="D502" s="120"/>
      <c r="E502" s="125"/>
      <c r="F502" s="120"/>
      <c r="G502" s="125"/>
      <c r="H502" s="125"/>
      <c r="I502" s="125"/>
      <c r="J502" s="120"/>
      <c r="K502" s="120"/>
      <c r="L502" s="120"/>
      <c r="M502" s="120"/>
      <c r="N502" s="121"/>
      <c r="O502" s="121"/>
      <c r="P502" s="121"/>
      <c r="Q502" s="121"/>
      <c r="R502" s="121"/>
      <c r="S502" s="121"/>
      <c r="T502" s="121"/>
      <c r="U502" s="121"/>
      <c r="V502" s="121"/>
    </row>
    <row r="503">
      <c r="A503" s="120"/>
      <c r="B503" s="123"/>
      <c r="C503" s="124"/>
      <c r="D503" s="120"/>
      <c r="E503" s="125"/>
      <c r="F503" s="120"/>
      <c r="G503" s="125"/>
      <c r="H503" s="125"/>
      <c r="I503" s="125"/>
      <c r="J503" s="120"/>
      <c r="K503" s="120"/>
      <c r="L503" s="120"/>
      <c r="M503" s="120"/>
      <c r="N503" s="121"/>
      <c r="O503" s="121"/>
      <c r="P503" s="121"/>
      <c r="Q503" s="121"/>
      <c r="R503" s="121"/>
      <c r="S503" s="121"/>
      <c r="T503" s="121"/>
      <c r="U503" s="121"/>
      <c r="V503" s="121"/>
    </row>
    <row r="504">
      <c r="A504" s="120"/>
      <c r="B504" s="123"/>
      <c r="C504" s="124"/>
      <c r="D504" s="120"/>
      <c r="E504" s="125"/>
      <c r="F504" s="120"/>
      <c r="G504" s="125"/>
      <c r="H504" s="125"/>
      <c r="I504" s="125"/>
      <c r="J504" s="120"/>
      <c r="K504" s="120"/>
      <c r="L504" s="120"/>
      <c r="M504" s="120"/>
      <c r="N504" s="121"/>
      <c r="O504" s="121"/>
      <c r="P504" s="121"/>
      <c r="Q504" s="121"/>
      <c r="R504" s="121"/>
      <c r="S504" s="121"/>
      <c r="T504" s="121"/>
      <c r="U504" s="121"/>
      <c r="V504" s="121"/>
    </row>
    <row r="505">
      <c r="A505" s="120"/>
      <c r="B505" s="123"/>
      <c r="C505" s="124"/>
      <c r="D505" s="120"/>
      <c r="E505" s="125"/>
      <c r="F505" s="120"/>
      <c r="G505" s="125"/>
      <c r="H505" s="125"/>
      <c r="I505" s="125"/>
      <c r="J505" s="120"/>
      <c r="K505" s="120"/>
      <c r="L505" s="120"/>
      <c r="M505" s="120"/>
      <c r="N505" s="121"/>
      <c r="O505" s="121"/>
      <c r="P505" s="121"/>
      <c r="Q505" s="121"/>
      <c r="R505" s="121"/>
      <c r="S505" s="121"/>
      <c r="T505" s="121"/>
      <c r="U505" s="121"/>
      <c r="V505" s="121"/>
    </row>
    <row r="506">
      <c r="A506" s="120"/>
      <c r="B506" s="123"/>
      <c r="C506" s="124"/>
      <c r="D506" s="120"/>
      <c r="E506" s="125"/>
      <c r="F506" s="120"/>
      <c r="G506" s="125"/>
      <c r="H506" s="125"/>
      <c r="I506" s="125"/>
      <c r="J506" s="120"/>
      <c r="K506" s="120"/>
      <c r="L506" s="120"/>
      <c r="M506" s="120"/>
      <c r="N506" s="121"/>
      <c r="O506" s="121"/>
      <c r="P506" s="121"/>
      <c r="Q506" s="121"/>
      <c r="R506" s="121"/>
      <c r="S506" s="121"/>
      <c r="T506" s="121"/>
      <c r="U506" s="121"/>
      <c r="V506" s="121"/>
    </row>
    <row r="507">
      <c r="A507" s="120"/>
      <c r="B507" s="123"/>
      <c r="C507" s="124"/>
      <c r="D507" s="120"/>
      <c r="E507" s="125"/>
      <c r="F507" s="120"/>
      <c r="G507" s="125"/>
      <c r="H507" s="125"/>
      <c r="I507" s="125"/>
      <c r="J507" s="120"/>
      <c r="K507" s="120"/>
      <c r="L507" s="120"/>
      <c r="M507" s="120"/>
      <c r="N507" s="121"/>
      <c r="O507" s="121"/>
      <c r="P507" s="121"/>
      <c r="Q507" s="121"/>
      <c r="R507" s="121"/>
      <c r="S507" s="121"/>
      <c r="T507" s="121"/>
      <c r="U507" s="121"/>
      <c r="V507" s="121"/>
    </row>
    <row r="508">
      <c r="A508" s="120"/>
      <c r="B508" s="123"/>
      <c r="C508" s="124"/>
      <c r="D508" s="120"/>
      <c r="E508" s="125"/>
      <c r="F508" s="120"/>
      <c r="G508" s="125"/>
      <c r="H508" s="125"/>
      <c r="I508" s="125"/>
      <c r="J508" s="120"/>
      <c r="K508" s="120"/>
      <c r="L508" s="120"/>
      <c r="M508" s="120"/>
      <c r="N508" s="121"/>
      <c r="O508" s="121"/>
      <c r="P508" s="121"/>
      <c r="Q508" s="121"/>
      <c r="R508" s="121"/>
      <c r="S508" s="121"/>
      <c r="T508" s="121"/>
      <c r="U508" s="121"/>
      <c r="V508" s="121"/>
    </row>
    <row r="509">
      <c r="A509" s="120"/>
      <c r="B509" s="123"/>
      <c r="C509" s="124"/>
      <c r="D509" s="120"/>
      <c r="E509" s="125"/>
      <c r="F509" s="120"/>
      <c r="G509" s="125"/>
      <c r="H509" s="125"/>
      <c r="I509" s="125"/>
      <c r="J509" s="120"/>
      <c r="K509" s="120"/>
      <c r="L509" s="120"/>
      <c r="M509" s="120"/>
      <c r="N509" s="121"/>
      <c r="O509" s="121"/>
      <c r="P509" s="121"/>
      <c r="Q509" s="121"/>
      <c r="R509" s="121"/>
      <c r="S509" s="121"/>
      <c r="T509" s="121"/>
      <c r="U509" s="121"/>
      <c r="V509" s="121"/>
    </row>
    <row r="510">
      <c r="A510" s="120"/>
      <c r="B510" s="123"/>
      <c r="C510" s="124"/>
      <c r="D510" s="120"/>
      <c r="E510" s="125"/>
      <c r="F510" s="120"/>
      <c r="G510" s="125"/>
      <c r="H510" s="125"/>
      <c r="I510" s="125"/>
      <c r="J510" s="120"/>
      <c r="K510" s="120"/>
      <c r="L510" s="120"/>
      <c r="M510" s="120"/>
      <c r="N510" s="121"/>
      <c r="O510" s="121"/>
      <c r="P510" s="121"/>
      <c r="Q510" s="121"/>
      <c r="R510" s="121"/>
      <c r="S510" s="121"/>
      <c r="T510" s="121"/>
      <c r="U510" s="121"/>
      <c r="V510" s="121"/>
    </row>
    <row r="511">
      <c r="A511" s="120"/>
      <c r="B511" s="123"/>
      <c r="C511" s="124"/>
      <c r="D511" s="120"/>
      <c r="E511" s="125"/>
      <c r="F511" s="120"/>
      <c r="G511" s="125"/>
      <c r="H511" s="125"/>
      <c r="I511" s="125"/>
      <c r="J511" s="120"/>
      <c r="K511" s="120"/>
      <c r="L511" s="120"/>
      <c r="M511" s="120"/>
      <c r="N511" s="121"/>
      <c r="O511" s="121"/>
      <c r="P511" s="121"/>
      <c r="Q511" s="121"/>
      <c r="R511" s="121"/>
      <c r="S511" s="121"/>
      <c r="T511" s="121"/>
      <c r="U511" s="121"/>
      <c r="V511" s="121"/>
    </row>
    <row r="512">
      <c r="A512" s="120"/>
      <c r="B512" s="123"/>
      <c r="C512" s="124"/>
      <c r="D512" s="120"/>
      <c r="E512" s="125"/>
      <c r="F512" s="120"/>
      <c r="G512" s="125"/>
      <c r="H512" s="125"/>
      <c r="I512" s="125"/>
      <c r="J512" s="120"/>
      <c r="K512" s="120"/>
      <c r="L512" s="120"/>
      <c r="M512" s="120"/>
      <c r="N512" s="121"/>
      <c r="O512" s="121"/>
      <c r="P512" s="121"/>
      <c r="Q512" s="121"/>
      <c r="R512" s="121"/>
      <c r="S512" s="121"/>
      <c r="T512" s="121"/>
      <c r="U512" s="121"/>
      <c r="V512" s="121"/>
    </row>
    <row r="513">
      <c r="A513" s="120"/>
      <c r="B513" s="123"/>
      <c r="C513" s="124"/>
      <c r="D513" s="120"/>
      <c r="E513" s="125"/>
      <c r="F513" s="120"/>
      <c r="G513" s="125"/>
      <c r="H513" s="125"/>
      <c r="I513" s="125"/>
      <c r="J513" s="120"/>
      <c r="K513" s="120"/>
      <c r="L513" s="120"/>
      <c r="M513" s="120"/>
      <c r="N513" s="121"/>
      <c r="O513" s="121"/>
      <c r="P513" s="121"/>
      <c r="Q513" s="121"/>
      <c r="R513" s="121"/>
      <c r="S513" s="121"/>
      <c r="T513" s="121"/>
      <c r="U513" s="121"/>
      <c r="V513" s="121"/>
    </row>
    <row r="514">
      <c r="A514" s="120"/>
      <c r="B514" s="123"/>
      <c r="C514" s="124"/>
      <c r="D514" s="120"/>
      <c r="E514" s="125"/>
      <c r="F514" s="120"/>
      <c r="G514" s="125"/>
      <c r="H514" s="125"/>
      <c r="I514" s="125"/>
      <c r="J514" s="120"/>
      <c r="K514" s="120"/>
      <c r="L514" s="120"/>
      <c r="M514" s="120"/>
      <c r="N514" s="121"/>
      <c r="O514" s="121"/>
      <c r="P514" s="121"/>
      <c r="Q514" s="121"/>
      <c r="R514" s="121"/>
      <c r="S514" s="121"/>
      <c r="T514" s="121"/>
      <c r="U514" s="121"/>
      <c r="V514" s="121"/>
    </row>
    <row r="515">
      <c r="A515" s="120"/>
      <c r="B515" s="123"/>
      <c r="C515" s="124"/>
      <c r="D515" s="120"/>
      <c r="E515" s="125"/>
      <c r="F515" s="120"/>
      <c r="G515" s="125"/>
      <c r="H515" s="125"/>
      <c r="I515" s="125"/>
      <c r="J515" s="120"/>
      <c r="K515" s="120"/>
      <c r="L515" s="120"/>
      <c r="M515" s="120"/>
      <c r="N515" s="121"/>
      <c r="O515" s="121"/>
      <c r="P515" s="121"/>
      <c r="Q515" s="121"/>
      <c r="R515" s="121"/>
      <c r="S515" s="121"/>
      <c r="T515" s="121"/>
      <c r="U515" s="121"/>
      <c r="V515" s="121"/>
    </row>
    <row r="516">
      <c r="A516" s="120"/>
      <c r="B516" s="123"/>
      <c r="C516" s="124"/>
      <c r="D516" s="120"/>
      <c r="E516" s="125"/>
      <c r="F516" s="120"/>
      <c r="G516" s="125"/>
      <c r="H516" s="125"/>
      <c r="I516" s="125"/>
      <c r="J516" s="120"/>
      <c r="K516" s="120"/>
      <c r="L516" s="120"/>
      <c r="M516" s="120"/>
      <c r="N516" s="121"/>
      <c r="O516" s="121"/>
      <c r="P516" s="121"/>
      <c r="Q516" s="121"/>
      <c r="R516" s="121"/>
      <c r="S516" s="121"/>
      <c r="T516" s="121"/>
      <c r="U516" s="121"/>
      <c r="V516" s="121"/>
    </row>
    <row r="517">
      <c r="A517" s="120"/>
      <c r="B517" s="123"/>
      <c r="C517" s="124"/>
      <c r="D517" s="120"/>
      <c r="E517" s="125"/>
      <c r="F517" s="120"/>
      <c r="G517" s="125"/>
      <c r="H517" s="125"/>
      <c r="I517" s="125"/>
      <c r="J517" s="120"/>
      <c r="K517" s="120"/>
      <c r="L517" s="120"/>
      <c r="M517" s="120"/>
      <c r="N517" s="121"/>
      <c r="O517" s="121"/>
      <c r="P517" s="121"/>
      <c r="Q517" s="121"/>
      <c r="R517" s="121"/>
      <c r="S517" s="121"/>
      <c r="T517" s="121"/>
      <c r="U517" s="121"/>
      <c r="V517" s="121"/>
    </row>
    <row r="518">
      <c r="A518" s="120"/>
      <c r="B518" s="123"/>
      <c r="C518" s="124"/>
      <c r="D518" s="120"/>
      <c r="E518" s="125"/>
      <c r="F518" s="120"/>
      <c r="G518" s="125"/>
      <c r="H518" s="125"/>
      <c r="I518" s="125"/>
      <c r="J518" s="120"/>
      <c r="K518" s="120"/>
      <c r="L518" s="120"/>
      <c r="M518" s="120"/>
      <c r="N518" s="121"/>
      <c r="O518" s="121"/>
      <c r="P518" s="121"/>
      <c r="Q518" s="121"/>
      <c r="R518" s="121"/>
      <c r="S518" s="121"/>
      <c r="T518" s="121"/>
      <c r="U518" s="121"/>
      <c r="V518" s="121"/>
    </row>
    <row r="519">
      <c r="A519" s="120"/>
      <c r="B519" s="123"/>
      <c r="C519" s="124"/>
      <c r="D519" s="120"/>
      <c r="E519" s="125"/>
      <c r="F519" s="120"/>
      <c r="G519" s="125"/>
      <c r="H519" s="125"/>
      <c r="I519" s="125"/>
      <c r="J519" s="120"/>
      <c r="K519" s="120"/>
      <c r="L519" s="120"/>
      <c r="M519" s="120"/>
      <c r="N519" s="121"/>
      <c r="O519" s="121"/>
      <c r="P519" s="121"/>
      <c r="Q519" s="121"/>
      <c r="R519" s="121"/>
      <c r="S519" s="121"/>
      <c r="T519" s="121"/>
      <c r="U519" s="121"/>
      <c r="V519" s="121"/>
    </row>
    <row r="520">
      <c r="A520" s="120"/>
      <c r="B520" s="123"/>
      <c r="C520" s="124"/>
      <c r="D520" s="120"/>
      <c r="E520" s="125"/>
      <c r="F520" s="120"/>
      <c r="G520" s="125"/>
      <c r="H520" s="125"/>
      <c r="I520" s="125"/>
      <c r="J520" s="120"/>
      <c r="K520" s="120"/>
      <c r="L520" s="120"/>
      <c r="M520" s="120"/>
      <c r="N520" s="121"/>
      <c r="O520" s="121"/>
      <c r="P520" s="121"/>
      <c r="Q520" s="121"/>
      <c r="R520" s="121"/>
      <c r="S520" s="121"/>
      <c r="T520" s="121"/>
      <c r="U520" s="121"/>
      <c r="V520" s="121"/>
    </row>
    <row r="521">
      <c r="A521" s="120"/>
      <c r="B521" s="123"/>
      <c r="C521" s="124"/>
      <c r="D521" s="120"/>
      <c r="E521" s="125"/>
      <c r="F521" s="120"/>
      <c r="G521" s="125"/>
      <c r="H521" s="125"/>
      <c r="I521" s="125"/>
      <c r="J521" s="120"/>
      <c r="K521" s="120"/>
      <c r="L521" s="120"/>
      <c r="M521" s="120"/>
      <c r="N521" s="121"/>
      <c r="O521" s="121"/>
      <c r="P521" s="121"/>
      <c r="Q521" s="121"/>
      <c r="R521" s="121"/>
      <c r="S521" s="121"/>
      <c r="T521" s="121"/>
      <c r="U521" s="121"/>
      <c r="V521" s="121"/>
    </row>
    <row r="522">
      <c r="A522" s="120"/>
      <c r="B522" s="123"/>
      <c r="C522" s="124"/>
      <c r="D522" s="120"/>
      <c r="E522" s="125"/>
      <c r="F522" s="120"/>
      <c r="G522" s="125"/>
      <c r="H522" s="125"/>
      <c r="I522" s="125"/>
      <c r="J522" s="120"/>
      <c r="K522" s="120"/>
      <c r="L522" s="120"/>
      <c r="M522" s="120"/>
      <c r="N522" s="121"/>
      <c r="O522" s="121"/>
      <c r="P522" s="121"/>
      <c r="Q522" s="121"/>
      <c r="R522" s="121"/>
      <c r="S522" s="121"/>
      <c r="T522" s="121"/>
      <c r="U522" s="121"/>
      <c r="V522" s="121"/>
    </row>
    <row r="523">
      <c r="A523" s="120"/>
      <c r="B523" s="123"/>
      <c r="C523" s="124"/>
      <c r="D523" s="120"/>
      <c r="E523" s="125"/>
      <c r="F523" s="120"/>
      <c r="G523" s="125"/>
      <c r="H523" s="125"/>
      <c r="I523" s="125"/>
      <c r="J523" s="120"/>
      <c r="K523" s="120"/>
      <c r="L523" s="120"/>
      <c r="M523" s="120"/>
      <c r="N523" s="121"/>
      <c r="O523" s="121"/>
      <c r="P523" s="121"/>
      <c r="Q523" s="121"/>
      <c r="R523" s="121"/>
      <c r="S523" s="121"/>
      <c r="T523" s="121"/>
      <c r="U523" s="121"/>
      <c r="V523" s="121"/>
    </row>
    <row r="524">
      <c r="A524" s="120"/>
      <c r="B524" s="123"/>
      <c r="C524" s="124"/>
      <c r="D524" s="120"/>
      <c r="E524" s="125"/>
      <c r="F524" s="120"/>
      <c r="G524" s="125"/>
      <c r="H524" s="125"/>
      <c r="I524" s="125"/>
      <c r="J524" s="120"/>
      <c r="K524" s="120"/>
      <c r="L524" s="120"/>
      <c r="M524" s="120"/>
      <c r="N524" s="121"/>
      <c r="O524" s="121"/>
      <c r="P524" s="121"/>
      <c r="Q524" s="121"/>
      <c r="R524" s="121"/>
      <c r="S524" s="121"/>
      <c r="T524" s="121"/>
      <c r="U524" s="121"/>
      <c r="V524" s="121"/>
    </row>
    <row r="525">
      <c r="A525" s="120"/>
      <c r="B525" s="123"/>
      <c r="C525" s="124"/>
      <c r="D525" s="120"/>
      <c r="E525" s="125"/>
      <c r="F525" s="120"/>
      <c r="G525" s="125"/>
      <c r="H525" s="125"/>
      <c r="I525" s="125"/>
      <c r="J525" s="120"/>
      <c r="K525" s="120"/>
      <c r="L525" s="120"/>
      <c r="M525" s="120"/>
      <c r="N525" s="121"/>
      <c r="O525" s="121"/>
      <c r="P525" s="121"/>
      <c r="Q525" s="121"/>
      <c r="R525" s="121"/>
      <c r="S525" s="121"/>
      <c r="T525" s="121"/>
      <c r="U525" s="121"/>
      <c r="V525" s="121"/>
    </row>
    <row r="526">
      <c r="A526" s="120"/>
      <c r="B526" s="123"/>
      <c r="C526" s="124"/>
      <c r="D526" s="120"/>
      <c r="E526" s="125"/>
      <c r="F526" s="120"/>
      <c r="G526" s="125"/>
      <c r="H526" s="125"/>
      <c r="I526" s="125"/>
      <c r="J526" s="120"/>
      <c r="K526" s="120"/>
      <c r="L526" s="120"/>
      <c r="M526" s="120"/>
      <c r="N526" s="121"/>
      <c r="O526" s="121"/>
      <c r="P526" s="121"/>
      <c r="Q526" s="121"/>
      <c r="R526" s="121"/>
      <c r="S526" s="121"/>
      <c r="T526" s="121"/>
      <c r="U526" s="121"/>
      <c r="V526" s="121"/>
    </row>
    <row r="527">
      <c r="A527" s="120"/>
      <c r="B527" s="123"/>
      <c r="C527" s="124"/>
      <c r="D527" s="120"/>
      <c r="E527" s="125"/>
      <c r="F527" s="120"/>
      <c r="G527" s="125"/>
      <c r="H527" s="125"/>
      <c r="I527" s="125"/>
      <c r="J527" s="120"/>
      <c r="K527" s="120"/>
      <c r="L527" s="120"/>
      <c r="M527" s="120"/>
      <c r="N527" s="121"/>
      <c r="O527" s="121"/>
      <c r="P527" s="121"/>
      <c r="Q527" s="121"/>
      <c r="R527" s="121"/>
      <c r="S527" s="121"/>
      <c r="T527" s="121"/>
      <c r="U527" s="121"/>
      <c r="V527" s="121"/>
    </row>
    <row r="528">
      <c r="A528" s="120"/>
      <c r="B528" s="123"/>
      <c r="C528" s="124"/>
      <c r="D528" s="120"/>
      <c r="E528" s="125"/>
      <c r="F528" s="120"/>
      <c r="G528" s="125"/>
      <c r="H528" s="125"/>
      <c r="I528" s="125"/>
      <c r="J528" s="120"/>
      <c r="K528" s="120"/>
      <c r="L528" s="120"/>
      <c r="M528" s="120"/>
      <c r="N528" s="121"/>
      <c r="O528" s="121"/>
      <c r="P528" s="121"/>
      <c r="Q528" s="121"/>
      <c r="R528" s="121"/>
      <c r="S528" s="121"/>
      <c r="T528" s="121"/>
      <c r="U528" s="121"/>
      <c r="V528" s="121"/>
    </row>
    <row r="529">
      <c r="A529" s="120"/>
      <c r="B529" s="123"/>
      <c r="C529" s="124"/>
      <c r="D529" s="120"/>
      <c r="E529" s="125"/>
      <c r="F529" s="120"/>
      <c r="G529" s="125"/>
      <c r="H529" s="125"/>
      <c r="I529" s="125"/>
      <c r="J529" s="120"/>
      <c r="K529" s="120"/>
      <c r="L529" s="120"/>
      <c r="M529" s="120"/>
      <c r="N529" s="121"/>
      <c r="O529" s="121"/>
      <c r="P529" s="121"/>
      <c r="Q529" s="121"/>
      <c r="R529" s="121"/>
      <c r="S529" s="121"/>
      <c r="T529" s="121"/>
      <c r="U529" s="121"/>
      <c r="V529" s="121"/>
    </row>
    <row r="530">
      <c r="A530" s="120"/>
      <c r="B530" s="123"/>
      <c r="C530" s="124"/>
      <c r="D530" s="120"/>
      <c r="E530" s="125"/>
      <c r="F530" s="120"/>
      <c r="G530" s="125"/>
      <c r="H530" s="125"/>
      <c r="I530" s="125"/>
      <c r="J530" s="120"/>
      <c r="K530" s="120"/>
      <c r="L530" s="120"/>
      <c r="M530" s="120"/>
      <c r="N530" s="121"/>
      <c r="O530" s="121"/>
      <c r="P530" s="121"/>
      <c r="Q530" s="121"/>
      <c r="R530" s="121"/>
      <c r="S530" s="121"/>
      <c r="T530" s="121"/>
      <c r="U530" s="121"/>
      <c r="V530" s="121"/>
    </row>
    <row r="531">
      <c r="A531" s="120"/>
      <c r="B531" s="123"/>
      <c r="C531" s="124"/>
      <c r="D531" s="120"/>
      <c r="E531" s="125"/>
      <c r="F531" s="120"/>
      <c r="G531" s="125"/>
      <c r="H531" s="125"/>
      <c r="I531" s="125"/>
      <c r="J531" s="120"/>
      <c r="K531" s="120"/>
      <c r="L531" s="120"/>
      <c r="M531" s="120"/>
      <c r="N531" s="121"/>
      <c r="O531" s="121"/>
      <c r="P531" s="121"/>
      <c r="Q531" s="121"/>
      <c r="R531" s="121"/>
      <c r="S531" s="121"/>
      <c r="T531" s="121"/>
      <c r="U531" s="121"/>
      <c r="V531" s="121"/>
    </row>
    <row r="532">
      <c r="A532" s="120"/>
      <c r="B532" s="123"/>
      <c r="C532" s="124"/>
      <c r="D532" s="120"/>
      <c r="E532" s="125"/>
      <c r="F532" s="120"/>
      <c r="G532" s="125"/>
      <c r="H532" s="125"/>
      <c r="I532" s="125"/>
      <c r="J532" s="120"/>
      <c r="K532" s="120"/>
      <c r="L532" s="120"/>
      <c r="M532" s="120"/>
      <c r="N532" s="121"/>
      <c r="O532" s="121"/>
      <c r="P532" s="121"/>
      <c r="Q532" s="121"/>
      <c r="R532" s="121"/>
      <c r="S532" s="121"/>
      <c r="T532" s="121"/>
      <c r="U532" s="121"/>
      <c r="V532" s="121"/>
    </row>
    <row r="533">
      <c r="A533" s="120"/>
      <c r="B533" s="123"/>
      <c r="C533" s="124"/>
      <c r="D533" s="120"/>
      <c r="E533" s="125"/>
      <c r="F533" s="120"/>
      <c r="G533" s="125"/>
      <c r="H533" s="125"/>
      <c r="I533" s="125"/>
      <c r="J533" s="120"/>
      <c r="K533" s="120"/>
      <c r="L533" s="120"/>
      <c r="M533" s="120"/>
      <c r="N533" s="121"/>
      <c r="O533" s="121"/>
      <c r="P533" s="121"/>
      <c r="Q533" s="121"/>
      <c r="R533" s="121"/>
      <c r="S533" s="121"/>
      <c r="T533" s="121"/>
      <c r="U533" s="121"/>
      <c r="V533" s="121"/>
    </row>
    <row r="534">
      <c r="A534" s="120"/>
      <c r="B534" s="123"/>
      <c r="C534" s="124"/>
      <c r="D534" s="120"/>
      <c r="E534" s="125"/>
      <c r="F534" s="120"/>
      <c r="G534" s="125"/>
      <c r="H534" s="125"/>
      <c r="I534" s="125"/>
      <c r="J534" s="120"/>
      <c r="K534" s="120"/>
      <c r="L534" s="120"/>
      <c r="M534" s="120"/>
      <c r="N534" s="121"/>
      <c r="O534" s="121"/>
      <c r="P534" s="121"/>
      <c r="Q534" s="121"/>
      <c r="R534" s="121"/>
      <c r="S534" s="121"/>
      <c r="T534" s="121"/>
      <c r="U534" s="121"/>
      <c r="V534" s="121"/>
    </row>
    <row r="535">
      <c r="A535" s="120"/>
      <c r="B535" s="123"/>
      <c r="C535" s="124"/>
      <c r="D535" s="120"/>
      <c r="E535" s="125"/>
      <c r="F535" s="120"/>
      <c r="G535" s="125"/>
      <c r="H535" s="125"/>
      <c r="I535" s="125"/>
      <c r="J535" s="120"/>
      <c r="K535" s="120"/>
      <c r="L535" s="120"/>
      <c r="M535" s="120"/>
      <c r="N535" s="121"/>
      <c r="O535" s="121"/>
      <c r="P535" s="121"/>
      <c r="Q535" s="121"/>
      <c r="R535" s="121"/>
      <c r="S535" s="121"/>
      <c r="T535" s="121"/>
      <c r="U535" s="121"/>
      <c r="V535" s="121"/>
    </row>
    <row r="536">
      <c r="A536" s="120"/>
      <c r="B536" s="123"/>
      <c r="C536" s="124"/>
      <c r="D536" s="120"/>
      <c r="E536" s="125"/>
      <c r="F536" s="120"/>
      <c r="G536" s="125"/>
      <c r="H536" s="125"/>
      <c r="I536" s="125"/>
      <c r="J536" s="120"/>
      <c r="K536" s="120"/>
      <c r="L536" s="120"/>
      <c r="M536" s="120"/>
      <c r="N536" s="121"/>
      <c r="O536" s="121"/>
      <c r="P536" s="121"/>
      <c r="Q536" s="121"/>
      <c r="R536" s="121"/>
      <c r="S536" s="121"/>
      <c r="T536" s="121"/>
      <c r="U536" s="121"/>
      <c r="V536" s="121"/>
    </row>
    <row r="537">
      <c r="A537" s="120"/>
      <c r="B537" s="123"/>
      <c r="C537" s="124"/>
      <c r="D537" s="120"/>
      <c r="E537" s="122"/>
      <c r="F537" s="120"/>
      <c r="G537" s="122"/>
      <c r="H537" s="122"/>
      <c r="I537" s="122"/>
      <c r="J537" s="120"/>
      <c r="K537" s="120"/>
      <c r="L537" s="120"/>
      <c r="M537" s="120"/>
      <c r="N537" s="121"/>
      <c r="O537" s="121"/>
      <c r="P537" s="121"/>
      <c r="Q537" s="121"/>
      <c r="R537" s="121"/>
      <c r="S537" s="121"/>
      <c r="T537" s="121"/>
      <c r="U537" s="121"/>
      <c r="V537" s="121"/>
    </row>
    <row r="538">
      <c r="A538" s="120"/>
      <c r="B538" s="123"/>
      <c r="C538" s="124"/>
      <c r="D538" s="120"/>
      <c r="E538" s="122"/>
      <c r="F538" s="120"/>
      <c r="G538" s="122"/>
      <c r="H538" s="122"/>
      <c r="I538" s="122"/>
      <c r="J538" s="120"/>
      <c r="K538" s="120"/>
      <c r="L538" s="120"/>
      <c r="M538" s="120"/>
      <c r="N538" s="121"/>
      <c r="O538" s="121"/>
      <c r="P538" s="121"/>
      <c r="Q538" s="121"/>
      <c r="R538" s="121"/>
      <c r="S538" s="121"/>
      <c r="T538" s="121"/>
      <c r="U538" s="121"/>
      <c r="V538" s="121"/>
    </row>
    <row r="539">
      <c r="A539" s="120"/>
      <c r="B539" s="123"/>
      <c r="C539" s="124"/>
      <c r="D539" s="120"/>
      <c r="E539" s="122"/>
      <c r="F539" s="120"/>
      <c r="G539" s="122"/>
      <c r="H539" s="122"/>
      <c r="I539" s="122"/>
      <c r="J539" s="120"/>
      <c r="K539" s="120"/>
      <c r="L539" s="120"/>
      <c r="M539" s="120"/>
      <c r="N539" s="121"/>
      <c r="O539" s="121"/>
      <c r="P539" s="121"/>
      <c r="Q539" s="121"/>
      <c r="R539" s="121"/>
      <c r="S539" s="121"/>
      <c r="T539" s="121"/>
      <c r="U539" s="121"/>
      <c r="V539" s="121"/>
    </row>
    <row r="540">
      <c r="A540" s="120"/>
      <c r="B540" s="123"/>
      <c r="C540" s="124"/>
      <c r="D540" s="120"/>
      <c r="E540" s="122"/>
      <c r="F540" s="120"/>
      <c r="G540" s="122"/>
      <c r="H540" s="122"/>
      <c r="I540" s="122"/>
      <c r="J540" s="120"/>
      <c r="K540" s="120"/>
      <c r="L540" s="120"/>
      <c r="M540" s="120"/>
      <c r="N540" s="121"/>
      <c r="O540" s="121"/>
      <c r="P540" s="121"/>
      <c r="Q540" s="121"/>
      <c r="R540" s="121"/>
      <c r="S540" s="121"/>
      <c r="T540" s="121"/>
      <c r="U540" s="121"/>
      <c r="V540" s="121"/>
    </row>
    <row r="541">
      <c r="A541" s="120"/>
      <c r="B541" s="123"/>
      <c r="C541" s="124"/>
      <c r="D541" s="120"/>
      <c r="E541" s="122"/>
      <c r="F541" s="120"/>
      <c r="G541" s="122"/>
      <c r="H541" s="122"/>
      <c r="I541" s="122"/>
      <c r="J541" s="120"/>
      <c r="K541" s="120"/>
      <c r="L541" s="120"/>
      <c r="M541" s="120"/>
      <c r="N541" s="121"/>
      <c r="O541" s="121"/>
      <c r="P541" s="121"/>
      <c r="Q541" s="121"/>
      <c r="R541" s="121"/>
      <c r="S541" s="121"/>
      <c r="T541" s="121"/>
      <c r="U541" s="121"/>
      <c r="V541" s="121"/>
    </row>
    <row r="542">
      <c r="A542" s="120"/>
      <c r="B542" s="123"/>
      <c r="C542" s="124"/>
      <c r="D542" s="120"/>
      <c r="E542" s="122"/>
      <c r="F542" s="120"/>
      <c r="G542" s="122"/>
      <c r="H542" s="122"/>
      <c r="I542" s="122"/>
      <c r="J542" s="120"/>
      <c r="K542" s="120"/>
      <c r="L542" s="120"/>
      <c r="M542" s="120"/>
      <c r="N542" s="121"/>
      <c r="O542" s="121"/>
      <c r="P542" s="121"/>
      <c r="Q542" s="121"/>
      <c r="R542" s="121"/>
      <c r="S542" s="121"/>
      <c r="T542" s="121"/>
      <c r="U542" s="121"/>
      <c r="V542" s="121"/>
    </row>
    <row r="543">
      <c r="A543" s="120"/>
      <c r="B543" s="123"/>
      <c r="C543" s="124"/>
      <c r="D543" s="120"/>
      <c r="E543" s="122"/>
      <c r="F543" s="120"/>
      <c r="G543" s="122"/>
      <c r="H543" s="122"/>
      <c r="I543" s="122"/>
      <c r="J543" s="120"/>
      <c r="K543" s="120"/>
      <c r="L543" s="120"/>
      <c r="M543" s="120"/>
      <c r="N543" s="121"/>
      <c r="O543" s="121"/>
      <c r="P543" s="121"/>
      <c r="Q543" s="121"/>
      <c r="R543" s="121"/>
      <c r="S543" s="121"/>
      <c r="T543" s="121"/>
      <c r="U543" s="121"/>
      <c r="V543" s="121"/>
    </row>
    <row r="544">
      <c r="A544" s="120"/>
      <c r="B544" s="123"/>
      <c r="C544" s="124"/>
      <c r="D544" s="120"/>
      <c r="E544" s="122"/>
      <c r="F544" s="120"/>
      <c r="G544" s="122"/>
      <c r="H544" s="122"/>
      <c r="I544" s="122"/>
      <c r="J544" s="120"/>
      <c r="K544" s="120"/>
      <c r="L544" s="120"/>
      <c r="M544" s="120"/>
      <c r="N544" s="121"/>
      <c r="O544" s="121"/>
      <c r="P544" s="121"/>
      <c r="Q544" s="121"/>
      <c r="R544" s="121"/>
      <c r="S544" s="121"/>
      <c r="T544" s="121"/>
      <c r="U544" s="121"/>
      <c r="V544" s="121"/>
    </row>
    <row r="545">
      <c r="A545" s="120"/>
      <c r="B545" s="123"/>
      <c r="C545" s="124"/>
      <c r="D545" s="120"/>
      <c r="E545" s="122"/>
      <c r="F545" s="120"/>
      <c r="G545" s="122"/>
      <c r="H545" s="122"/>
      <c r="I545" s="122"/>
      <c r="J545" s="120"/>
      <c r="K545" s="120"/>
      <c r="L545" s="120"/>
      <c r="M545" s="120"/>
      <c r="N545" s="121"/>
      <c r="O545" s="121"/>
      <c r="P545" s="121"/>
      <c r="Q545" s="121"/>
      <c r="R545" s="121"/>
      <c r="S545" s="121"/>
      <c r="T545" s="121"/>
      <c r="U545" s="121"/>
      <c r="V545" s="121"/>
    </row>
    <row r="546">
      <c r="A546" s="120"/>
      <c r="B546" s="123"/>
      <c r="C546" s="124"/>
      <c r="D546" s="120"/>
      <c r="E546" s="122"/>
      <c r="F546" s="120"/>
      <c r="G546" s="122"/>
      <c r="H546" s="122"/>
      <c r="I546" s="122"/>
      <c r="J546" s="120"/>
      <c r="K546" s="120"/>
      <c r="L546" s="120"/>
      <c r="M546" s="120"/>
      <c r="N546" s="121"/>
      <c r="O546" s="121"/>
      <c r="P546" s="121"/>
      <c r="Q546" s="121"/>
      <c r="R546" s="121"/>
      <c r="S546" s="121"/>
      <c r="T546" s="121"/>
      <c r="U546" s="121"/>
      <c r="V546" s="121"/>
    </row>
    <row r="547">
      <c r="A547" s="120"/>
      <c r="B547" s="123"/>
      <c r="C547" s="124"/>
      <c r="D547" s="120"/>
      <c r="E547" s="122"/>
      <c r="F547" s="120"/>
      <c r="G547" s="122"/>
      <c r="H547" s="122"/>
      <c r="I547" s="122"/>
      <c r="J547" s="120"/>
      <c r="K547" s="120"/>
      <c r="L547" s="120"/>
      <c r="M547" s="120"/>
      <c r="N547" s="121"/>
      <c r="O547" s="121"/>
      <c r="P547" s="121"/>
      <c r="Q547" s="121"/>
      <c r="R547" s="121"/>
      <c r="S547" s="121"/>
      <c r="T547" s="121"/>
      <c r="U547" s="121"/>
      <c r="V547" s="121"/>
    </row>
    <row r="548">
      <c r="A548" s="120"/>
      <c r="B548" s="123"/>
      <c r="C548" s="124"/>
      <c r="D548" s="120"/>
      <c r="E548" s="122"/>
      <c r="F548" s="120"/>
      <c r="G548" s="122"/>
      <c r="H548" s="122"/>
      <c r="I548" s="122"/>
      <c r="J548" s="120"/>
      <c r="K548" s="120"/>
      <c r="L548" s="120"/>
      <c r="M548" s="120"/>
      <c r="N548" s="121"/>
      <c r="O548" s="121"/>
      <c r="P548" s="121"/>
      <c r="Q548" s="121"/>
      <c r="R548" s="121"/>
      <c r="S548" s="121"/>
      <c r="T548" s="121"/>
      <c r="U548" s="121"/>
      <c r="V548" s="121"/>
    </row>
    <row r="549">
      <c r="A549" s="120"/>
      <c r="B549" s="123"/>
      <c r="C549" s="124"/>
      <c r="D549" s="120"/>
      <c r="E549" s="122"/>
      <c r="F549" s="120"/>
      <c r="G549" s="122"/>
      <c r="H549" s="122"/>
      <c r="I549" s="122"/>
      <c r="J549" s="120"/>
      <c r="K549" s="120"/>
      <c r="L549" s="120"/>
      <c r="M549" s="120"/>
      <c r="N549" s="121"/>
      <c r="O549" s="121"/>
      <c r="P549" s="121"/>
      <c r="Q549" s="121"/>
      <c r="R549" s="121"/>
      <c r="S549" s="121"/>
      <c r="T549" s="121"/>
      <c r="U549" s="121"/>
      <c r="V549" s="121"/>
    </row>
    <row r="550">
      <c r="A550" s="120"/>
      <c r="B550" s="123"/>
      <c r="C550" s="124"/>
      <c r="D550" s="120"/>
      <c r="E550" s="122"/>
      <c r="F550" s="120"/>
      <c r="G550" s="122"/>
      <c r="H550" s="122"/>
      <c r="I550" s="122"/>
      <c r="J550" s="120"/>
      <c r="K550" s="120"/>
      <c r="L550" s="120"/>
      <c r="M550" s="120"/>
      <c r="N550" s="121"/>
      <c r="O550" s="121"/>
      <c r="P550" s="121"/>
      <c r="Q550" s="121"/>
      <c r="R550" s="121"/>
      <c r="S550" s="121"/>
      <c r="T550" s="121"/>
      <c r="U550" s="121"/>
      <c r="V550" s="121"/>
    </row>
    <row r="551">
      <c r="A551" s="120"/>
      <c r="B551" s="123"/>
      <c r="C551" s="124"/>
      <c r="D551" s="120"/>
      <c r="E551" s="122"/>
      <c r="F551" s="120"/>
      <c r="G551" s="122"/>
      <c r="H551" s="122"/>
      <c r="I551" s="122"/>
      <c r="J551" s="120"/>
      <c r="K551" s="120"/>
      <c r="L551" s="120"/>
      <c r="M551" s="120"/>
      <c r="N551" s="121"/>
      <c r="O551" s="121"/>
      <c r="P551" s="121"/>
      <c r="Q551" s="121"/>
      <c r="R551" s="121"/>
      <c r="S551" s="121"/>
      <c r="T551" s="121"/>
      <c r="U551" s="121"/>
      <c r="V551" s="121"/>
    </row>
    <row r="552">
      <c r="A552" s="120"/>
      <c r="B552" s="123"/>
      <c r="C552" s="124"/>
      <c r="D552" s="120"/>
      <c r="E552" s="122"/>
      <c r="F552" s="120"/>
      <c r="G552" s="122"/>
      <c r="H552" s="122"/>
      <c r="I552" s="122"/>
      <c r="J552" s="120"/>
      <c r="K552" s="120"/>
      <c r="L552" s="120"/>
      <c r="M552" s="120"/>
      <c r="N552" s="121"/>
      <c r="O552" s="121"/>
      <c r="P552" s="121"/>
      <c r="Q552" s="121"/>
      <c r="R552" s="121"/>
      <c r="S552" s="121"/>
      <c r="T552" s="121"/>
      <c r="U552" s="121"/>
      <c r="V552" s="121"/>
    </row>
    <row r="553">
      <c r="A553" s="120"/>
      <c r="B553" s="123"/>
      <c r="C553" s="124"/>
      <c r="D553" s="120"/>
      <c r="E553" s="122"/>
      <c r="F553" s="120"/>
      <c r="G553" s="122"/>
      <c r="H553" s="122"/>
      <c r="I553" s="122"/>
      <c r="J553" s="120"/>
      <c r="K553" s="120"/>
      <c r="L553" s="120"/>
      <c r="M553" s="120"/>
      <c r="N553" s="121"/>
      <c r="O553" s="121"/>
      <c r="P553" s="121"/>
      <c r="Q553" s="121"/>
      <c r="R553" s="121"/>
      <c r="S553" s="121"/>
      <c r="T553" s="121"/>
      <c r="U553" s="121"/>
      <c r="V553" s="121"/>
    </row>
    <row r="554">
      <c r="A554" s="120"/>
      <c r="B554" s="123"/>
      <c r="C554" s="124"/>
      <c r="D554" s="120"/>
      <c r="E554" s="122"/>
      <c r="F554" s="120"/>
      <c r="G554" s="122"/>
      <c r="H554" s="122"/>
      <c r="I554" s="122"/>
      <c r="J554" s="120"/>
      <c r="K554" s="120"/>
      <c r="L554" s="120"/>
      <c r="M554" s="120"/>
      <c r="N554" s="121"/>
      <c r="O554" s="121"/>
      <c r="P554" s="121"/>
      <c r="Q554" s="121"/>
      <c r="R554" s="121"/>
      <c r="S554" s="121"/>
      <c r="T554" s="121"/>
      <c r="U554" s="121"/>
      <c r="V554" s="121"/>
    </row>
    <row r="555">
      <c r="A555" s="120"/>
      <c r="B555" s="123"/>
      <c r="C555" s="124"/>
      <c r="D555" s="120"/>
      <c r="E555" s="125"/>
      <c r="F555" s="120"/>
      <c r="G555" s="125"/>
      <c r="H555" s="125"/>
      <c r="I555" s="125"/>
      <c r="J555" s="120"/>
      <c r="K555" s="120"/>
      <c r="L555" s="120"/>
      <c r="M555" s="120"/>
      <c r="N555" s="121"/>
      <c r="O555" s="121"/>
      <c r="P555" s="121"/>
      <c r="Q555" s="121"/>
      <c r="R555" s="121"/>
      <c r="S555" s="121"/>
      <c r="T555" s="121"/>
      <c r="U555" s="121"/>
      <c r="V555" s="121"/>
    </row>
    <row r="556">
      <c r="A556" s="120"/>
      <c r="B556" s="123"/>
      <c r="C556" s="124"/>
      <c r="D556" s="120"/>
      <c r="E556" s="125"/>
      <c r="F556" s="120"/>
      <c r="G556" s="125"/>
      <c r="H556" s="125"/>
      <c r="I556" s="125"/>
      <c r="J556" s="120"/>
      <c r="K556" s="120"/>
      <c r="L556" s="120"/>
      <c r="M556" s="120"/>
      <c r="N556" s="121"/>
      <c r="O556" s="121"/>
      <c r="P556" s="121"/>
      <c r="Q556" s="121"/>
      <c r="R556" s="121"/>
      <c r="S556" s="121"/>
      <c r="T556" s="121"/>
      <c r="U556" s="121"/>
      <c r="V556" s="121"/>
    </row>
    <row r="557">
      <c r="A557" s="120"/>
      <c r="B557" s="123"/>
      <c r="C557" s="124"/>
      <c r="D557" s="120"/>
      <c r="E557" s="125"/>
      <c r="F557" s="120"/>
      <c r="G557" s="125"/>
      <c r="H557" s="125"/>
      <c r="I557" s="125"/>
      <c r="J557" s="120"/>
      <c r="K557" s="120"/>
      <c r="L557" s="120"/>
      <c r="M557" s="120"/>
      <c r="N557" s="121"/>
      <c r="O557" s="121"/>
      <c r="P557" s="121"/>
      <c r="Q557" s="121"/>
      <c r="R557" s="121"/>
      <c r="S557" s="121"/>
      <c r="T557" s="121"/>
      <c r="U557" s="121"/>
      <c r="V557" s="121"/>
    </row>
    <row r="558">
      <c r="A558" s="120"/>
      <c r="B558" s="123"/>
      <c r="C558" s="124"/>
      <c r="D558" s="120"/>
      <c r="E558" s="125"/>
      <c r="F558" s="120"/>
      <c r="G558" s="125"/>
      <c r="H558" s="125"/>
      <c r="I558" s="125"/>
      <c r="J558" s="120"/>
      <c r="K558" s="120"/>
      <c r="L558" s="120"/>
      <c r="M558" s="120"/>
      <c r="N558" s="121"/>
      <c r="O558" s="121"/>
      <c r="P558" s="121"/>
      <c r="Q558" s="121"/>
      <c r="R558" s="121"/>
      <c r="S558" s="121"/>
      <c r="T558" s="121"/>
      <c r="U558" s="121"/>
      <c r="V558" s="121"/>
    </row>
    <row r="559">
      <c r="A559" s="120"/>
      <c r="B559" s="123"/>
      <c r="C559" s="124"/>
      <c r="D559" s="120"/>
      <c r="E559" s="125"/>
      <c r="F559" s="120"/>
      <c r="G559" s="125"/>
      <c r="H559" s="125"/>
      <c r="I559" s="125"/>
      <c r="J559" s="120"/>
      <c r="K559" s="120"/>
      <c r="L559" s="120"/>
      <c r="M559" s="120"/>
      <c r="N559" s="121"/>
      <c r="O559" s="121"/>
      <c r="P559" s="121"/>
      <c r="Q559" s="121"/>
      <c r="R559" s="121"/>
      <c r="S559" s="121"/>
      <c r="T559" s="121"/>
      <c r="U559" s="121"/>
      <c r="V559" s="121"/>
    </row>
    <row r="560">
      <c r="A560" s="120"/>
      <c r="B560" s="123"/>
      <c r="C560" s="124"/>
      <c r="D560" s="120"/>
      <c r="E560" s="125"/>
      <c r="F560" s="120"/>
      <c r="G560" s="125"/>
      <c r="H560" s="125"/>
      <c r="I560" s="125"/>
      <c r="J560" s="120"/>
      <c r="K560" s="120"/>
      <c r="L560" s="120"/>
      <c r="M560" s="120"/>
      <c r="N560" s="121"/>
      <c r="O560" s="121"/>
      <c r="P560" s="121"/>
      <c r="Q560" s="121"/>
      <c r="R560" s="121"/>
      <c r="S560" s="121"/>
      <c r="T560" s="121"/>
      <c r="U560" s="121"/>
      <c r="V560" s="121"/>
    </row>
    <row r="561">
      <c r="A561" s="120"/>
      <c r="B561" s="123"/>
      <c r="C561" s="124"/>
      <c r="D561" s="120"/>
      <c r="E561" s="125"/>
      <c r="F561" s="120"/>
      <c r="G561" s="125"/>
      <c r="H561" s="125"/>
      <c r="I561" s="125"/>
      <c r="J561" s="120"/>
      <c r="K561" s="120"/>
      <c r="L561" s="120"/>
      <c r="M561" s="120"/>
      <c r="N561" s="121"/>
      <c r="O561" s="121"/>
      <c r="P561" s="121"/>
      <c r="Q561" s="121"/>
      <c r="R561" s="121"/>
      <c r="S561" s="121"/>
      <c r="T561" s="121"/>
      <c r="U561" s="121"/>
      <c r="V561" s="121"/>
    </row>
    <row r="562">
      <c r="A562" s="120"/>
      <c r="B562" s="123"/>
      <c r="C562" s="124"/>
      <c r="D562" s="120"/>
      <c r="E562" s="125"/>
      <c r="F562" s="120"/>
      <c r="G562" s="125"/>
      <c r="H562" s="125"/>
      <c r="I562" s="125"/>
      <c r="J562" s="120"/>
      <c r="K562" s="120"/>
      <c r="L562" s="120"/>
      <c r="M562" s="120"/>
      <c r="N562" s="121"/>
      <c r="O562" s="121"/>
      <c r="P562" s="121"/>
      <c r="Q562" s="121"/>
      <c r="R562" s="121"/>
      <c r="S562" s="121"/>
      <c r="T562" s="121"/>
      <c r="U562" s="121"/>
      <c r="V562" s="121"/>
    </row>
    <row r="563">
      <c r="A563" s="120"/>
      <c r="B563" s="123"/>
      <c r="C563" s="124"/>
      <c r="D563" s="120"/>
      <c r="E563" s="125"/>
      <c r="F563" s="120"/>
      <c r="G563" s="125"/>
      <c r="H563" s="125"/>
      <c r="I563" s="125"/>
      <c r="J563" s="120"/>
      <c r="K563" s="120"/>
      <c r="L563" s="120"/>
      <c r="M563" s="120"/>
      <c r="N563" s="121"/>
      <c r="O563" s="121"/>
      <c r="P563" s="121"/>
      <c r="Q563" s="121"/>
      <c r="R563" s="121"/>
      <c r="S563" s="121"/>
      <c r="T563" s="121"/>
      <c r="U563" s="121"/>
      <c r="V563" s="121"/>
    </row>
    <row r="564">
      <c r="A564" s="120"/>
      <c r="B564" s="123"/>
      <c r="C564" s="124"/>
      <c r="D564" s="120"/>
      <c r="E564" s="125"/>
      <c r="F564" s="120"/>
      <c r="G564" s="125"/>
      <c r="H564" s="125"/>
      <c r="I564" s="125"/>
      <c r="J564" s="120"/>
      <c r="K564" s="120"/>
      <c r="L564" s="120"/>
      <c r="M564" s="120"/>
      <c r="N564" s="121"/>
      <c r="O564" s="121"/>
      <c r="P564" s="121"/>
      <c r="Q564" s="121"/>
      <c r="R564" s="121"/>
      <c r="S564" s="121"/>
      <c r="T564" s="121"/>
      <c r="U564" s="121"/>
      <c r="V564" s="121"/>
    </row>
    <row r="565">
      <c r="A565" s="120"/>
      <c r="B565" s="123"/>
      <c r="C565" s="124"/>
      <c r="D565" s="120"/>
      <c r="E565" s="125"/>
      <c r="F565" s="120"/>
      <c r="G565" s="125"/>
      <c r="H565" s="125"/>
      <c r="I565" s="125"/>
      <c r="J565" s="120"/>
      <c r="K565" s="120"/>
      <c r="L565" s="120"/>
      <c r="M565" s="120"/>
      <c r="N565" s="121"/>
      <c r="O565" s="121"/>
      <c r="P565" s="121"/>
      <c r="Q565" s="121"/>
      <c r="R565" s="121"/>
      <c r="S565" s="121"/>
      <c r="T565" s="121"/>
      <c r="U565" s="121"/>
      <c r="V565" s="121"/>
    </row>
    <row r="566">
      <c r="A566" s="120"/>
      <c r="B566" s="123"/>
      <c r="C566" s="124"/>
      <c r="D566" s="120"/>
      <c r="E566" s="125"/>
      <c r="F566" s="120"/>
      <c r="G566" s="125"/>
      <c r="H566" s="125"/>
      <c r="I566" s="125"/>
      <c r="J566" s="120"/>
      <c r="K566" s="120"/>
      <c r="L566" s="120"/>
      <c r="M566" s="120"/>
      <c r="N566" s="121"/>
      <c r="O566" s="121"/>
      <c r="P566" s="121"/>
      <c r="Q566" s="121"/>
      <c r="R566" s="121"/>
      <c r="S566" s="121"/>
      <c r="T566" s="121"/>
      <c r="U566" s="121"/>
      <c r="V566" s="121"/>
    </row>
    <row r="567">
      <c r="A567" s="120"/>
      <c r="B567" s="123"/>
      <c r="C567" s="124"/>
      <c r="D567" s="120"/>
      <c r="E567" s="125"/>
      <c r="F567" s="120"/>
      <c r="G567" s="125"/>
      <c r="H567" s="125"/>
      <c r="I567" s="125"/>
      <c r="J567" s="120"/>
      <c r="K567" s="120"/>
      <c r="L567" s="120"/>
      <c r="M567" s="120"/>
      <c r="N567" s="121"/>
      <c r="O567" s="121"/>
      <c r="P567" s="121"/>
      <c r="Q567" s="121"/>
      <c r="R567" s="121"/>
      <c r="S567" s="121"/>
      <c r="T567" s="121"/>
      <c r="U567" s="121"/>
      <c r="V567" s="121"/>
    </row>
    <row r="568">
      <c r="A568" s="120"/>
      <c r="B568" s="123"/>
      <c r="C568" s="124"/>
      <c r="D568" s="120"/>
      <c r="E568" s="125"/>
      <c r="F568" s="120"/>
      <c r="G568" s="125"/>
      <c r="H568" s="125"/>
      <c r="I568" s="125"/>
      <c r="J568" s="120"/>
      <c r="K568" s="120"/>
      <c r="L568" s="120"/>
      <c r="M568" s="120"/>
      <c r="N568" s="121"/>
      <c r="O568" s="121"/>
      <c r="P568" s="121"/>
      <c r="Q568" s="121"/>
      <c r="R568" s="121"/>
      <c r="S568" s="121"/>
      <c r="T568" s="121"/>
      <c r="U568" s="121"/>
      <c r="V568" s="121"/>
    </row>
    <row r="569">
      <c r="A569" s="120"/>
      <c r="B569" s="123"/>
      <c r="C569" s="124"/>
      <c r="D569" s="120"/>
      <c r="E569" s="125"/>
      <c r="F569" s="120"/>
      <c r="G569" s="125"/>
      <c r="H569" s="125"/>
      <c r="I569" s="125"/>
      <c r="J569" s="120"/>
      <c r="K569" s="120"/>
      <c r="L569" s="120"/>
      <c r="M569" s="120"/>
      <c r="N569" s="121"/>
      <c r="O569" s="121"/>
      <c r="P569" s="121"/>
      <c r="Q569" s="121"/>
      <c r="R569" s="121"/>
      <c r="S569" s="121"/>
      <c r="T569" s="121"/>
      <c r="U569" s="121"/>
      <c r="V569" s="121"/>
    </row>
    <row r="570">
      <c r="A570" s="120"/>
      <c r="B570" s="123"/>
      <c r="C570" s="124"/>
      <c r="D570" s="120"/>
      <c r="E570" s="125"/>
      <c r="F570" s="120"/>
      <c r="G570" s="125"/>
      <c r="H570" s="125"/>
      <c r="I570" s="125"/>
      <c r="J570" s="120"/>
      <c r="K570" s="120"/>
      <c r="L570" s="120"/>
      <c r="M570" s="120"/>
      <c r="N570" s="121"/>
      <c r="O570" s="121"/>
      <c r="P570" s="121"/>
      <c r="Q570" s="121"/>
      <c r="R570" s="121"/>
      <c r="S570" s="121"/>
      <c r="T570" s="121"/>
      <c r="U570" s="121"/>
      <c r="V570" s="121"/>
    </row>
    <row r="571">
      <c r="A571" s="120"/>
      <c r="B571" s="123"/>
      <c r="C571" s="124"/>
      <c r="D571" s="120"/>
      <c r="E571" s="125"/>
      <c r="F571" s="120"/>
      <c r="G571" s="125"/>
      <c r="H571" s="125"/>
      <c r="I571" s="125"/>
      <c r="J571" s="120"/>
      <c r="K571" s="120"/>
      <c r="L571" s="120"/>
      <c r="M571" s="120"/>
      <c r="N571" s="121"/>
      <c r="O571" s="121"/>
      <c r="P571" s="121"/>
      <c r="Q571" s="121"/>
      <c r="R571" s="121"/>
      <c r="S571" s="121"/>
      <c r="T571" s="121"/>
      <c r="U571" s="121"/>
      <c r="V571" s="121"/>
    </row>
    <row r="572">
      <c r="A572" s="120"/>
      <c r="B572" s="123"/>
      <c r="C572" s="124"/>
      <c r="D572" s="120"/>
      <c r="E572" s="125"/>
      <c r="F572" s="120"/>
      <c r="G572" s="125"/>
      <c r="H572" s="125"/>
      <c r="I572" s="125"/>
      <c r="J572" s="120"/>
      <c r="K572" s="120"/>
      <c r="L572" s="120"/>
      <c r="M572" s="120"/>
      <c r="N572" s="121"/>
      <c r="O572" s="121"/>
      <c r="P572" s="121"/>
      <c r="Q572" s="121"/>
      <c r="R572" s="121"/>
      <c r="S572" s="121"/>
      <c r="T572" s="121"/>
      <c r="U572" s="121"/>
      <c r="V572" s="121"/>
    </row>
    <row r="573">
      <c r="A573" s="120"/>
      <c r="B573" s="123"/>
      <c r="C573" s="124"/>
      <c r="D573" s="120"/>
      <c r="E573" s="125"/>
      <c r="F573" s="120"/>
      <c r="G573" s="125"/>
      <c r="H573" s="125"/>
      <c r="I573" s="125"/>
      <c r="J573" s="120"/>
      <c r="K573" s="120"/>
      <c r="L573" s="120"/>
      <c r="M573" s="120"/>
      <c r="N573" s="121"/>
      <c r="O573" s="121"/>
      <c r="P573" s="121"/>
      <c r="Q573" s="121"/>
      <c r="R573" s="121"/>
      <c r="S573" s="121"/>
      <c r="T573" s="121"/>
      <c r="U573" s="121"/>
      <c r="V573" s="121"/>
    </row>
    <row r="574">
      <c r="A574" s="120"/>
      <c r="B574" s="123"/>
      <c r="C574" s="124"/>
      <c r="D574" s="120"/>
      <c r="E574" s="125"/>
      <c r="F574" s="120"/>
      <c r="G574" s="125"/>
      <c r="H574" s="125"/>
      <c r="I574" s="125"/>
      <c r="J574" s="120"/>
      <c r="K574" s="120"/>
      <c r="L574" s="120"/>
      <c r="M574" s="120"/>
      <c r="N574" s="121"/>
      <c r="O574" s="121"/>
      <c r="P574" s="121"/>
      <c r="Q574" s="121"/>
      <c r="R574" s="121"/>
      <c r="S574" s="121"/>
      <c r="T574" s="121"/>
      <c r="U574" s="121"/>
      <c r="V574" s="121"/>
    </row>
    <row r="575">
      <c r="A575" s="120"/>
      <c r="B575" s="123"/>
      <c r="C575" s="124"/>
      <c r="D575" s="120"/>
      <c r="E575" s="125"/>
      <c r="F575" s="120"/>
      <c r="G575" s="125"/>
      <c r="H575" s="125"/>
      <c r="I575" s="125"/>
      <c r="J575" s="120"/>
      <c r="K575" s="120"/>
      <c r="L575" s="120"/>
      <c r="M575" s="120"/>
      <c r="N575" s="121"/>
      <c r="O575" s="121"/>
      <c r="P575" s="121"/>
      <c r="Q575" s="121"/>
      <c r="R575" s="121"/>
      <c r="S575" s="121"/>
      <c r="T575" s="121"/>
      <c r="U575" s="121"/>
      <c r="V575" s="121"/>
    </row>
    <row r="576">
      <c r="A576" s="120"/>
      <c r="B576" s="123"/>
      <c r="C576" s="124"/>
      <c r="D576" s="120"/>
      <c r="E576" s="125"/>
      <c r="F576" s="120"/>
      <c r="G576" s="125"/>
      <c r="H576" s="125"/>
      <c r="I576" s="125"/>
      <c r="J576" s="120"/>
      <c r="K576" s="120"/>
      <c r="L576" s="120"/>
      <c r="M576" s="120"/>
      <c r="N576" s="121"/>
      <c r="O576" s="121"/>
      <c r="P576" s="121"/>
      <c r="Q576" s="121"/>
      <c r="R576" s="121"/>
      <c r="S576" s="121"/>
      <c r="T576" s="121"/>
      <c r="U576" s="121"/>
      <c r="V576" s="121"/>
    </row>
    <row r="577">
      <c r="A577" s="120"/>
      <c r="B577" s="123"/>
      <c r="C577" s="124"/>
      <c r="D577" s="120"/>
      <c r="E577" s="125"/>
      <c r="F577" s="120"/>
      <c r="G577" s="125"/>
      <c r="H577" s="125"/>
      <c r="I577" s="125"/>
      <c r="J577" s="120"/>
      <c r="K577" s="120"/>
      <c r="L577" s="120"/>
      <c r="M577" s="120"/>
      <c r="N577" s="121"/>
      <c r="O577" s="121"/>
      <c r="P577" s="121"/>
      <c r="Q577" s="121"/>
      <c r="R577" s="121"/>
      <c r="S577" s="121"/>
      <c r="T577" s="121"/>
      <c r="U577" s="121"/>
      <c r="V577" s="121"/>
    </row>
    <row r="578">
      <c r="A578" s="120"/>
      <c r="B578" s="123"/>
      <c r="C578" s="124"/>
      <c r="D578" s="120"/>
      <c r="E578" s="125"/>
      <c r="F578" s="120"/>
      <c r="G578" s="125"/>
      <c r="H578" s="125"/>
      <c r="I578" s="125"/>
      <c r="J578" s="120"/>
      <c r="K578" s="120"/>
      <c r="L578" s="120"/>
      <c r="M578" s="120"/>
      <c r="N578" s="121"/>
      <c r="O578" s="121"/>
      <c r="P578" s="121"/>
      <c r="Q578" s="121"/>
      <c r="R578" s="121"/>
      <c r="S578" s="121"/>
      <c r="T578" s="121"/>
      <c r="U578" s="121"/>
      <c r="V578" s="121"/>
    </row>
    <row r="579">
      <c r="A579" s="120"/>
      <c r="B579" s="123"/>
      <c r="C579" s="124"/>
      <c r="D579" s="120"/>
      <c r="E579" s="125"/>
      <c r="F579" s="120"/>
      <c r="G579" s="125"/>
      <c r="H579" s="125"/>
      <c r="I579" s="125"/>
      <c r="J579" s="120"/>
      <c r="K579" s="120"/>
      <c r="L579" s="120"/>
      <c r="M579" s="120"/>
      <c r="N579" s="121"/>
      <c r="O579" s="121"/>
      <c r="P579" s="121"/>
      <c r="Q579" s="121"/>
      <c r="R579" s="121"/>
      <c r="S579" s="121"/>
      <c r="T579" s="121"/>
      <c r="U579" s="121"/>
      <c r="V579" s="121"/>
    </row>
    <row r="580">
      <c r="A580" s="120"/>
      <c r="B580" s="123"/>
      <c r="C580" s="124"/>
      <c r="D580" s="120"/>
      <c r="E580" s="125"/>
      <c r="F580" s="120"/>
      <c r="G580" s="125"/>
      <c r="H580" s="125"/>
      <c r="I580" s="125"/>
      <c r="J580" s="120"/>
      <c r="K580" s="120"/>
      <c r="L580" s="120"/>
      <c r="M580" s="120"/>
      <c r="N580" s="121"/>
      <c r="O580" s="121"/>
      <c r="P580" s="121"/>
      <c r="Q580" s="121"/>
      <c r="R580" s="121"/>
      <c r="S580" s="121"/>
      <c r="T580" s="121"/>
      <c r="U580" s="121"/>
      <c r="V580" s="121"/>
    </row>
    <row r="581">
      <c r="A581" s="120"/>
      <c r="B581" s="123"/>
      <c r="C581" s="124"/>
      <c r="D581" s="120"/>
      <c r="E581" s="125"/>
      <c r="F581" s="120"/>
      <c r="G581" s="125"/>
      <c r="H581" s="125"/>
      <c r="I581" s="125"/>
      <c r="J581" s="120"/>
      <c r="K581" s="120"/>
      <c r="L581" s="120"/>
      <c r="M581" s="120"/>
      <c r="N581" s="121"/>
      <c r="O581" s="121"/>
      <c r="P581" s="121"/>
      <c r="Q581" s="121"/>
      <c r="R581" s="121"/>
      <c r="S581" s="121"/>
      <c r="T581" s="121"/>
      <c r="U581" s="121"/>
      <c r="V581" s="121"/>
    </row>
    <row r="582">
      <c r="A582" s="120"/>
      <c r="B582" s="123"/>
      <c r="C582" s="124"/>
      <c r="D582" s="120"/>
      <c r="E582" s="125"/>
      <c r="F582" s="120"/>
      <c r="G582" s="125"/>
      <c r="H582" s="125"/>
      <c r="I582" s="125"/>
      <c r="J582" s="120"/>
      <c r="K582" s="120"/>
      <c r="L582" s="120"/>
      <c r="M582" s="120"/>
      <c r="N582" s="121"/>
      <c r="O582" s="121"/>
      <c r="P582" s="121"/>
      <c r="Q582" s="121"/>
      <c r="R582" s="121"/>
      <c r="S582" s="121"/>
      <c r="T582" s="121"/>
      <c r="U582" s="121"/>
      <c r="V582" s="121"/>
    </row>
    <row r="583">
      <c r="A583" s="120"/>
      <c r="B583" s="123"/>
      <c r="C583" s="124"/>
      <c r="D583" s="120"/>
      <c r="E583" s="125"/>
      <c r="F583" s="120"/>
      <c r="G583" s="125"/>
      <c r="H583" s="125"/>
      <c r="I583" s="125"/>
      <c r="J583" s="120"/>
      <c r="K583" s="120"/>
      <c r="L583" s="120"/>
      <c r="M583" s="120"/>
      <c r="N583" s="121"/>
      <c r="O583" s="121"/>
      <c r="P583" s="121"/>
      <c r="Q583" s="121"/>
      <c r="R583" s="121"/>
      <c r="S583" s="121"/>
      <c r="T583" s="121"/>
      <c r="U583" s="121"/>
      <c r="V583" s="121"/>
    </row>
    <row r="584">
      <c r="A584" s="120"/>
      <c r="B584" s="123"/>
      <c r="C584" s="124"/>
      <c r="D584" s="120"/>
      <c r="E584" s="125"/>
      <c r="F584" s="120"/>
      <c r="G584" s="125"/>
      <c r="H584" s="125"/>
      <c r="I584" s="125"/>
      <c r="J584" s="120"/>
      <c r="K584" s="120"/>
      <c r="L584" s="120"/>
      <c r="M584" s="120"/>
      <c r="N584" s="121"/>
      <c r="O584" s="121"/>
      <c r="P584" s="121"/>
      <c r="Q584" s="121"/>
      <c r="R584" s="121"/>
      <c r="S584" s="121"/>
      <c r="T584" s="121"/>
      <c r="U584" s="121"/>
      <c r="V584" s="121"/>
    </row>
    <row r="585">
      <c r="A585" s="120"/>
      <c r="B585" s="123"/>
      <c r="C585" s="124"/>
      <c r="D585" s="120"/>
      <c r="E585" s="125"/>
      <c r="F585" s="120"/>
      <c r="G585" s="125"/>
      <c r="H585" s="125"/>
      <c r="I585" s="125"/>
      <c r="J585" s="120"/>
      <c r="K585" s="120"/>
      <c r="L585" s="120"/>
      <c r="M585" s="120"/>
      <c r="N585" s="121"/>
      <c r="O585" s="121"/>
      <c r="P585" s="121"/>
      <c r="Q585" s="121"/>
      <c r="R585" s="121"/>
      <c r="S585" s="121"/>
      <c r="T585" s="121"/>
      <c r="U585" s="121"/>
      <c r="V585" s="121"/>
    </row>
    <row r="586">
      <c r="A586" s="120"/>
      <c r="B586" s="123"/>
      <c r="C586" s="124"/>
      <c r="D586" s="120"/>
      <c r="E586" s="125"/>
      <c r="F586" s="120"/>
      <c r="G586" s="125"/>
      <c r="H586" s="125"/>
      <c r="I586" s="125"/>
      <c r="J586" s="120"/>
      <c r="K586" s="120"/>
      <c r="L586" s="120"/>
      <c r="M586" s="120"/>
      <c r="N586" s="121"/>
      <c r="O586" s="121"/>
      <c r="P586" s="121"/>
      <c r="Q586" s="121"/>
      <c r="R586" s="121"/>
      <c r="S586" s="121"/>
      <c r="T586" s="121"/>
      <c r="U586" s="121"/>
      <c r="V586" s="121"/>
    </row>
    <row r="587">
      <c r="A587" s="120"/>
      <c r="B587" s="123"/>
      <c r="C587" s="124"/>
      <c r="D587" s="120"/>
      <c r="E587" s="125"/>
      <c r="F587" s="120"/>
      <c r="G587" s="125"/>
      <c r="H587" s="125"/>
      <c r="I587" s="125"/>
      <c r="J587" s="120"/>
      <c r="K587" s="120"/>
      <c r="L587" s="120"/>
      <c r="M587" s="120"/>
      <c r="N587" s="121"/>
      <c r="O587" s="121"/>
      <c r="P587" s="121"/>
      <c r="Q587" s="121"/>
      <c r="R587" s="121"/>
      <c r="S587" s="121"/>
      <c r="T587" s="121"/>
      <c r="U587" s="121"/>
      <c r="V587" s="121"/>
    </row>
    <row r="588">
      <c r="A588" s="120"/>
      <c r="B588" s="123"/>
      <c r="C588" s="124"/>
      <c r="D588" s="120"/>
      <c r="E588" s="125"/>
      <c r="F588" s="120"/>
      <c r="G588" s="125"/>
      <c r="H588" s="125"/>
      <c r="I588" s="125"/>
      <c r="J588" s="120"/>
      <c r="K588" s="120"/>
      <c r="L588" s="120"/>
      <c r="M588" s="120"/>
      <c r="N588" s="121"/>
      <c r="O588" s="121"/>
      <c r="P588" s="121"/>
      <c r="Q588" s="121"/>
      <c r="R588" s="121"/>
      <c r="S588" s="121"/>
      <c r="T588" s="121"/>
      <c r="U588" s="121"/>
      <c r="V588" s="121"/>
    </row>
    <row r="589">
      <c r="A589" s="120"/>
      <c r="B589" s="123"/>
      <c r="C589" s="124"/>
      <c r="D589" s="120"/>
      <c r="E589" s="125"/>
      <c r="F589" s="120"/>
      <c r="G589" s="125"/>
      <c r="H589" s="125"/>
      <c r="I589" s="125"/>
      <c r="J589" s="120"/>
      <c r="K589" s="120"/>
      <c r="L589" s="120"/>
      <c r="M589" s="120"/>
      <c r="N589" s="121"/>
      <c r="O589" s="121"/>
      <c r="P589" s="121"/>
      <c r="Q589" s="121"/>
      <c r="R589" s="121"/>
      <c r="S589" s="121"/>
      <c r="T589" s="121"/>
      <c r="U589" s="121"/>
      <c r="V589" s="121"/>
    </row>
    <row r="590">
      <c r="A590" s="120"/>
      <c r="B590" s="123"/>
      <c r="C590" s="124"/>
      <c r="D590" s="120"/>
      <c r="E590" s="125"/>
      <c r="F590" s="120"/>
      <c r="G590" s="125"/>
      <c r="H590" s="125"/>
      <c r="I590" s="125"/>
      <c r="J590" s="120"/>
      <c r="K590" s="120"/>
      <c r="L590" s="120"/>
      <c r="M590" s="120"/>
      <c r="N590" s="121"/>
      <c r="O590" s="121"/>
      <c r="P590" s="121"/>
      <c r="Q590" s="121"/>
      <c r="R590" s="121"/>
      <c r="S590" s="121"/>
      <c r="T590" s="121"/>
      <c r="U590" s="121"/>
      <c r="V590" s="121"/>
    </row>
    <row r="591">
      <c r="A591" s="120"/>
      <c r="B591" s="123"/>
      <c r="C591" s="124"/>
      <c r="D591" s="120"/>
      <c r="E591" s="125"/>
      <c r="F591" s="120"/>
      <c r="G591" s="125"/>
      <c r="H591" s="125"/>
      <c r="I591" s="125"/>
      <c r="J591" s="120"/>
      <c r="K591" s="120"/>
      <c r="L591" s="120"/>
      <c r="M591" s="120"/>
      <c r="N591" s="121"/>
      <c r="O591" s="121"/>
      <c r="P591" s="121"/>
      <c r="Q591" s="121"/>
      <c r="R591" s="121"/>
      <c r="S591" s="121"/>
      <c r="T591" s="121"/>
      <c r="U591" s="121"/>
      <c r="V591" s="121"/>
    </row>
    <row r="592">
      <c r="A592" s="120"/>
      <c r="B592" s="123"/>
      <c r="C592" s="124"/>
      <c r="D592" s="120"/>
      <c r="E592" s="125"/>
      <c r="F592" s="120"/>
      <c r="G592" s="125"/>
      <c r="H592" s="125"/>
      <c r="I592" s="125"/>
      <c r="J592" s="120"/>
      <c r="K592" s="120"/>
      <c r="L592" s="120"/>
      <c r="M592" s="120"/>
      <c r="N592" s="121"/>
      <c r="O592" s="121"/>
      <c r="P592" s="121"/>
      <c r="Q592" s="121"/>
      <c r="R592" s="121"/>
      <c r="S592" s="121"/>
      <c r="T592" s="121"/>
      <c r="U592" s="121"/>
      <c r="V592" s="121"/>
    </row>
    <row r="593">
      <c r="A593" s="120"/>
      <c r="B593" s="123"/>
      <c r="C593" s="124"/>
      <c r="D593" s="120"/>
      <c r="E593" s="125"/>
      <c r="F593" s="120"/>
      <c r="G593" s="125"/>
      <c r="H593" s="125"/>
      <c r="I593" s="125"/>
      <c r="J593" s="120"/>
      <c r="K593" s="120"/>
      <c r="L593" s="120"/>
      <c r="M593" s="120"/>
      <c r="N593" s="121"/>
      <c r="O593" s="121"/>
      <c r="P593" s="121"/>
      <c r="Q593" s="121"/>
      <c r="R593" s="121"/>
      <c r="S593" s="121"/>
      <c r="T593" s="121"/>
      <c r="U593" s="121"/>
      <c r="V593" s="121"/>
    </row>
    <row r="594">
      <c r="A594" s="120"/>
      <c r="B594" s="123"/>
      <c r="C594" s="124"/>
      <c r="D594" s="120"/>
      <c r="E594" s="125"/>
      <c r="F594" s="120"/>
      <c r="G594" s="125"/>
      <c r="H594" s="125"/>
      <c r="I594" s="125"/>
      <c r="J594" s="120"/>
      <c r="K594" s="120"/>
      <c r="L594" s="120"/>
      <c r="M594" s="120"/>
      <c r="N594" s="121"/>
      <c r="O594" s="121"/>
      <c r="P594" s="121"/>
      <c r="Q594" s="121"/>
      <c r="R594" s="121"/>
      <c r="S594" s="121"/>
      <c r="T594" s="121"/>
      <c r="U594" s="121"/>
      <c r="V594" s="121"/>
    </row>
    <row r="595">
      <c r="A595" s="120"/>
      <c r="B595" s="123"/>
      <c r="C595" s="124"/>
      <c r="D595" s="120"/>
      <c r="E595" s="125"/>
      <c r="F595" s="120"/>
      <c r="G595" s="125"/>
      <c r="H595" s="125"/>
      <c r="I595" s="125"/>
      <c r="J595" s="120"/>
      <c r="K595" s="120"/>
      <c r="L595" s="120"/>
      <c r="M595" s="120"/>
      <c r="N595" s="121"/>
      <c r="O595" s="121"/>
      <c r="P595" s="121"/>
      <c r="Q595" s="121"/>
      <c r="R595" s="121"/>
      <c r="S595" s="121"/>
      <c r="T595" s="121"/>
      <c r="U595" s="121"/>
      <c r="V595" s="121"/>
    </row>
    <row r="596">
      <c r="A596" s="120"/>
      <c r="B596" s="123"/>
      <c r="C596" s="124"/>
      <c r="D596" s="120"/>
      <c r="E596" s="125"/>
      <c r="F596" s="120"/>
      <c r="G596" s="125"/>
      <c r="H596" s="125"/>
      <c r="I596" s="125"/>
      <c r="J596" s="120"/>
      <c r="K596" s="120"/>
      <c r="L596" s="120"/>
      <c r="M596" s="120"/>
      <c r="N596" s="121"/>
      <c r="O596" s="121"/>
      <c r="P596" s="121"/>
      <c r="Q596" s="121"/>
      <c r="R596" s="121"/>
      <c r="S596" s="121"/>
      <c r="T596" s="121"/>
      <c r="U596" s="121"/>
      <c r="V596" s="121"/>
    </row>
    <row r="597">
      <c r="A597" s="120"/>
      <c r="B597" s="123"/>
      <c r="C597" s="124"/>
      <c r="D597" s="120"/>
      <c r="E597" s="125"/>
      <c r="F597" s="120"/>
      <c r="G597" s="125"/>
      <c r="H597" s="125"/>
      <c r="I597" s="125"/>
      <c r="J597" s="120"/>
      <c r="K597" s="120"/>
      <c r="L597" s="120"/>
      <c r="M597" s="120"/>
      <c r="N597" s="121"/>
      <c r="O597" s="121"/>
      <c r="P597" s="121"/>
      <c r="Q597" s="121"/>
      <c r="R597" s="121"/>
      <c r="S597" s="121"/>
      <c r="T597" s="121"/>
      <c r="U597" s="121"/>
      <c r="V597" s="121"/>
    </row>
    <row r="598">
      <c r="A598" s="120"/>
      <c r="B598" s="123"/>
      <c r="C598" s="124"/>
      <c r="D598" s="120"/>
      <c r="E598" s="125"/>
      <c r="F598" s="120"/>
      <c r="G598" s="125"/>
      <c r="H598" s="125"/>
      <c r="I598" s="125"/>
      <c r="J598" s="120"/>
      <c r="K598" s="120"/>
      <c r="L598" s="120"/>
      <c r="M598" s="120"/>
      <c r="N598" s="121"/>
      <c r="O598" s="121"/>
      <c r="P598" s="121"/>
      <c r="Q598" s="121"/>
      <c r="R598" s="121"/>
      <c r="S598" s="121"/>
      <c r="T598" s="121"/>
      <c r="U598" s="121"/>
      <c r="V598" s="121"/>
    </row>
    <row r="599">
      <c r="A599" s="120"/>
      <c r="B599" s="123"/>
      <c r="C599" s="124"/>
      <c r="D599" s="120"/>
      <c r="E599" s="122"/>
      <c r="F599" s="120"/>
      <c r="G599" s="122"/>
      <c r="H599" s="122"/>
      <c r="I599" s="122"/>
      <c r="J599" s="120"/>
      <c r="K599" s="120"/>
      <c r="L599" s="120"/>
      <c r="M599" s="120"/>
      <c r="N599" s="121"/>
      <c r="O599" s="121"/>
      <c r="P599" s="121"/>
      <c r="Q599" s="121"/>
      <c r="R599" s="121"/>
      <c r="S599" s="121"/>
      <c r="T599" s="121"/>
      <c r="U599" s="121"/>
      <c r="V599" s="121"/>
    </row>
    <row r="600">
      <c r="A600" s="120"/>
      <c r="B600" s="123"/>
      <c r="C600" s="124"/>
      <c r="D600" s="120"/>
      <c r="E600" s="122"/>
      <c r="F600" s="120"/>
      <c r="G600" s="122"/>
      <c r="H600" s="122"/>
      <c r="I600" s="122"/>
      <c r="J600" s="120"/>
      <c r="K600" s="120"/>
      <c r="L600" s="120"/>
      <c r="M600" s="120"/>
      <c r="N600" s="121"/>
      <c r="O600" s="121"/>
      <c r="P600" s="121"/>
      <c r="Q600" s="121"/>
      <c r="R600" s="121"/>
      <c r="S600" s="121"/>
      <c r="T600" s="121"/>
      <c r="U600" s="121"/>
      <c r="V600" s="121"/>
    </row>
    <row r="601">
      <c r="A601" s="120"/>
      <c r="B601" s="123"/>
      <c r="C601" s="124"/>
      <c r="D601" s="120"/>
      <c r="E601" s="122"/>
      <c r="F601" s="120"/>
      <c r="G601" s="122"/>
      <c r="H601" s="122"/>
      <c r="I601" s="122"/>
      <c r="J601" s="120"/>
      <c r="K601" s="120"/>
      <c r="L601" s="120"/>
      <c r="M601" s="120"/>
      <c r="N601" s="121"/>
      <c r="O601" s="121"/>
      <c r="P601" s="121"/>
      <c r="Q601" s="121"/>
      <c r="R601" s="121"/>
      <c r="S601" s="121"/>
      <c r="T601" s="121"/>
      <c r="U601" s="121"/>
      <c r="V601" s="121"/>
    </row>
    <row r="602">
      <c r="A602" s="120"/>
      <c r="B602" s="123"/>
      <c r="C602" s="124"/>
      <c r="D602" s="120"/>
      <c r="E602" s="122"/>
      <c r="F602" s="120"/>
      <c r="G602" s="122"/>
      <c r="H602" s="122"/>
      <c r="I602" s="122"/>
      <c r="J602" s="120"/>
      <c r="K602" s="120"/>
      <c r="L602" s="120"/>
      <c r="M602" s="120"/>
      <c r="N602" s="121"/>
      <c r="O602" s="121"/>
      <c r="P602" s="121"/>
      <c r="Q602" s="121"/>
      <c r="R602" s="121"/>
      <c r="S602" s="121"/>
      <c r="T602" s="121"/>
      <c r="U602" s="121"/>
      <c r="V602" s="121"/>
    </row>
    <row r="603">
      <c r="A603" s="120"/>
      <c r="B603" s="123"/>
      <c r="C603" s="124"/>
      <c r="D603" s="120"/>
      <c r="E603" s="122"/>
      <c r="F603" s="120"/>
      <c r="G603" s="122"/>
      <c r="H603" s="122"/>
      <c r="I603" s="122"/>
      <c r="J603" s="120"/>
      <c r="K603" s="120"/>
      <c r="L603" s="120"/>
      <c r="M603" s="120"/>
      <c r="N603" s="121"/>
      <c r="O603" s="121"/>
      <c r="P603" s="121"/>
      <c r="Q603" s="121"/>
      <c r="R603" s="121"/>
      <c r="S603" s="121"/>
      <c r="T603" s="121"/>
      <c r="U603" s="121"/>
      <c r="V603" s="121"/>
    </row>
    <row r="604">
      <c r="A604" s="120"/>
      <c r="B604" s="123"/>
      <c r="C604" s="124"/>
      <c r="D604" s="120"/>
      <c r="E604" s="122"/>
      <c r="F604" s="120"/>
      <c r="G604" s="122"/>
      <c r="H604" s="122"/>
      <c r="I604" s="122"/>
      <c r="J604" s="120"/>
      <c r="K604" s="120"/>
      <c r="L604" s="120"/>
      <c r="M604" s="120"/>
      <c r="N604" s="121"/>
      <c r="O604" s="121"/>
      <c r="P604" s="121"/>
      <c r="Q604" s="121"/>
      <c r="R604" s="121"/>
      <c r="S604" s="121"/>
      <c r="T604" s="121"/>
      <c r="U604" s="121"/>
      <c r="V604" s="121"/>
    </row>
    <row r="605">
      <c r="A605" s="120"/>
      <c r="B605" s="123"/>
      <c r="C605" s="124"/>
      <c r="D605" s="120"/>
      <c r="E605" s="122"/>
      <c r="F605" s="120"/>
      <c r="G605" s="122"/>
      <c r="H605" s="122"/>
      <c r="I605" s="122"/>
      <c r="J605" s="120"/>
      <c r="K605" s="120"/>
      <c r="L605" s="120"/>
      <c r="M605" s="120"/>
      <c r="N605" s="121"/>
      <c r="O605" s="121"/>
      <c r="P605" s="121"/>
      <c r="Q605" s="121"/>
      <c r="R605" s="121"/>
      <c r="S605" s="121"/>
      <c r="T605" s="121"/>
      <c r="U605" s="121"/>
      <c r="V605" s="121"/>
    </row>
    <row r="606">
      <c r="A606" s="120"/>
      <c r="B606" s="123"/>
      <c r="C606" s="124"/>
      <c r="D606" s="120"/>
      <c r="E606" s="122"/>
      <c r="F606" s="120"/>
      <c r="G606" s="122"/>
      <c r="H606" s="122"/>
      <c r="I606" s="122"/>
      <c r="J606" s="120"/>
      <c r="K606" s="120"/>
      <c r="L606" s="120"/>
      <c r="M606" s="120"/>
      <c r="N606" s="121"/>
      <c r="O606" s="121"/>
      <c r="P606" s="121"/>
      <c r="Q606" s="121"/>
      <c r="R606" s="121"/>
      <c r="S606" s="121"/>
      <c r="T606" s="121"/>
      <c r="U606" s="121"/>
      <c r="V606" s="121"/>
    </row>
    <row r="607">
      <c r="A607" s="120"/>
      <c r="B607" s="123"/>
      <c r="C607" s="124"/>
      <c r="D607" s="120"/>
      <c r="E607" s="122"/>
      <c r="F607" s="120"/>
      <c r="G607" s="122"/>
      <c r="H607" s="122"/>
      <c r="I607" s="122"/>
      <c r="J607" s="120"/>
      <c r="K607" s="120"/>
      <c r="L607" s="120"/>
      <c r="M607" s="120"/>
      <c r="N607" s="121"/>
      <c r="O607" s="121"/>
      <c r="P607" s="121"/>
      <c r="Q607" s="121"/>
      <c r="R607" s="121"/>
      <c r="S607" s="121"/>
      <c r="T607" s="121"/>
      <c r="U607" s="121"/>
      <c r="V607" s="121"/>
    </row>
    <row r="608">
      <c r="A608" s="120"/>
      <c r="B608" s="123"/>
      <c r="C608" s="124"/>
      <c r="D608" s="120"/>
      <c r="E608" s="122"/>
      <c r="F608" s="120"/>
      <c r="G608" s="122"/>
      <c r="H608" s="122"/>
      <c r="I608" s="122"/>
      <c r="J608" s="120"/>
      <c r="K608" s="120"/>
      <c r="L608" s="120"/>
      <c r="M608" s="120"/>
      <c r="N608" s="121"/>
      <c r="O608" s="121"/>
      <c r="P608" s="121"/>
      <c r="Q608" s="121"/>
      <c r="R608" s="121"/>
      <c r="S608" s="121"/>
      <c r="T608" s="121"/>
      <c r="U608" s="121"/>
      <c r="V608" s="121"/>
    </row>
    <row r="609">
      <c r="A609" s="120"/>
      <c r="B609" s="123"/>
      <c r="C609" s="124"/>
      <c r="D609" s="120"/>
      <c r="E609" s="122"/>
      <c r="F609" s="120"/>
      <c r="G609" s="122"/>
      <c r="H609" s="122"/>
      <c r="I609" s="122"/>
      <c r="J609" s="120"/>
      <c r="K609" s="120"/>
      <c r="L609" s="120"/>
      <c r="M609" s="120"/>
      <c r="N609" s="121"/>
      <c r="O609" s="121"/>
      <c r="P609" s="121"/>
      <c r="Q609" s="121"/>
      <c r="R609" s="121"/>
      <c r="S609" s="121"/>
      <c r="T609" s="121"/>
      <c r="U609" s="121"/>
      <c r="V609" s="121"/>
    </row>
    <row r="610">
      <c r="A610" s="120"/>
      <c r="B610" s="123"/>
      <c r="C610" s="124"/>
      <c r="D610" s="120"/>
      <c r="E610" s="122"/>
      <c r="F610" s="120"/>
      <c r="G610" s="122"/>
      <c r="H610" s="122"/>
      <c r="I610" s="122"/>
      <c r="J610" s="120"/>
      <c r="K610" s="120"/>
      <c r="L610" s="120"/>
      <c r="M610" s="120"/>
      <c r="N610" s="121"/>
      <c r="O610" s="121"/>
      <c r="P610" s="121"/>
      <c r="Q610" s="121"/>
      <c r="R610" s="121"/>
      <c r="S610" s="121"/>
      <c r="T610" s="121"/>
      <c r="U610" s="121"/>
      <c r="V610" s="121"/>
    </row>
    <row r="611">
      <c r="A611" s="120"/>
      <c r="B611" s="123"/>
      <c r="C611" s="124"/>
      <c r="D611" s="120"/>
      <c r="E611" s="122"/>
      <c r="F611" s="120"/>
      <c r="G611" s="122"/>
      <c r="H611" s="122"/>
      <c r="I611" s="122"/>
      <c r="J611" s="120"/>
      <c r="K611" s="120"/>
      <c r="L611" s="120"/>
      <c r="M611" s="120"/>
      <c r="N611" s="121"/>
      <c r="O611" s="121"/>
      <c r="P611" s="121"/>
      <c r="Q611" s="121"/>
      <c r="R611" s="121"/>
      <c r="S611" s="121"/>
      <c r="T611" s="121"/>
      <c r="U611" s="121"/>
      <c r="V611" s="121"/>
    </row>
    <row r="612">
      <c r="A612" s="120"/>
      <c r="B612" s="123"/>
      <c r="C612" s="124"/>
      <c r="D612" s="120"/>
      <c r="E612" s="122"/>
      <c r="F612" s="120"/>
      <c r="G612" s="122"/>
      <c r="H612" s="122"/>
      <c r="I612" s="122"/>
      <c r="J612" s="120"/>
      <c r="K612" s="120"/>
      <c r="L612" s="120"/>
      <c r="M612" s="120"/>
      <c r="N612" s="121"/>
      <c r="O612" s="121"/>
      <c r="P612" s="121"/>
      <c r="Q612" s="121"/>
      <c r="R612" s="121"/>
      <c r="S612" s="121"/>
      <c r="T612" s="121"/>
      <c r="U612" s="121"/>
      <c r="V612" s="121"/>
    </row>
    <row r="613">
      <c r="A613" s="120"/>
      <c r="B613" s="123"/>
      <c r="C613" s="124"/>
      <c r="D613" s="120"/>
      <c r="E613" s="122"/>
      <c r="F613" s="120"/>
      <c r="G613" s="122"/>
      <c r="H613" s="122"/>
      <c r="I613" s="122"/>
      <c r="J613" s="120"/>
      <c r="K613" s="120"/>
      <c r="L613" s="120"/>
      <c r="M613" s="120"/>
      <c r="N613" s="121"/>
      <c r="O613" s="121"/>
      <c r="P613" s="121"/>
      <c r="Q613" s="121"/>
      <c r="R613" s="121"/>
      <c r="S613" s="121"/>
      <c r="T613" s="121"/>
      <c r="U613" s="121"/>
      <c r="V613" s="121"/>
    </row>
    <row r="614">
      <c r="A614" s="120"/>
      <c r="B614" s="123"/>
      <c r="C614" s="124"/>
      <c r="D614" s="120"/>
      <c r="E614" s="122"/>
      <c r="F614" s="120"/>
      <c r="G614" s="122"/>
      <c r="H614" s="122"/>
      <c r="I614" s="122"/>
      <c r="J614" s="120"/>
      <c r="K614" s="120"/>
      <c r="L614" s="120"/>
      <c r="M614" s="120"/>
      <c r="N614" s="121"/>
      <c r="O614" s="121"/>
      <c r="P614" s="121"/>
      <c r="Q614" s="121"/>
      <c r="R614" s="121"/>
      <c r="S614" s="121"/>
      <c r="T614" s="121"/>
      <c r="U614" s="121"/>
      <c r="V614" s="121"/>
    </row>
    <row r="615">
      <c r="A615" s="120"/>
      <c r="B615" s="123"/>
      <c r="C615" s="124"/>
      <c r="D615" s="120"/>
      <c r="E615" s="122"/>
      <c r="F615" s="120"/>
      <c r="G615" s="122"/>
      <c r="H615" s="122"/>
      <c r="I615" s="122"/>
      <c r="J615" s="120"/>
      <c r="K615" s="120"/>
      <c r="L615" s="120"/>
      <c r="M615" s="120"/>
      <c r="N615" s="121"/>
      <c r="O615" s="121"/>
      <c r="P615" s="121"/>
      <c r="Q615" s="121"/>
      <c r="R615" s="121"/>
      <c r="S615" s="121"/>
      <c r="T615" s="121"/>
      <c r="U615" s="121"/>
      <c r="V615" s="121"/>
    </row>
    <row r="616">
      <c r="A616" s="120"/>
      <c r="B616" s="123"/>
      <c r="C616" s="124"/>
      <c r="D616" s="120"/>
      <c r="E616" s="122"/>
      <c r="F616" s="120"/>
      <c r="G616" s="122"/>
      <c r="H616" s="122"/>
      <c r="I616" s="122"/>
      <c r="J616" s="120"/>
      <c r="K616" s="120"/>
      <c r="L616" s="120"/>
      <c r="M616" s="120"/>
      <c r="N616" s="121"/>
      <c r="O616" s="121"/>
      <c r="P616" s="121"/>
      <c r="Q616" s="121"/>
      <c r="R616" s="121"/>
      <c r="S616" s="121"/>
      <c r="T616" s="121"/>
      <c r="U616" s="121"/>
      <c r="V616" s="121"/>
    </row>
    <row r="617">
      <c r="A617" s="120"/>
      <c r="B617" s="123"/>
      <c r="C617" s="124"/>
      <c r="D617" s="120"/>
      <c r="E617" s="125"/>
      <c r="F617" s="120"/>
      <c r="G617" s="125"/>
      <c r="H617" s="125"/>
      <c r="I617" s="125"/>
      <c r="J617" s="120"/>
      <c r="K617" s="120"/>
      <c r="L617" s="120"/>
      <c r="M617" s="120"/>
      <c r="N617" s="121"/>
      <c r="O617" s="121"/>
      <c r="P617" s="121"/>
      <c r="Q617" s="121"/>
      <c r="R617" s="121"/>
      <c r="S617" s="121"/>
      <c r="T617" s="121"/>
      <c r="U617" s="121"/>
      <c r="V617" s="121"/>
    </row>
    <row r="618">
      <c r="A618" s="120"/>
      <c r="B618" s="123"/>
      <c r="C618" s="124"/>
      <c r="D618" s="120"/>
      <c r="E618" s="125"/>
      <c r="F618" s="120"/>
      <c r="G618" s="125"/>
      <c r="H618" s="125"/>
      <c r="I618" s="125"/>
      <c r="J618" s="120"/>
      <c r="K618" s="120"/>
      <c r="L618" s="120"/>
      <c r="M618" s="120"/>
      <c r="N618" s="121"/>
      <c r="O618" s="121"/>
      <c r="P618" s="121"/>
      <c r="Q618" s="121"/>
      <c r="R618" s="121"/>
      <c r="S618" s="121"/>
      <c r="T618" s="121"/>
      <c r="U618" s="121"/>
      <c r="V618" s="121"/>
    </row>
    <row r="619">
      <c r="A619" s="120"/>
      <c r="B619" s="123"/>
      <c r="C619" s="124"/>
      <c r="D619" s="120"/>
      <c r="E619" s="125"/>
      <c r="F619" s="120"/>
      <c r="G619" s="125"/>
      <c r="H619" s="125"/>
      <c r="I619" s="125"/>
      <c r="J619" s="120"/>
      <c r="K619" s="120"/>
      <c r="L619" s="120"/>
      <c r="M619" s="120"/>
      <c r="N619" s="121"/>
      <c r="O619" s="121"/>
      <c r="P619" s="121"/>
      <c r="Q619" s="121"/>
      <c r="R619" s="121"/>
      <c r="S619" s="121"/>
      <c r="T619" s="121"/>
      <c r="U619" s="121"/>
      <c r="V619" s="121"/>
    </row>
    <row r="620">
      <c r="A620" s="120"/>
      <c r="B620" s="123"/>
      <c r="C620" s="124"/>
      <c r="D620" s="120"/>
      <c r="E620" s="125"/>
      <c r="F620" s="120"/>
      <c r="G620" s="125"/>
      <c r="H620" s="125"/>
      <c r="I620" s="125"/>
      <c r="J620" s="120"/>
      <c r="K620" s="120"/>
      <c r="L620" s="120"/>
      <c r="M620" s="120"/>
      <c r="N620" s="121"/>
      <c r="O620" s="121"/>
      <c r="P620" s="121"/>
      <c r="Q620" s="121"/>
      <c r="R620" s="121"/>
      <c r="S620" s="121"/>
      <c r="T620" s="121"/>
      <c r="U620" s="121"/>
      <c r="V620" s="121"/>
    </row>
    <row r="621">
      <c r="A621" s="120"/>
      <c r="B621" s="123"/>
      <c r="C621" s="124"/>
      <c r="D621" s="120"/>
      <c r="E621" s="125"/>
      <c r="F621" s="120"/>
      <c r="G621" s="125"/>
      <c r="H621" s="125"/>
      <c r="I621" s="125"/>
      <c r="J621" s="120"/>
      <c r="K621" s="120"/>
      <c r="L621" s="120"/>
      <c r="M621" s="120"/>
      <c r="N621" s="121"/>
      <c r="O621" s="121"/>
      <c r="P621" s="121"/>
      <c r="Q621" s="121"/>
      <c r="R621" s="121"/>
      <c r="S621" s="121"/>
      <c r="T621" s="121"/>
      <c r="U621" s="121"/>
      <c r="V621" s="121"/>
    </row>
    <row r="622">
      <c r="A622" s="120"/>
      <c r="B622" s="123"/>
      <c r="C622" s="124"/>
      <c r="D622" s="120"/>
      <c r="E622" s="125"/>
      <c r="F622" s="120"/>
      <c r="G622" s="125"/>
      <c r="H622" s="125"/>
      <c r="I622" s="125"/>
      <c r="J622" s="120"/>
      <c r="K622" s="120"/>
      <c r="L622" s="120"/>
      <c r="M622" s="120"/>
      <c r="N622" s="121"/>
      <c r="O622" s="121"/>
      <c r="P622" s="121"/>
      <c r="Q622" s="121"/>
      <c r="R622" s="121"/>
      <c r="S622" s="121"/>
      <c r="T622" s="121"/>
      <c r="U622" s="121"/>
      <c r="V622" s="121"/>
    </row>
    <row r="623">
      <c r="A623" s="120"/>
      <c r="B623" s="123"/>
      <c r="C623" s="124"/>
      <c r="D623" s="120"/>
      <c r="E623" s="125"/>
      <c r="F623" s="120"/>
      <c r="G623" s="125"/>
      <c r="H623" s="125"/>
      <c r="I623" s="125"/>
      <c r="J623" s="120"/>
      <c r="K623" s="120"/>
      <c r="L623" s="120"/>
      <c r="M623" s="120"/>
      <c r="N623" s="121"/>
      <c r="O623" s="121"/>
      <c r="P623" s="121"/>
      <c r="Q623" s="121"/>
      <c r="R623" s="121"/>
      <c r="S623" s="121"/>
      <c r="T623" s="121"/>
      <c r="U623" s="121"/>
      <c r="V623" s="121"/>
    </row>
    <row r="624">
      <c r="A624" s="120"/>
      <c r="B624" s="123"/>
      <c r="C624" s="124"/>
      <c r="D624" s="120"/>
      <c r="E624" s="125"/>
      <c r="F624" s="120"/>
      <c r="G624" s="125"/>
      <c r="H624" s="125"/>
      <c r="I624" s="125"/>
      <c r="J624" s="120"/>
      <c r="K624" s="120"/>
      <c r="L624" s="120"/>
      <c r="M624" s="120"/>
      <c r="N624" s="121"/>
      <c r="O624" s="121"/>
      <c r="P624" s="121"/>
      <c r="Q624" s="121"/>
      <c r="R624" s="121"/>
      <c r="S624" s="121"/>
      <c r="T624" s="121"/>
      <c r="U624" s="121"/>
      <c r="V624" s="121"/>
    </row>
    <row r="625">
      <c r="A625" s="120"/>
      <c r="B625" s="123"/>
      <c r="C625" s="124"/>
      <c r="D625" s="120"/>
      <c r="E625" s="125"/>
      <c r="F625" s="120"/>
      <c r="G625" s="125"/>
      <c r="H625" s="125"/>
      <c r="I625" s="125"/>
      <c r="J625" s="120"/>
      <c r="K625" s="120"/>
      <c r="L625" s="120"/>
      <c r="M625" s="120"/>
      <c r="N625" s="121"/>
      <c r="O625" s="121"/>
      <c r="P625" s="121"/>
      <c r="Q625" s="121"/>
      <c r="R625" s="121"/>
      <c r="S625" s="121"/>
      <c r="T625" s="121"/>
      <c r="U625" s="121"/>
      <c r="V625" s="121"/>
    </row>
    <row r="626">
      <c r="A626" s="120"/>
      <c r="B626" s="123"/>
      <c r="C626" s="124"/>
      <c r="D626" s="120"/>
      <c r="E626" s="125"/>
      <c r="F626" s="120"/>
      <c r="G626" s="125"/>
      <c r="H626" s="125"/>
      <c r="I626" s="125"/>
      <c r="J626" s="120"/>
      <c r="K626" s="120"/>
      <c r="L626" s="120"/>
      <c r="M626" s="120"/>
      <c r="N626" s="121"/>
      <c r="O626" s="121"/>
      <c r="P626" s="121"/>
      <c r="Q626" s="121"/>
      <c r="R626" s="121"/>
      <c r="S626" s="121"/>
      <c r="T626" s="121"/>
      <c r="U626" s="121"/>
      <c r="V626" s="121"/>
    </row>
    <row r="627">
      <c r="A627" s="120"/>
      <c r="B627" s="123"/>
      <c r="C627" s="124"/>
      <c r="D627" s="120"/>
      <c r="E627" s="125"/>
      <c r="F627" s="120"/>
      <c r="G627" s="125"/>
      <c r="H627" s="125"/>
      <c r="I627" s="125"/>
      <c r="J627" s="120"/>
      <c r="K627" s="120"/>
      <c r="L627" s="120"/>
      <c r="M627" s="120"/>
      <c r="N627" s="121"/>
      <c r="O627" s="121"/>
      <c r="P627" s="121"/>
      <c r="Q627" s="121"/>
      <c r="R627" s="121"/>
      <c r="S627" s="121"/>
      <c r="T627" s="121"/>
      <c r="U627" s="121"/>
      <c r="V627" s="121"/>
    </row>
    <row r="628">
      <c r="A628" s="120"/>
      <c r="B628" s="123"/>
      <c r="C628" s="124"/>
      <c r="D628" s="120"/>
      <c r="E628" s="125"/>
      <c r="F628" s="120"/>
      <c r="G628" s="125"/>
      <c r="H628" s="125"/>
      <c r="I628" s="125"/>
      <c r="J628" s="120"/>
      <c r="K628" s="120"/>
      <c r="L628" s="120"/>
      <c r="M628" s="120"/>
      <c r="N628" s="121"/>
      <c r="O628" s="121"/>
      <c r="P628" s="121"/>
      <c r="Q628" s="121"/>
      <c r="R628" s="121"/>
      <c r="S628" s="121"/>
      <c r="T628" s="121"/>
      <c r="U628" s="121"/>
      <c r="V628" s="121"/>
    </row>
    <row r="629">
      <c r="A629" s="120"/>
      <c r="B629" s="123"/>
      <c r="C629" s="124"/>
      <c r="D629" s="120"/>
      <c r="E629" s="125"/>
      <c r="F629" s="120"/>
      <c r="G629" s="125"/>
      <c r="H629" s="125"/>
      <c r="I629" s="125"/>
      <c r="J629" s="120"/>
      <c r="K629" s="120"/>
      <c r="L629" s="120"/>
      <c r="M629" s="120"/>
      <c r="N629" s="121"/>
      <c r="O629" s="121"/>
      <c r="P629" s="121"/>
      <c r="Q629" s="121"/>
      <c r="R629" s="121"/>
      <c r="S629" s="121"/>
      <c r="T629" s="121"/>
      <c r="U629" s="121"/>
      <c r="V629" s="121"/>
    </row>
    <row r="630">
      <c r="A630" s="120"/>
      <c r="B630" s="123"/>
      <c r="C630" s="124"/>
      <c r="D630" s="120"/>
      <c r="E630" s="125"/>
      <c r="F630" s="120"/>
      <c r="G630" s="125"/>
      <c r="H630" s="125"/>
      <c r="I630" s="125"/>
      <c r="J630" s="120"/>
      <c r="K630" s="120"/>
      <c r="L630" s="120"/>
      <c r="M630" s="120"/>
      <c r="N630" s="121"/>
      <c r="O630" s="121"/>
      <c r="P630" s="121"/>
      <c r="Q630" s="121"/>
      <c r="R630" s="121"/>
      <c r="S630" s="121"/>
      <c r="T630" s="121"/>
      <c r="U630" s="121"/>
      <c r="V630" s="121"/>
    </row>
    <row r="631">
      <c r="A631" s="120"/>
      <c r="B631" s="123"/>
      <c r="C631" s="124"/>
      <c r="D631" s="120"/>
      <c r="E631" s="125"/>
      <c r="F631" s="120"/>
      <c r="G631" s="125"/>
      <c r="H631" s="125"/>
      <c r="I631" s="125"/>
      <c r="J631" s="120"/>
      <c r="K631" s="120"/>
      <c r="L631" s="120"/>
      <c r="M631" s="120"/>
      <c r="N631" s="121"/>
      <c r="O631" s="121"/>
      <c r="P631" s="121"/>
      <c r="Q631" s="121"/>
      <c r="R631" s="121"/>
      <c r="S631" s="121"/>
      <c r="T631" s="121"/>
      <c r="U631" s="121"/>
      <c r="V631" s="121"/>
    </row>
    <row r="632">
      <c r="A632" s="120"/>
      <c r="B632" s="123"/>
      <c r="C632" s="124"/>
      <c r="D632" s="120"/>
      <c r="E632" s="125"/>
      <c r="F632" s="120"/>
      <c r="G632" s="125"/>
      <c r="H632" s="125"/>
      <c r="I632" s="125"/>
      <c r="J632" s="120"/>
      <c r="K632" s="120"/>
      <c r="L632" s="120"/>
      <c r="M632" s="120"/>
      <c r="N632" s="121"/>
      <c r="O632" s="121"/>
      <c r="P632" s="121"/>
      <c r="Q632" s="121"/>
      <c r="R632" s="121"/>
      <c r="S632" s="121"/>
      <c r="T632" s="121"/>
      <c r="U632" s="121"/>
      <c r="V632" s="121"/>
    </row>
    <row r="633">
      <c r="A633" s="120"/>
      <c r="B633" s="123"/>
      <c r="C633" s="124"/>
      <c r="D633" s="120"/>
      <c r="E633" s="125"/>
      <c r="F633" s="120"/>
      <c r="G633" s="125"/>
      <c r="H633" s="125"/>
      <c r="I633" s="125"/>
      <c r="J633" s="120"/>
      <c r="K633" s="120"/>
      <c r="L633" s="120"/>
      <c r="M633" s="120"/>
      <c r="N633" s="121"/>
      <c r="O633" s="121"/>
      <c r="P633" s="121"/>
      <c r="Q633" s="121"/>
      <c r="R633" s="121"/>
      <c r="S633" s="121"/>
      <c r="T633" s="121"/>
      <c r="U633" s="121"/>
      <c r="V633" s="121"/>
    </row>
    <row r="634">
      <c r="A634" s="120"/>
      <c r="B634" s="123"/>
      <c r="C634" s="124"/>
      <c r="D634" s="120"/>
      <c r="E634" s="125"/>
      <c r="F634" s="120"/>
      <c r="G634" s="125"/>
      <c r="H634" s="125"/>
      <c r="I634" s="125"/>
      <c r="J634" s="120"/>
      <c r="K634" s="120"/>
      <c r="L634" s="120"/>
      <c r="M634" s="120"/>
      <c r="N634" s="121"/>
      <c r="O634" s="121"/>
      <c r="P634" s="121"/>
      <c r="Q634" s="121"/>
      <c r="R634" s="121"/>
      <c r="S634" s="121"/>
      <c r="T634" s="121"/>
      <c r="U634" s="121"/>
      <c r="V634" s="121"/>
    </row>
    <row r="635">
      <c r="A635" s="120"/>
      <c r="B635" s="123"/>
      <c r="C635" s="124"/>
      <c r="D635" s="120"/>
      <c r="E635" s="125"/>
      <c r="F635" s="120"/>
      <c r="G635" s="125"/>
      <c r="H635" s="125"/>
      <c r="I635" s="125"/>
      <c r="J635" s="120"/>
      <c r="K635" s="120"/>
      <c r="L635" s="120"/>
      <c r="M635" s="120"/>
      <c r="N635" s="121"/>
      <c r="O635" s="121"/>
      <c r="P635" s="121"/>
      <c r="Q635" s="121"/>
      <c r="R635" s="121"/>
      <c r="S635" s="121"/>
      <c r="T635" s="121"/>
      <c r="U635" s="121"/>
      <c r="V635" s="121"/>
    </row>
    <row r="636">
      <c r="A636" s="120"/>
      <c r="B636" s="123"/>
      <c r="C636" s="124"/>
      <c r="D636" s="120"/>
      <c r="E636" s="125"/>
      <c r="F636" s="120"/>
      <c r="G636" s="125"/>
      <c r="H636" s="125"/>
      <c r="I636" s="125"/>
      <c r="J636" s="120"/>
      <c r="K636" s="120"/>
      <c r="L636" s="120"/>
      <c r="M636" s="120"/>
      <c r="N636" s="121"/>
      <c r="O636" s="121"/>
      <c r="P636" s="121"/>
      <c r="Q636" s="121"/>
      <c r="R636" s="121"/>
      <c r="S636" s="121"/>
      <c r="T636" s="121"/>
      <c r="U636" s="121"/>
      <c r="V636" s="121"/>
    </row>
    <row r="637">
      <c r="A637" s="120"/>
      <c r="B637" s="123"/>
      <c r="C637" s="124"/>
      <c r="D637" s="120"/>
      <c r="E637" s="125"/>
      <c r="F637" s="120"/>
      <c r="G637" s="125"/>
      <c r="H637" s="125"/>
      <c r="I637" s="125"/>
      <c r="J637" s="120"/>
      <c r="K637" s="120"/>
      <c r="L637" s="120"/>
      <c r="M637" s="120"/>
      <c r="N637" s="121"/>
      <c r="O637" s="121"/>
      <c r="P637" s="121"/>
      <c r="Q637" s="121"/>
      <c r="R637" s="121"/>
      <c r="S637" s="121"/>
      <c r="T637" s="121"/>
      <c r="U637" s="121"/>
      <c r="V637" s="121"/>
    </row>
    <row r="638">
      <c r="A638" s="120"/>
      <c r="B638" s="123"/>
      <c r="C638" s="124"/>
      <c r="D638" s="120"/>
      <c r="E638" s="125"/>
      <c r="F638" s="120"/>
      <c r="G638" s="125"/>
      <c r="H638" s="125"/>
      <c r="I638" s="125"/>
      <c r="J638" s="120"/>
      <c r="K638" s="120"/>
      <c r="L638" s="120"/>
      <c r="M638" s="120"/>
      <c r="N638" s="121"/>
      <c r="O638" s="121"/>
      <c r="P638" s="121"/>
      <c r="Q638" s="121"/>
      <c r="R638" s="121"/>
      <c r="S638" s="121"/>
      <c r="T638" s="121"/>
      <c r="U638" s="121"/>
      <c r="V638" s="121"/>
    </row>
    <row r="639">
      <c r="A639" s="120"/>
      <c r="B639" s="123"/>
      <c r="C639" s="124"/>
      <c r="D639" s="120"/>
      <c r="E639" s="125"/>
      <c r="F639" s="120"/>
      <c r="G639" s="125"/>
      <c r="H639" s="125"/>
      <c r="I639" s="125"/>
      <c r="J639" s="120"/>
      <c r="K639" s="120"/>
      <c r="L639" s="120"/>
      <c r="M639" s="120"/>
      <c r="N639" s="121"/>
      <c r="O639" s="121"/>
      <c r="P639" s="121"/>
      <c r="Q639" s="121"/>
      <c r="R639" s="121"/>
      <c r="S639" s="121"/>
      <c r="T639" s="121"/>
      <c r="U639" s="121"/>
      <c r="V639" s="121"/>
    </row>
    <row r="640">
      <c r="A640" s="120"/>
      <c r="B640" s="123"/>
      <c r="C640" s="124"/>
      <c r="D640" s="120"/>
      <c r="E640" s="125"/>
      <c r="F640" s="120"/>
      <c r="G640" s="125"/>
      <c r="H640" s="125"/>
      <c r="I640" s="125"/>
      <c r="J640" s="120"/>
      <c r="K640" s="120"/>
      <c r="L640" s="120"/>
      <c r="M640" s="120"/>
      <c r="N640" s="121"/>
      <c r="O640" s="121"/>
      <c r="P640" s="121"/>
      <c r="Q640" s="121"/>
      <c r="R640" s="121"/>
      <c r="S640" s="121"/>
      <c r="T640" s="121"/>
      <c r="U640" s="121"/>
      <c r="V640" s="121"/>
    </row>
    <row r="641">
      <c r="A641" s="120"/>
      <c r="B641" s="123"/>
      <c r="C641" s="124"/>
      <c r="D641" s="120"/>
      <c r="E641" s="125"/>
      <c r="F641" s="120"/>
      <c r="G641" s="125"/>
      <c r="H641" s="125"/>
      <c r="I641" s="125"/>
      <c r="J641" s="120"/>
      <c r="K641" s="120"/>
      <c r="L641" s="120"/>
      <c r="M641" s="120"/>
      <c r="N641" s="121"/>
      <c r="O641" s="121"/>
      <c r="P641" s="121"/>
      <c r="Q641" s="121"/>
      <c r="R641" s="121"/>
      <c r="S641" s="121"/>
      <c r="T641" s="121"/>
      <c r="U641" s="121"/>
      <c r="V641" s="121"/>
    </row>
    <row r="642">
      <c r="A642" s="120"/>
      <c r="B642" s="123"/>
      <c r="C642" s="124"/>
      <c r="D642" s="120"/>
      <c r="E642" s="125"/>
      <c r="F642" s="120"/>
      <c r="G642" s="125"/>
      <c r="H642" s="125"/>
      <c r="I642" s="125"/>
      <c r="J642" s="120"/>
      <c r="K642" s="120"/>
      <c r="L642" s="120"/>
      <c r="M642" s="120"/>
      <c r="N642" s="121"/>
      <c r="O642" s="121"/>
      <c r="P642" s="121"/>
      <c r="Q642" s="121"/>
      <c r="R642" s="121"/>
      <c r="S642" s="121"/>
      <c r="T642" s="121"/>
      <c r="U642" s="121"/>
      <c r="V642" s="121"/>
    </row>
    <row r="643">
      <c r="A643" s="120"/>
      <c r="B643" s="123"/>
      <c r="C643" s="124"/>
      <c r="D643" s="120"/>
      <c r="E643" s="125"/>
      <c r="F643" s="120"/>
      <c r="G643" s="125"/>
      <c r="H643" s="125"/>
      <c r="I643" s="125"/>
      <c r="J643" s="120"/>
      <c r="K643" s="120"/>
      <c r="L643" s="120"/>
      <c r="M643" s="120"/>
      <c r="N643" s="121"/>
      <c r="O643" s="121"/>
      <c r="P643" s="121"/>
      <c r="Q643" s="121"/>
      <c r="R643" s="121"/>
      <c r="S643" s="121"/>
      <c r="T643" s="121"/>
      <c r="U643" s="121"/>
      <c r="V643" s="121"/>
    </row>
    <row r="644">
      <c r="A644" s="120"/>
      <c r="B644" s="123"/>
      <c r="C644" s="124"/>
      <c r="D644" s="120"/>
      <c r="E644" s="125"/>
      <c r="F644" s="120"/>
      <c r="G644" s="125"/>
      <c r="H644" s="125"/>
      <c r="I644" s="125"/>
      <c r="J644" s="120"/>
      <c r="K644" s="120"/>
      <c r="L644" s="120"/>
      <c r="M644" s="120"/>
      <c r="N644" s="121"/>
      <c r="O644" s="121"/>
      <c r="P644" s="121"/>
      <c r="Q644" s="121"/>
      <c r="R644" s="121"/>
      <c r="S644" s="121"/>
      <c r="T644" s="121"/>
      <c r="U644" s="121"/>
      <c r="V644" s="121"/>
    </row>
    <row r="645">
      <c r="A645" s="120"/>
      <c r="B645" s="123"/>
      <c r="C645" s="124"/>
      <c r="D645" s="120"/>
      <c r="E645" s="125"/>
      <c r="F645" s="120"/>
      <c r="G645" s="125"/>
      <c r="H645" s="125"/>
      <c r="I645" s="125"/>
      <c r="J645" s="120"/>
      <c r="K645" s="120"/>
      <c r="L645" s="120"/>
      <c r="M645" s="120"/>
      <c r="N645" s="121"/>
      <c r="O645" s="121"/>
      <c r="P645" s="121"/>
      <c r="Q645" s="121"/>
      <c r="R645" s="121"/>
      <c r="S645" s="121"/>
      <c r="T645" s="121"/>
      <c r="U645" s="121"/>
      <c r="V645" s="121"/>
    </row>
    <row r="646">
      <c r="A646" s="120"/>
      <c r="B646" s="123"/>
      <c r="C646" s="124"/>
      <c r="D646" s="120"/>
      <c r="E646" s="125"/>
      <c r="F646" s="120"/>
      <c r="G646" s="125"/>
      <c r="H646" s="125"/>
      <c r="I646" s="125"/>
      <c r="J646" s="120"/>
      <c r="K646" s="120"/>
      <c r="L646" s="120"/>
      <c r="M646" s="120"/>
      <c r="N646" s="121"/>
      <c r="O646" s="121"/>
      <c r="P646" s="121"/>
      <c r="Q646" s="121"/>
      <c r="R646" s="121"/>
      <c r="S646" s="121"/>
      <c r="T646" s="121"/>
      <c r="U646" s="121"/>
      <c r="V646" s="121"/>
    </row>
    <row r="647">
      <c r="A647" s="120"/>
      <c r="B647" s="123"/>
      <c r="C647" s="124"/>
      <c r="D647" s="120"/>
      <c r="E647" s="125"/>
      <c r="F647" s="120"/>
      <c r="G647" s="125"/>
      <c r="H647" s="125"/>
      <c r="I647" s="125"/>
      <c r="J647" s="120"/>
      <c r="K647" s="120"/>
      <c r="L647" s="120"/>
      <c r="M647" s="120"/>
      <c r="N647" s="121"/>
      <c r="O647" s="121"/>
      <c r="P647" s="121"/>
      <c r="Q647" s="121"/>
      <c r="R647" s="121"/>
      <c r="S647" s="121"/>
      <c r="T647" s="121"/>
      <c r="U647" s="121"/>
      <c r="V647" s="121"/>
    </row>
    <row r="648">
      <c r="A648" s="120"/>
      <c r="B648" s="123"/>
      <c r="C648" s="124"/>
      <c r="D648" s="120"/>
      <c r="E648" s="125"/>
      <c r="F648" s="120"/>
      <c r="G648" s="125"/>
      <c r="H648" s="125"/>
      <c r="I648" s="125"/>
      <c r="J648" s="120"/>
      <c r="K648" s="120"/>
      <c r="L648" s="120"/>
      <c r="M648" s="120"/>
      <c r="N648" s="121"/>
      <c r="O648" s="121"/>
      <c r="P648" s="121"/>
      <c r="Q648" s="121"/>
      <c r="R648" s="121"/>
      <c r="S648" s="121"/>
      <c r="T648" s="121"/>
      <c r="U648" s="121"/>
      <c r="V648" s="121"/>
    </row>
    <row r="649">
      <c r="A649" s="120"/>
      <c r="B649" s="123"/>
      <c r="C649" s="124"/>
      <c r="D649" s="120"/>
      <c r="E649" s="125"/>
      <c r="F649" s="120"/>
      <c r="G649" s="125"/>
      <c r="H649" s="125"/>
      <c r="I649" s="125"/>
      <c r="J649" s="120"/>
      <c r="K649" s="120"/>
      <c r="L649" s="120"/>
      <c r="M649" s="120"/>
      <c r="N649" s="121"/>
      <c r="O649" s="121"/>
      <c r="P649" s="121"/>
      <c r="Q649" s="121"/>
      <c r="R649" s="121"/>
      <c r="S649" s="121"/>
      <c r="T649" s="121"/>
      <c r="U649" s="121"/>
      <c r="V649" s="121"/>
    </row>
    <row r="650">
      <c r="A650" s="120"/>
      <c r="B650" s="123"/>
      <c r="C650" s="124"/>
      <c r="D650" s="120"/>
      <c r="E650" s="125"/>
      <c r="F650" s="120"/>
      <c r="G650" s="125"/>
      <c r="H650" s="125"/>
      <c r="I650" s="125"/>
      <c r="J650" s="120"/>
      <c r="K650" s="120"/>
      <c r="L650" s="120"/>
      <c r="M650" s="120"/>
      <c r="N650" s="121"/>
      <c r="O650" s="121"/>
      <c r="P650" s="121"/>
      <c r="Q650" s="121"/>
      <c r="R650" s="121"/>
      <c r="S650" s="121"/>
      <c r="T650" s="121"/>
      <c r="U650" s="121"/>
      <c r="V650" s="121"/>
    </row>
    <row r="651">
      <c r="A651" s="120"/>
      <c r="B651" s="123"/>
      <c r="C651" s="124"/>
      <c r="D651" s="120"/>
      <c r="E651" s="125"/>
      <c r="F651" s="120"/>
      <c r="G651" s="125"/>
      <c r="H651" s="125"/>
      <c r="I651" s="125"/>
      <c r="J651" s="120"/>
      <c r="K651" s="120"/>
      <c r="L651" s="120"/>
      <c r="M651" s="120"/>
      <c r="N651" s="121"/>
      <c r="O651" s="121"/>
      <c r="P651" s="121"/>
      <c r="Q651" s="121"/>
      <c r="R651" s="121"/>
      <c r="S651" s="121"/>
      <c r="T651" s="121"/>
      <c r="U651" s="121"/>
      <c r="V651" s="121"/>
    </row>
    <row r="652">
      <c r="A652" s="120"/>
      <c r="B652" s="123"/>
      <c r="C652" s="124"/>
      <c r="D652" s="120"/>
      <c r="E652" s="125"/>
      <c r="F652" s="120"/>
      <c r="G652" s="125"/>
      <c r="H652" s="125"/>
      <c r="I652" s="125"/>
      <c r="J652" s="120"/>
      <c r="K652" s="120"/>
      <c r="L652" s="120"/>
      <c r="M652" s="120"/>
      <c r="N652" s="121"/>
      <c r="O652" s="121"/>
      <c r="P652" s="121"/>
      <c r="Q652" s="121"/>
      <c r="R652" s="121"/>
      <c r="S652" s="121"/>
      <c r="T652" s="121"/>
      <c r="U652" s="121"/>
      <c r="V652" s="121"/>
    </row>
    <row r="653">
      <c r="A653" s="120"/>
      <c r="B653" s="123"/>
      <c r="C653" s="124"/>
      <c r="D653" s="120"/>
      <c r="E653" s="125"/>
      <c r="F653" s="120"/>
      <c r="G653" s="125"/>
      <c r="H653" s="125"/>
      <c r="I653" s="125"/>
      <c r="J653" s="120"/>
      <c r="K653" s="120"/>
      <c r="L653" s="120"/>
      <c r="M653" s="120"/>
      <c r="N653" s="121"/>
      <c r="O653" s="121"/>
      <c r="P653" s="121"/>
      <c r="Q653" s="121"/>
      <c r="R653" s="121"/>
      <c r="S653" s="121"/>
      <c r="T653" s="121"/>
      <c r="U653" s="121"/>
      <c r="V653" s="121"/>
    </row>
    <row r="654">
      <c r="A654" s="120"/>
      <c r="B654" s="123"/>
      <c r="C654" s="124"/>
      <c r="D654" s="120"/>
      <c r="E654" s="125"/>
      <c r="F654" s="120"/>
      <c r="G654" s="125"/>
      <c r="H654" s="125"/>
      <c r="I654" s="125"/>
      <c r="J654" s="120"/>
      <c r="K654" s="120"/>
      <c r="L654" s="120"/>
      <c r="M654" s="120"/>
      <c r="N654" s="121"/>
      <c r="O654" s="121"/>
      <c r="P654" s="121"/>
      <c r="Q654" s="121"/>
      <c r="R654" s="121"/>
      <c r="S654" s="121"/>
      <c r="T654" s="121"/>
      <c r="U654" s="121"/>
      <c r="V654" s="121"/>
    </row>
    <row r="655">
      <c r="A655" s="120"/>
      <c r="B655" s="123"/>
      <c r="C655" s="124"/>
      <c r="D655" s="120"/>
      <c r="E655" s="122"/>
      <c r="F655" s="120"/>
      <c r="G655" s="122"/>
      <c r="H655" s="122"/>
      <c r="I655" s="122"/>
      <c r="J655" s="120"/>
      <c r="K655" s="120"/>
      <c r="L655" s="120"/>
      <c r="M655" s="120"/>
      <c r="N655" s="121"/>
      <c r="O655" s="121"/>
      <c r="P655" s="121"/>
      <c r="Q655" s="121"/>
      <c r="R655" s="121"/>
      <c r="S655" s="121"/>
      <c r="T655" s="121"/>
      <c r="U655" s="121"/>
      <c r="V655" s="121"/>
    </row>
    <row r="656">
      <c r="A656" s="120"/>
      <c r="B656" s="123"/>
      <c r="C656" s="124"/>
      <c r="D656" s="120"/>
      <c r="E656" s="122"/>
      <c r="F656" s="120"/>
      <c r="G656" s="122"/>
      <c r="H656" s="122"/>
      <c r="I656" s="122"/>
      <c r="J656" s="120"/>
      <c r="K656" s="120"/>
      <c r="L656" s="120"/>
      <c r="M656" s="120"/>
      <c r="N656" s="121"/>
      <c r="O656" s="121"/>
      <c r="P656" s="121"/>
      <c r="Q656" s="121"/>
      <c r="R656" s="121"/>
      <c r="S656" s="121"/>
      <c r="T656" s="121"/>
      <c r="U656" s="121"/>
      <c r="V656" s="121"/>
    </row>
    <row r="657">
      <c r="A657" s="120"/>
      <c r="B657" s="123"/>
      <c r="C657" s="124"/>
      <c r="D657" s="120"/>
      <c r="E657" s="122"/>
      <c r="F657" s="120"/>
      <c r="G657" s="122"/>
      <c r="H657" s="122"/>
      <c r="I657" s="122"/>
      <c r="J657" s="120"/>
      <c r="K657" s="120"/>
      <c r="L657" s="120"/>
      <c r="M657" s="120"/>
      <c r="N657" s="121"/>
      <c r="O657" s="121"/>
      <c r="P657" s="121"/>
      <c r="Q657" s="121"/>
      <c r="R657" s="121"/>
      <c r="S657" s="121"/>
      <c r="T657" s="121"/>
      <c r="U657" s="121"/>
      <c r="V657" s="121"/>
    </row>
    <row r="658">
      <c r="A658" s="120"/>
      <c r="B658" s="123"/>
      <c r="C658" s="124"/>
      <c r="D658" s="120"/>
      <c r="E658" s="122"/>
      <c r="F658" s="120"/>
      <c r="G658" s="122"/>
      <c r="H658" s="122"/>
      <c r="I658" s="122"/>
      <c r="J658" s="120"/>
      <c r="K658" s="120"/>
      <c r="L658" s="120"/>
      <c r="M658" s="120"/>
      <c r="N658" s="121"/>
      <c r="O658" s="121"/>
      <c r="P658" s="121"/>
      <c r="Q658" s="121"/>
      <c r="R658" s="121"/>
      <c r="S658" s="121"/>
      <c r="T658" s="121"/>
      <c r="U658" s="121"/>
      <c r="V658" s="121"/>
    </row>
    <row r="659">
      <c r="A659" s="120"/>
      <c r="B659" s="123"/>
      <c r="C659" s="124"/>
      <c r="D659" s="120"/>
      <c r="E659" s="122"/>
      <c r="F659" s="120"/>
      <c r="G659" s="122"/>
      <c r="H659" s="122"/>
      <c r="I659" s="122"/>
      <c r="J659" s="120"/>
      <c r="K659" s="120"/>
      <c r="L659" s="120"/>
      <c r="M659" s="120"/>
      <c r="N659" s="121"/>
      <c r="O659" s="121"/>
      <c r="P659" s="121"/>
      <c r="Q659" s="121"/>
      <c r="R659" s="121"/>
      <c r="S659" s="121"/>
      <c r="T659" s="121"/>
      <c r="U659" s="121"/>
      <c r="V659" s="121"/>
    </row>
    <row r="660">
      <c r="A660" s="120"/>
      <c r="B660" s="123"/>
      <c r="C660" s="124"/>
      <c r="D660" s="120"/>
      <c r="E660" s="122"/>
      <c r="F660" s="120"/>
      <c r="G660" s="122"/>
      <c r="H660" s="122"/>
      <c r="I660" s="122"/>
      <c r="J660" s="120"/>
      <c r="K660" s="120"/>
      <c r="L660" s="120"/>
      <c r="M660" s="120"/>
      <c r="N660" s="121"/>
      <c r="O660" s="121"/>
      <c r="P660" s="121"/>
      <c r="Q660" s="121"/>
      <c r="R660" s="121"/>
      <c r="S660" s="121"/>
      <c r="T660" s="121"/>
      <c r="U660" s="121"/>
      <c r="V660" s="121"/>
    </row>
    <row r="661">
      <c r="A661" s="120"/>
      <c r="B661" s="123"/>
      <c r="C661" s="124"/>
      <c r="D661" s="120"/>
      <c r="E661" s="122"/>
      <c r="F661" s="120"/>
      <c r="G661" s="122"/>
      <c r="H661" s="122"/>
      <c r="I661" s="122"/>
      <c r="J661" s="120"/>
      <c r="K661" s="120"/>
      <c r="L661" s="120"/>
      <c r="M661" s="120"/>
      <c r="N661" s="121"/>
      <c r="O661" s="121"/>
      <c r="P661" s="121"/>
      <c r="Q661" s="121"/>
      <c r="R661" s="121"/>
      <c r="S661" s="121"/>
      <c r="T661" s="121"/>
      <c r="U661" s="121"/>
      <c r="V661" s="121"/>
    </row>
    <row r="662">
      <c r="A662" s="120"/>
      <c r="B662" s="123"/>
      <c r="C662" s="124"/>
      <c r="D662" s="120"/>
      <c r="E662" s="122"/>
      <c r="F662" s="120"/>
      <c r="G662" s="122"/>
      <c r="H662" s="122"/>
      <c r="I662" s="122"/>
      <c r="J662" s="120"/>
      <c r="K662" s="120"/>
      <c r="L662" s="120"/>
      <c r="M662" s="120"/>
      <c r="N662" s="121"/>
      <c r="O662" s="121"/>
      <c r="P662" s="121"/>
      <c r="Q662" s="121"/>
      <c r="R662" s="121"/>
      <c r="S662" s="121"/>
      <c r="T662" s="121"/>
      <c r="U662" s="121"/>
      <c r="V662" s="121"/>
    </row>
    <row r="663">
      <c r="A663" s="120"/>
      <c r="B663" s="123"/>
      <c r="C663" s="124"/>
      <c r="D663" s="120"/>
      <c r="E663" s="122"/>
      <c r="F663" s="120"/>
      <c r="G663" s="122"/>
      <c r="H663" s="122"/>
      <c r="I663" s="122"/>
      <c r="J663" s="120"/>
      <c r="K663" s="120"/>
      <c r="L663" s="120"/>
      <c r="M663" s="120"/>
      <c r="N663" s="121"/>
      <c r="O663" s="121"/>
      <c r="P663" s="121"/>
      <c r="Q663" s="121"/>
      <c r="R663" s="121"/>
      <c r="S663" s="121"/>
      <c r="T663" s="121"/>
      <c r="U663" s="121"/>
      <c r="V663" s="121"/>
    </row>
    <row r="664">
      <c r="A664" s="120"/>
      <c r="B664" s="123"/>
      <c r="C664" s="124"/>
      <c r="D664" s="120"/>
      <c r="E664" s="122"/>
      <c r="F664" s="120"/>
      <c r="G664" s="122"/>
      <c r="H664" s="122"/>
      <c r="I664" s="122"/>
      <c r="J664" s="120"/>
      <c r="K664" s="120"/>
      <c r="L664" s="120"/>
      <c r="M664" s="120"/>
      <c r="N664" s="121"/>
      <c r="O664" s="121"/>
      <c r="P664" s="121"/>
      <c r="Q664" s="121"/>
      <c r="R664" s="121"/>
      <c r="S664" s="121"/>
      <c r="T664" s="121"/>
      <c r="U664" s="121"/>
      <c r="V664" s="121"/>
    </row>
    <row r="665">
      <c r="A665" s="120"/>
      <c r="B665" s="123"/>
      <c r="C665" s="124"/>
      <c r="D665" s="120"/>
      <c r="E665" s="122"/>
      <c r="F665" s="120"/>
      <c r="G665" s="122"/>
      <c r="H665" s="122"/>
      <c r="I665" s="122"/>
      <c r="J665" s="120"/>
      <c r="K665" s="120"/>
      <c r="L665" s="120"/>
      <c r="M665" s="120"/>
      <c r="N665" s="121"/>
      <c r="O665" s="121"/>
      <c r="P665" s="121"/>
      <c r="Q665" s="121"/>
      <c r="R665" s="121"/>
      <c r="S665" s="121"/>
      <c r="T665" s="121"/>
      <c r="U665" s="121"/>
      <c r="V665" s="121"/>
    </row>
    <row r="666">
      <c r="A666" s="120"/>
      <c r="B666" s="123"/>
      <c r="C666" s="124"/>
      <c r="D666" s="120"/>
      <c r="E666" s="122"/>
      <c r="F666" s="120"/>
      <c r="G666" s="122"/>
      <c r="H666" s="122"/>
      <c r="I666" s="122"/>
      <c r="J666" s="120"/>
      <c r="K666" s="120"/>
      <c r="L666" s="120"/>
      <c r="M666" s="120"/>
      <c r="N666" s="121"/>
      <c r="O666" s="121"/>
      <c r="P666" s="121"/>
      <c r="Q666" s="121"/>
      <c r="R666" s="121"/>
      <c r="S666" s="121"/>
      <c r="T666" s="121"/>
      <c r="U666" s="121"/>
      <c r="V666" s="121"/>
    </row>
    <row r="667">
      <c r="A667" s="120"/>
      <c r="B667" s="123"/>
      <c r="C667" s="124"/>
      <c r="D667" s="120"/>
      <c r="E667" s="122"/>
      <c r="F667" s="120"/>
      <c r="G667" s="122"/>
      <c r="H667" s="122"/>
      <c r="I667" s="122"/>
      <c r="J667" s="120"/>
      <c r="K667" s="120"/>
      <c r="L667" s="120"/>
      <c r="M667" s="120"/>
      <c r="N667" s="121"/>
      <c r="O667" s="121"/>
      <c r="P667" s="121"/>
      <c r="Q667" s="121"/>
      <c r="R667" s="121"/>
      <c r="S667" s="121"/>
      <c r="T667" s="121"/>
      <c r="U667" s="121"/>
      <c r="V667" s="121"/>
    </row>
    <row r="668">
      <c r="A668" s="120"/>
      <c r="B668" s="123"/>
      <c r="C668" s="124"/>
      <c r="D668" s="120"/>
      <c r="E668" s="122"/>
      <c r="F668" s="120"/>
      <c r="G668" s="122"/>
      <c r="H668" s="122"/>
      <c r="I668" s="122"/>
      <c r="J668" s="120"/>
      <c r="K668" s="120"/>
      <c r="L668" s="120"/>
      <c r="M668" s="120"/>
      <c r="N668" s="121"/>
      <c r="O668" s="121"/>
      <c r="P668" s="121"/>
      <c r="Q668" s="121"/>
      <c r="R668" s="121"/>
      <c r="S668" s="121"/>
      <c r="T668" s="121"/>
      <c r="U668" s="121"/>
      <c r="V668" s="121"/>
    </row>
    <row r="669">
      <c r="A669" s="120"/>
      <c r="B669" s="123"/>
      <c r="C669" s="124"/>
      <c r="D669" s="120"/>
      <c r="E669" s="122"/>
      <c r="F669" s="120"/>
      <c r="G669" s="122"/>
      <c r="H669" s="122"/>
      <c r="I669" s="122"/>
      <c r="J669" s="120"/>
      <c r="K669" s="120"/>
      <c r="L669" s="120"/>
      <c r="M669" s="120"/>
      <c r="N669" s="121"/>
      <c r="O669" s="121"/>
      <c r="P669" s="121"/>
      <c r="Q669" s="121"/>
      <c r="R669" s="121"/>
      <c r="S669" s="121"/>
      <c r="T669" s="121"/>
      <c r="U669" s="121"/>
      <c r="V669" s="121"/>
    </row>
    <row r="670">
      <c r="A670" s="120"/>
      <c r="B670" s="123"/>
      <c r="C670" s="124"/>
      <c r="D670" s="120"/>
      <c r="E670" s="122"/>
      <c r="F670" s="120"/>
      <c r="G670" s="122"/>
      <c r="H670" s="122"/>
      <c r="I670" s="122"/>
      <c r="J670" s="120"/>
      <c r="K670" s="120"/>
      <c r="L670" s="120"/>
      <c r="M670" s="120"/>
      <c r="N670" s="121"/>
      <c r="O670" s="121"/>
      <c r="P670" s="121"/>
      <c r="Q670" s="121"/>
      <c r="R670" s="121"/>
      <c r="S670" s="121"/>
      <c r="T670" s="121"/>
      <c r="U670" s="121"/>
      <c r="V670" s="121"/>
    </row>
    <row r="671">
      <c r="A671" s="120"/>
      <c r="B671" s="123"/>
      <c r="C671" s="124"/>
      <c r="D671" s="120"/>
      <c r="E671" s="122"/>
      <c r="F671" s="120"/>
      <c r="G671" s="122"/>
      <c r="H671" s="122"/>
      <c r="I671" s="122"/>
      <c r="J671" s="120"/>
      <c r="K671" s="120"/>
      <c r="L671" s="120"/>
      <c r="M671" s="120"/>
      <c r="N671" s="121"/>
      <c r="O671" s="121"/>
      <c r="P671" s="121"/>
      <c r="Q671" s="121"/>
      <c r="R671" s="121"/>
      <c r="S671" s="121"/>
      <c r="T671" s="121"/>
      <c r="U671" s="121"/>
      <c r="V671" s="121"/>
    </row>
    <row r="672">
      <c r="A672" s="120"/>
      <c r="B672" s="123"/>
      <c r="C672" s="124"/>
      <c r="D672" s="120"/>
      <c r="E672" s="122"/>
      <c r="F672" s="120"/>
      <c r="G672" s="122"/>
      <c r="H672" s="122"/>
      <c r="I672" s="122"/>
      <c r="J672" s="120"/>
      <c r="K672" s="120"/>
      <c r="L672" s="120"/>
      <c r="M672" s="120"/>
      <c r="N672" s="121"/>
      <c r="O672" s="121"/>
      <c r="P672" s="121"/>
      <c r="Q672" s="121"/>
      <c r="R672" s="121"/>
      <c r="S672" s="121"/>
      <c r="T672" s="121"/>
      <c r="U672" s="121"/>
      <c r="V672" s="121"/>
    </row>
    <row r="673">
      <c r="A673" s="120"/>
      <c r="B673" s="123"/>
      <c r="C673" s="124"/>
      <c r="D673" s="120"/>
      <c r="E673" s="122"/>
      <c r="F673" s="120"/>
      <c r="G673" s="122"/>
      <c r="H673" s="122"/>
      <c r="I673" s="122"/>
      <c r="J673" s="120"/>
      <c r="K673" s="120"/>
      <c r="L673" s="120"/>
      <c r="M673" s="120"/>
      <c r="N673" s="121"/>
      <c r="O673" s="121"/>
      <c r="P673" s="121"/>
      <c r="Q673" s="121"/>
      <c r="R673" s="121"/>
      <c r="S673" s="121"/>
      <c r="T673" s="121"/>
      <c r="U673" s="121"/>
      <c r="V673" s="121"/>
    </row>
    <row r="674">
      <c r="A674" s="120"/>
      <c r="B674" s="123"/>
      <c r="C674" s="124"/>
      <c r="D674" s="120"/>
      <c r="E674" s="125"/>
      <c r="F674" s="120"/>
      <c r="G674" s="125"/>
      <c r="H674" s="125"/>
      <c r="I674" s="125"/>
      <c r="J674" s="120"/>
      <c r="K674" s="120"/>
      <c r="L674" s="120"/>
      <c r="M674" s="120"/>
      <c r="N674" s="121"/>
      <c r="O674" s="121"/>
      <c r="P674" s="121"/>
      <c r="Q674" s="121"/>
      <c r="R674" s="121"/>
      <c r="S674" s="121"/>
      <c r="T674" s="121"/>
      <c r="U674" s="121"/>
      <c r="V674" s="121"/>
    </row>
    <row r="675">
      <c r="A675" s="120"/>
      <c r="B675" s="123"/>
      <c r="C675" s="124"/>
      <c r="D675" s="120"/>
      <c r="E675" s="125"/>
      <c r="F675" s="120"/>
      <c r="G675" s="125"/>
      <c r="H675" s="125"/>
      <c r="I675" s="125"/>
      <c r="J675" s="120"/>
      <c r="K675" s="120"/>
      <c r="L675" s="120"/>
      <c r="M675" s="120"/>
      <c r="N675" s="121"/>
      <c r="O675" s="121"/>
      <c r="P675" s="121"/>
      <c r="Q675" s="121"/>
      <c r="R675" s="121"/>
      <c r="S675" s="121"/>
      <c r="T675" s="121"/>
      <c r="U675" s="121"/>
      <c r="V675" s="121"/>
    </row>
    <row r="676">
      <c r="A676" s="120"/>
      <c r="B676" s="123"/>
      <c r="C676" s="124"/>
      <c r="D676" s="120"/>
      <c r="E676" s="125"/>
      <c r="F676" s="120"/>
      <c r="G676" s="125"/>
      <c r="H676" s="125"/>
      <c r="I676" s="125"/>
      <c r="J676" s="120"/>
      <c r="K676" s="120"/>
      <c r="L676" s="120"/>
      <c r="M676" s="120"/>
      <c r="N676" s="121"/>
      <c r="O676" s="121"/>
      <c r="P676" s="121"/>
      <c r="Q676" s="121"/>
      <c r="R676" s="121"/>
      <c r="S676" s="121"/>
      <c r="T676" s="121"/>
      <c r="U676" s="121"/>
      <c r="V676" s="121"/>
    </row>
    <row r="677">
      <c r="A677" s="120"/>
      <c r="B677" s="123"/>
      <c r="C677" s="124"/>
      <c r="D677" s="120"/>
      <c r="E677" s="125"/>
      <c r="F677" s="120"/>
      <c r="G677" s="125"/>
      <c r="H677" s="125"/>
      <c r="I677" s="125"/>
      <c r="J677" s="120"/>
      <c r="K677" s="120"/>
      <c r="L677" s="120"/>
      <c r="M677" s="120"/>
      <c r="N677" s="121"/>
      <c r="O677" s="121"/>
      <c r="P677" s="121"/>
      <c r="Q677" s="121"/>
      <c r="R677" s="121"/>
      <c r="S677" s="121"/>
      <c r="T677" s="121"/>
      <c r="U677" s="121"/>
      <c r="V677" s="121"/>
    </row>
    <row r="678">
      <c r="A678" s="120"/>
      <c r="B678" s="123"/>
      <c r="C678" s="124"/>
      <c r="D678" s="120"/>
      <c r="E678" s="125"/>
      <c r="F678" s="120"/>
      <c r="G678" s="125"/>
      <c r="H678" s="125"/>
      <c r="I678" s="125"/>
      <c r="J678" s="120"/>
      <c r="K678" s="120"/>
      <c r="L678" s="120"/>
      <c r="M678" s="120"/>
      <c r="N678" s="121"/>
      <c r="O678" s="121"/>
      <c r="P678" s="121"/>
      <c r="Q678" s="121"/>
      <c r="R678" s="121"/>
      <c r="S678" s="121"/>
      <c r="T678" s="121"/>
      <c r="U678" s="121"/>
      <c r="V678" s="121"/>
    </row>
    <row r="679">
      <c r="A679" s="120"/>
      <c r="B679" s="123"/>
      <c r="C679" s="124"/>
      <c r="D679" s="120"/>
      <c r="E679" s="125"/>
      <c r="F679" s="120"/>
      <c r="G679" s="125"/>
      <c r="H679" s="125"/>
      <c r="I679" s="125"/>
      <c r="J679" s="120"/>
      <c r="K679" s="120"/>
      <c r="L679" s="120"/>
      <c r="M679" s="120"/>
      <c r="N679" s="121"/>
      <c r="O679" s="121"/>
      <c r="P679" s="121"/>
      <c r="Q679" s="121"/>
      <c r="R679" s="121"/>
      <c r="S679" s="121"/>
      <c r="T679" s="121"/>
      <c r="U679" s="121"/>
      <c r="V679" s="121"/>
    </row>
    <row r="680">
      <c r="A680" s="120"/>
      <c r="B680" s="123"/>
      <c r="C680" s="124"/>
      <c r="D680" s="120"/>
      <c r="E680" s="125"/>
      <c r="F680" s="120"/>
      <c r="G680" s="125"/>
      <c r="H680" s="125"/>
      <c r="I680" s="125"/>
      <c r="J680" s="120"/>
      <c r="K680" s="120"/>
      <c r="L680" s="120"/>
      <c r="M680" s="120"/>
      <c r="N680" s="121"/>
      <c r="O680" s="121"/>
      <c r="P680" s="121"/>
      <c r="Q680" s="121"/>
      <c r="R680" s="121"/>
      <c r="S680" s="121"/>
      <c r="T680" s="121"/>
      <c r="U680" s="121"/>
      <c r="V680" s="121"/>
    </row>
    <row r="681">
      <c r="A681" s="120"/>
      <c r="B681" s="123"/>
      <c r="C681" s="124"/>
      <c r="D681" s="120"/>
      <c r="E681" s="125"/>
      <c r="F681" s="120"/>
      <c r="G681" s="125"/>
      <c r="H681" s="125"/>
      <c r="I681" s="125"/>
      <c r="J681" s="120"/>
      <c r="K681" s="120"/>
      <c r="L681" s="120"/>
      <c r="M681" s="120"/>
      <c r="N681" s="121"/>
      <c r="O681" s="121"/>
      <c r="P681" s="121"/>
      <c r="Q681" s="121"/>
      <c r="R681" s="121"/>
      <c r="S681" s="121"/>
      <c r="T681" s="121"/>
      <c r="U681" s="121"/>
      <c r="V681" s="121"/>
    </row>
    <row r="682">
      <c r="A682" s="120"/>
      <c r="B682" s="123"/>
      <c r="C682" s="124"/>
      <c r="D682" s="120"/>
      <c r="E682" s="125"/>
      <c r="F682" s="120"/>
      <c r="G682" s="125"/>
      <c r="H682" s="125"/>
      <c r="I682" s="125"/>
      <c r="J682" s="120"/>
      <c r="K682" s="120"/>
      <c r="L682" s="120"/>
      <c r="M682" s="120"/>
      <c r="N682" s="121"/>
      <c r="O682" s="121"/>
      <c r="P682" s="121"/>
      <c r="Q682" s="121"/>
      <c r="R682" s="121"/>
      <c r="S682" s="121"/>
      <c r="T682" s="121"/>
      <c r="U682" s="121"/>
      <c r="V682" s="121"/>
    </row>
    <row r="683">
      <c r="A683" s="120"/>
      <c r="B683" s="123"/>
      <c r="C683" s="124"/>
      <c r="D683" s="120"/>
      <c r="E683" s="125"/>
      <c r="F683" s="120"/>
      <c r="G683" s="125"/>
      <c r="H683" s="125"/>
      <c r="I683" s="125"/>
      <c r="J683" s="120"/>
      <c r="K683" s="120"/>
      <c r="L683" s="120"/>
      <c r="M683" s="120"/>
      <c r="N683" s="121"/>
      <c r="O683" s="121"/>
      <c r="P683" s="121"/>
      <c r="Q683" s="121"/>
      <c r="R683" s="121"/>
      <c r="S683" s="121"/>
      <c r="T683" s="121"/>
      <c r="U683" s="121"/>
      <c r="V683" s="121"/>
    </row>
    <row r="684">
      <c r="A684" s="120"/>
      <c r="B684" s="123"/>
      <c r="C684" s="124"/>
      <c r="D684" s="120"/>
      <c r="E684" s="125"/>
      <c r="F684" s="120"/>
      <c r="G684" s="125"/>
      <c r="H684" s="125"/>
      <c r="I684" s="125"/>
      <c r="J684" s="120"/>
      <c r="K684" s="120"/>
      <c r="L684" s="120"/>
      <c r="M684" s="120"/>
      <c r="N684" s="121"/>
      <c r="O684" s="121"/>
      <c r="P684" s="121"/>
      <c r="Q684" s="121"/>
      <c r="R684" s="121"/>
      <c r="S684" s="121"/>
      <c r="T684" s="121"/>
      <c r="U684" s="121"/>
      <c r="V684" s="121"/>
    </row>
    <row r="685">
      <c r="A685" s="120"/>
      <c r="B685" s="123"/>
      <c r="C685" s="124"/>
      <c r="D685" s="120"/>
      <c r="E685" s="125"/>
      <c r="F685" s="120"/>
      <c r="G685" s="125"/>
      <c r="H685" s="125"/>
      <c r="I685" s="125"/>
      <c r="J685" s="120"/>
      <c r="K685" s="120"/>
      <c r="L685" s="120"/>
      <c r="M685" s="120"/>
      <c r="N685" s="121"/>
      <c r="O685" s="121"/>
      <c r="P685" s="121"/>
      <c r="Q685" s="121"/>
      <c r="R685" s="121"/>
      <c r="S685" s="121"/>
      <c r="T685" s="121"/>
      <c r="U685" s="121"/>
      <c r="V685" s="121"/>
    </row>
    <row r="686">
      <c r="A686" s="120"/>
      <c r="B686" s="123"/>
      <c r="C686" s="124"/>
      <c r="D686" s="120"/>
      <c r="E686" s="125"/>
      <c r="F686" s="120"/>
      <c r="G686" s="125"/>
      <c r="H686" s="125"/>
      <c r="I686" s="125"/>
      <c r="J686" s="120"/>
      <c r="K686" s="120"/>
      <c r="L686" s="120"/>
      <c r="M686" s="120"/>
      <c r="N686" s="121"/>
      <c r="O686" s="121"/>
      <c r="P686" s="121"/>
      <c r="Q686" s="121"/>
      <c r="R686" s="121"/>
      <c r="S686" s="121"/>
      <c r="T686" s="121"/>
      <c r="U686" s="121"/>
      <c r="V686" s="121"/>
    </row>
    <row r="687">
      <c r="A687" s="120"/>
      <c r="B687" s="123"/>
      <c r="C687" s="124"/>
      <c r="D687" s="120"/>
      <c r="E687" s="125"/>
      <c r="F687" s="120"/>
      <c r="G687" s="125"/>
      <c r="H687" s="125"/>
      <c r="I687" s="125"/>
      <c r="J687" s="120"/>
      <c r="K687" s="120"/>
      <c r="L687" s="120"/>
      <c r="M687" s="120"/>
      <c r="N687" s="121"/>
      <c r="O687" s="121"/>
      <c r="P687" s="121"/>
      <c r="Q687" s="121"/>
      <c r="R687" s="121"/>
      <c r="S687" s="121"/>
      <c r="T687" s="121"/>
      <c r="U687" s="121"/>
      <c r="V687" s="121"/>
    </row>
    <row r="688">
      <c r="A688" s="120"/>
      <c r="B688" s="123"/>
      <c r="C688" s="124"/>
      <c r="D688" s="120"/>
      <c r="E688" s="125"/>
      <c r="F688" s="120"/>
      <c r="G688" s="125"/>
      <c r="H688" s="125"/>
      <c r="I688" s="125"/>
      <c r="J688" s="120"/>
      <c r="K688" s="120"/>
      <c r="L688" s="120"/>
      <c r="M688" s="120"/>
      <c r="N688" s="121"/>
      <c r="O688" s="121"/>
      <c r="P688" s="121"/>
      <c r="Q688" s="121"/>
      <c r="R688" s="121"/>
      <c r="S688" s="121"/>
      <c r="T688" s="121"/>
      <c r="U688" s="121"/>
      <c r="V688" s="121"/>
    </row>
    <row r="689">
      <c r="A689" s="120"/>
      <c r="B689" s="123"/>
      <c r="C689" s="124"/>
      <c r="D689" s="120"/>
      <c r="E689" s="125"/>
      <c r="F689" s="120"/>
      <c r="G689" s="125"/>
      <c r="H689" s="125"/>
      <c r="I689" s="125"/>
      <c r="J689" s="120"/>
      <c r="K689" s="120"/>
      <c r="L689" s="120"/>
      <c r="M689" s="120"/>
      <c r="N689" s="121"/>
      <c r="O689" s="121"/>
      <c r="P689" s="121"/>
      <c r="Q689" s="121"/>
      <c r="R689" s="121"/>
      <c r="S689" s="121"/>
      <c r="T689" s="121"/>
      <c r="U689" s="121"/>
      <c r="V689" s="121"/>
    </row>
    <row r="690">
      <c r="A690" s="120"/>
      <c r="B690" s="123"/>
      <c r="C690" s="124"/>
      <c r="D690" s="120"/>
      <c r="E690" s="125"/>
      <c r="F690" s="120"/>
      <c r="G690" s="125"/>
      <c r="H690" s="125"/>
      <c r="I690" s="125"/>
      <c r="J690" s="120"/>
      <c r="K690" s="120"/>
      <c r="L690" s="120"/>
      <c r="M690" s="120"/>
      <c r="N690" s="121"/>
      <c r="O690" s="121"/>
      <c r="P690" s="121"/>
      <c r="Q690" s="121"/>
      <c r="R690" s="121"/>
      <c r="S690" s="121"/>
      <c r="T690" s="121"/>
      <c r="U690" s="121"/>
      <c r="V690" s="121"/>
    </row>
    <row r="691">
      <c r="A691" s="120"/>
      <c r="B691" s="123"/>
      <c r="C691" s="124"/>
      <c r="D691" s="120"/>
      <c r="E691" s="125"/>
      <c r="F691" s="120"/>
      <c r="G691" s="125"/>
      <c r="H691" s="125"/>
      <c r="I691" s="125"/>
      <c r="J691" s="120"/>
      <c r="K691" s="120"/>
      <c r="L691" s="120"/>
      <c r="M691" s="120"/>
      <c r="N691" s="121"/>
      <c r="O691" s="121"/>
      <c r="P691" s="121"/>
      <c r="Q691" s="121"/>
      <c r="R691" s="121"/>
      <c r="S691" s="121"/>
      <c r="T691" s="121"/>
      <c r="U691" s="121"/>
      <c r="V691" s="121"/>
    </row>
    <row r="692">
      <c r="A692" s="120"/>
      <c r="B692" s="123"/>
      <c r="C692" s="124"/>
      <c r="D692" s="120"/>
      <c r="E692" s="125"/>
      <c r="F692" s="120"/>
      <c r="G692" s="125"/>
      <c r="H692" s="125"/>
      <c r="I692" s="125"/>
      <c r="J692" s="120"/>
      <c r="K692" s="120"/>
      <c r="L692" s="120"/>
      <c r="M692" s="120"/>
      <c r="N692" s="121"/>
      <c r="O692" s="121"/>
      <c r="P692" s="121"/>
      <c r="Q692" s="121"/>
      <c r="R692" s="121"/>
      <c r="S692" s="121"/>
      <c r="T692" s="121"/>
      <c r="U692" s="121"/>
      <c r="V692" s="121"/>
    </row>
    <row r="693">
      <c r="A693" s="120"/>
      <c r="B693" s="123"/>
      <c r="C693" s="124"/>
      <c r="D693" s="120"/>
      <c r="E693" s="125"/>
      <c r="F693" s="120"/>
      <c r="G693" s="125"/>
      <c r="H693" s="125"/>
      <c r="I693" s="125"/>
      <c r="J693" s="120"/>
      <c r="K693" s="120"/>
      <c r="L693" s="120"/>
      <c r="M693" s="120"/>
      <c r="N693" s="121"/>
      <c r="O693" s="121"/>
      <c r="P693" s="121"/>
      <c r="Q693" s="121"/>
      <c r="R693" s="121"/>
      <c r="S693" s="121"/>
      <c r="T693" s="121"/>
      <c r="U693" s="121"/>
      <c r="V693" s="121"/>
    </row>
    <row r="694">
      <c r="A694" s="120"/>
      <c r="B694" s="123"/>
      <c r="C694" s="124"/>
      <c r="D694" s="120"/>
      <c r="E694" s="125"/>
      <c r="F694" s="120"/>
      <c r="G694" s="125"/>
      <c r="H694" s="125"/>
      <c r="I694" s="125"/>
      <c r="J694" s="120"/>
      <c r="K694" s="120"/>
      <c r="L694" s="120"/>
      <c r="M694" s="120"/>
      <c r="N694" s="121"/>
      <c r="O694" s="121"/>
      <c r="P694" s="121"/>
      <c r="Q694" s="121"/>
      <c r="R694" s="121"/>
      <c r="S694" s="121"/>
      <c r="T694" s="121"/>
      <c r="U694" s="121"/>
      <c r="V694" s="121"/>
    </row>
    <row r="695">
      <c r="A695" s="120"/>
      <c r="B695" s="123"/>
      <c r="C695" s="124"/>
      <c r="D695" s="120"/>
      <c r="E695" s="125"/>
      <c r="F695" s="120"/>
      <c r="G695" s="125"/>
      <c r="H695" s="125"/>
      <c r="I695" s="125"/>
      <c r="J695" s="120"/>
      <c r="K695" s="120"/>
      <c r="L695" s="120"/>
      <c r="M695" s="120"/>
      <c r="N695" s="121"/>
      <c r="O695" s="121"/>
      <c r="P695" s="121"/>
      <c r="Q695" s="121"/>
      <c r="R695" s="121"/>
      <c r="S695" s="121"/>
      <c r="T695" s="121"/>
      <c r="U695" s="121"/>
      <c r="V695" s="121"/>
    </row>
    <row r="696">
      <c r="A696" s="120"/>
      <c r="B696" s="123"/>
      <c r="C696" s="124"/>
      <c r="D696" s="120"/>
      <c r="E696" s="125"/>
      <c r="F696" s="120"/>
      <c r="G696" s="125"/>
      <c r="H696" s="125"/>
      <c r="I696" s="125"/>
      <c r="J696" s="120"/>
      <c r="K696" s="120"/>
      <c r="L696" s="120"/>
      <c r="M696" s="120"/>
      <c r="N696" s="121"/>
      <c r="O696" s="121"/>
      <c r="P696" s="121"/>
      <c r="Q696" s="121"/>
      <c r="R696" s="121"/>
      <c r="S696" s="121"/>
      <c r="T696" s="121"/>
      <c r="U696" s="121"/>
      <c r="V696" s="121"/>
    </row>
    <row r="697">
      <c r="A697" s="120"/>
      <c r="B697" s="123"/>
      <c r="C697" s="124"/>
      <c r="D697" s="120"/>
      <c r="E697" s="125"/>
      <c r="F697" s="120"/>
      <c r="G697" s="125"/>
      <c r="H697" s="125"/>
      <c r="I697" s="125"/>
      <c r="J697" s="120"/>
      <c r="K697" s="120"/>
      <c r="L697" s="120"/>
      <c r="M697" s="120"/>
      <c r="N697" s="121"/>
      <c r="O697" s="121"/>
      <c r="P697" s="121"/>
      <c r="Q697" s="121"/>
      <c r="R697" s="121"/>
      <c r="S697" s="121"/>
      <c r="T697" s="121"/>
      <c r="U697" s="121"/>
      <c r="V697" s="121"/>
    </row>
    <row r="698">
      <c r="A698" s="120"/>
      <c r="B698" s="123"/>
      <c r="C698" s="124"/>
      <c r="D698" s="120"/>
      <c r="E698" s="125"/>
      <c r="F698" s="120"/>
      <c r="G698" s="125"/>
      <c r="H698" s="125"/>
      <c r="I698" s="125"/>
      <c r="J698" s="120"/>
      <c r="K698" s="120"/>
      <c r="L698" s="120"/>
      <c r="M698" s="120"/>
      <c r="N698" s="121"/>
      <c r="O698" s="121"/>
      <c r="P698" s="121"/>
      <c r="Q698" s="121"/>
      <c r="R698" s="121"/>
      <c r="S698" s="121"/>
      <c r="T698" s="121"/>
      <c r="U698" s="121"/>
      <c r="V698" s="121"/>
    </row>
    <row r="699">
      <c r="A699" s="120"/>
      <c r="B699" s="123"/>
      <c r="C699" s="124"/>
      <c r="D699" s="120"/>
      <c r="E699" s="125"/>
      <c r="F699" s="120"/>
      <c r="G699" s="125"/>
      <c r="H699" s="125"/>
      <c r="I699" s="125"/>
      <c r="J699" s="120"/>
      <c r="K699" s="120"/>
      <c r="L699" s="120"/>
      <c r="M699" s="120"/>
      <c r="N699" s="121"/>
      <c r="O699" s="121"/>
      <c r="P699" s="121"/>
      <c r="Q699" s="121"/>
      <c r="R699" s="121"/>
      <c r="S699" s="121"/>
      <c r="T699" s="121"/>
      <c r="U699" s="121"/>
      <c r="V699" s="121"/>
    </row>
    <row r="700">
      <c r="A700" s="120"/>
      <c r="B700" s="123"/>
      <c r="C700" s="124"/>
      <c r="D700" s="120"/>
      <c r="E700" s="125"/>
      <c r="F700" s="120"/>
      <c r="G700" s="125"/>
      <c r="H700" s="125"/>
      <c r="I700" s="125"/>
      <c r="J700" s="120"/>
      <c r="K700" s="120"/>
      <c r="L700" s="120"/>
      <c r="M700" s="120"/>
      <c r="N700" s="121"/>
      <c r="O700" s="121"/>
      <c r="P700" s="121"/>
      <c r="Q700" s="121"/>
      <c r="R700" s="121"/>
      <c r="S700" s="121"/>
      <c r="T700" s="121"/>
      <c r="U700" s="121"/>
      <c r="V700" s="121"/>
    </row>
    <row r="701">
      <c r="A701" s="120"/>
      <c r="B701" s="123"/>
      <c r="C701" s="124"/>
      <c r="D701" s="120"/>
      <c r="E701" s="125"/>
      <c r="F701" s="120"/>
      <c r="G701" s="125"/>
      <c r="H701" s="125"/>
      <c r="I701" s="125"/>
      <c r="J701" s="120"/>
      <c r="K701" s="120"/>
      <c r="L701" s="120"/>
      <c r="M701" s="120"/>
      <c r="N701" s="121"/>
      <c r="O701" s="121"/>
      <c r="P701" s="121"/>
      <c r="Q701" s="121"/>
      <c r="R701" s="121"/>
      <c r="S701" s="121"/>
      <c r="T701" s="121"/>
      <c r="U701" s="121"/>
      <c r="V701" s="121"/>
    </row>
    <row r="702">
      <c r="A702" s="120"/>
      <c r="B702" s="123"/>
      <c r="C702" s="124"/>
      <c r="D702" s="120"/>
      <c r="E702" s="125"/>
      <c r="F702" s="120"/>
      <c r="G702" s="125"/>
      <c r="H702" s="125"/>
      <c r="I702" s="125"/>
      <c r="J702" s="120"/>
      <c r="K702" s="120"/>
      <c r="L702" s="120"/>
      <c r="M702" s="120"/>
      <c r="N702" s="121"/>
      <c r="O702" s="121"/>
      <c r="P702" s="121"/>
      <c r="Q702" s="121"/>
      <c r="R702" s="121"/>
      <c r="S702" s="121"/>
      <c r="T702" s="121"/>
      <c r="U702" s="121"/>
      <c r="V702" s="121"/>
    </row>
    <row r="703">
      <c r="A703" s="120"/>
      <c r="B703" s="123"/>
      <c r="C703" s="124"/>
      <c r="D703" s="120"/>
      <c r="E703" s="125"/>
      <c r="F703" s="120"/>
      <c r="G703" s="125"/>
      <c r="H703" s="125"/>
      <c r="I703" s="125"/>
      <c r="J703" s="120"/>
      <c r="K703" s="120"/>
      <c r="L703" s="120"/>
      <c r="M703" s="120"/>
      <c r="N703" s="121"/>
      <c r="O703" s="121"/>
      <c r="P703" s="121"/>
      <c r="Q703" s="121"/>
      <c r="R703" s="121"/>
      <c r="S703" s="121"/>
      <c r="T703" s="121"/>
      <c r="U703" s="121"/>
      <c r="V703" s="121"/>
    </row>
    <row r="704">
      <c r="A704" s="120"/>
      <c r="B704" s="123"/>
      <c r="C704" s="124"/>
      <c r="D704" s="120"/>
      <c r="E704" s="125"/>
      <c r="F704" s="120"/>
      <c r="G704" s="125"/>
      <c r="H704" s="125"/>
      <c r="I704" s="125"/>
      <c r="J704" s="120"/>
      <c r="K704" s="120"/>
      <c r="L704" s="120"/>
      <c r="M704" s="120"/>
      <c r="N704" s="121"/>
      <c r="O704" s="121"/>
      <c r="P704" s="121"/>
      <c r="Q704" s="121"/>
      <c r="R704" s="121"/>
      <c r="S704" s="121"/>
      <c r="T704" s="121"/>
      <c r="U704" s="121"/>
      <c r="V704" s="121"/>
    </row>
    <row r="705">
      <c r="A705" s="120"/>
      <c r="B705" s="123"/>
      <c r="C705" s="124"/>
      <c r="D705" s="120"/>
      <c r="E705" s="125"/>
      <c r="F705" s="120"/>
      <c r="G705" s="125"/>
      <c r="H705" s="125"/>
      <c r="I705" s="125"/>
      <c r="J705" s="120"/>
      <c r="K705" s="120"/>
      <c r="L705" s="120"/>
      <c r="M705" s="120"/>
      <c r="N705" s="121"/>
      <c r="O705" s="121"/>
      <c r="P705" s="121"/>
      <c r="Q705" s="121"/>
      <c r="R705" s="121"/>
      <c r="S705" s="121"/>
      <c r="T705" s="121"/>
      <c r="U705" s="121"/>
      <c r="V705" s="121"/>
    </row>
    <row r="706">
      <c r="A706" s="120"/>
      <c r="B706" s="123"/>
      <c r="C706" s="124"/>
      <c r="D706" s="120"/>
      <c r="E706" s="125"/>
      <c r="F706" s="120"/>
      <c r="G706" s="125"/>
      <c r="H706" s="125"/>
      <c r="I706" s="125"/>
      <c r="J706" s="120"/>
      <c r="K706" s="120"/>
      <c r="L706" s="120"/>
      <c r="M706" s="120"/>
      <c r="N706" s="121"/>
      <c r="O706" s="121"/>
      <c r="P706" s="121"/>
      <c r="Q706" s="121"/>
      <c r="R706" s="121"/>
      <c r="S706" s="121"/>
      <c r="T706" s="121"/>
      <c r="U706" s="121"/>
      <c r="V706" s="121"/>
    </row>
    <row r="707">
      <c r="A707" s="120"/>
      <c r="B707" s="123"/>
      <c r="C707" s="124"/>
      <c r="D707" s="120"/>
      <c r="E707" s="125"/>
      <c r="F707" s="120"/>
      <c r="G707" s="125"/>
      <c r="H707" s="125"/>
      <c r="I707" s="125"/>
      <c r="J707" s="120"/>
      <c r="K707" s="120"/>
      <c r="L707" s="120"/>
      <c r="M707" s="120"/>
      <c r="N707" s="121"/>
      <c r="O707" s="121"/>
      <c r="P707" s="121"/>
      <c r="Q707" s="121"/>
      <c r="R707" s="121"/>
      <c r="S707" s="121"/>
      <c r="T707" s="121"/>
      <c r="U707" s="121"/>
      <c r="V707" s="121"/>
    </row>
    <row r="708">
      <c r="A708" s="120"/>
      <c r="B708" s="123"/>
      <c r="C708" s="124"/>
      <c r="D708" s="120"/>
      <c r="E708" s="125"/>
      <c r="F708" s="120"/>
      <c r="G708" s="125"/>
      <c r="H708" s="125"/>
      <c r="I708" s="125"/>
      <c r="J708" s="120"/>
      <c r="K708" s="120"/>
      <c r="L708" s="120"/>
      <c r="M708" s="120"/>
      <c r="N708" s="121"/>
      <c r="O708" s="121"/>
      <c r="P708" s="121"/>
      <c r="Q708" s="121"/>
      <c r="R708" s="121"/>
      <c r="S708" s="121"/>
      <c r="T708" s="121"/>
      <c r="U708" s="121"/>
      <c r="V708" s="121"/>
    </row>
    <row r="709">
      <c r="A709" s="120"/>
      <c r="B709" s="123"/>
      <c r="C709" s="124"/>
      <c r="D709" s="120"/>
      <c r="E709" s="125"/>
      <c r="F709" s="120"/>
      <c r="G709" s="125"/>
      <c r="H709" s="125"/>
      <c r="I709" s="125"/>
      <c r="J709" s="120"/>
      <c r="K709" s="120"/>
      <c r="L709" s="120"/>
      <c r="M709" s="120"/>
      <c r="N709" s="121"/>
      <c r="O709" s="121"/>
      <c r="P709" s="121"/>
      <c r="Q709" s="121"/>
      <c r="R709" s="121"/>
      <c r="S709" s="121"/>
      <c r="T709" s="121"/>
      <c r="U709" s="121"/>
      <c r="V709" s="121"/>
    </row>
    <row r="710">
      <c r="A710" s="120"/>
      <c r="B710" s="123"/>
      <c r="C710" s="124"/>
      <c r="D710" s="120"/>
      <c r="E710" s="125"/>
      <c r="F710" s="120"/>
      <c r="G710" s="125"/>
      <c r="H710" s="125"/>
      <c r="I710" s="125"/>
      <c r="J710" s="120"/>
      <c r="K710" s="120"/>
      <c r="L710" s="120"/>
      <c r="M710" s="120"/>
      <c r="N710" s="121"/>
      <c r="O710" s="121"/>
      <c r="P710" s="121"/>
      <c r="Q710" s="121"/>
      <c r="R710" s="121"/>
      <c r="S710" s="121"/>
      <c r="T710" s="121"/>
      <c r="U710" s="121"/>
      <c r="V710" s="121"/>
    </row>
    <row r="711">
      <c r="A711" s="120"/>
      <c r="B711" s="123"/>
      <c r="C711" s="124"/>
      <c r="D711" s="120"/>
      <c r="E711" s="125"/>
      <c r="F711" s="120"/>
      <c r="G711" s="125"/>
      <c r="H711" s="125"/>
      <c r="I711" s="125"/>
      <c r="J711" s="120"/>
      <c r="K711" s="120"/>
      <c r="L711" s="120"/>
      <c r="M711" s="120"/>
      <c r="N711" s="121"/>
      <c r="O711" s="121"/>
      <c r="P711" s="121"/>
      <c r="Q711" s="121"/>
      <c r="R711" s="121"/>
      <c r="S711" s="121"/>
      <c r="T711" s="121"/>
      <c r="U711" s="121"/>
      <c r="V711" s="121"/>
    </row>
    <row r="712">
      <c r="A712" s="120"/>
      <c r="B712" s="123"/>
      <c r="C712" s="124"/>
      <c r="D712" s="120"/>
      <c r="E712" s="125"/>
      <c r="F712" s="120"/>
      <c r="G712" s="125"/>
      <c r="H712" s="125"/>
      <c r="I712" s="125"/>
      <c r="J712" s="120"/>
      <c r="K712" s="120"/>
      <c r="L712" s="120"/>
      <c r="M712" s="120"/>
      <c r="N712" s="121"/>
      <c r="O712" s="121"/>
      <c r="P712" s="121"/>
      <c r="Q712" s="121"/>
      <c r="R712" s="121"/>
      <c r="S712" s="121"/>
      <c r="T712" s="121"/>
      <c r="U712" s="121"/>
      <c r="V712" s="121"/>
    </row>
    <row r="713">
      <c r="A713" s="120"/>
      <c r="B713" s="123"/>
      <c r="C713" s="124"/>
      <c r="D713" s="120"/>
      <c r="E713" s="125"/>
      <c r="F713" s="120"/>
      <c r="G713" s="125"/>
      <c r="H713" s="125"/>
      <c r="I713" s="125"/>
      <c r="J713" s="120"/>
      <c r="K713" s="120"/>
      <c r="L713" s="120"/>
      <c r="M713" s="120"/>
      <c r="N713" s="121"/>
      <c r="O713" s="121"/>
      <c r="P713" s="121"/>
      <c r="Q713" s="121"/>
      <c r="R713" s="121"/>
      <c r="S713" s="121"/>
      <c r="T713" s="121"/>
      <c r="U713" s="121"/>
      <c r="V713" s="121"/>
    </row>
    <row r="714">
      <c r="A714" s="120"/>
      <c r="B714" s="123"/>
      <c r="C714" s="124"/>
      <c r="D714" s="120"/>
      <c r="E714" s="125"/>
      <c r="F714" s="120"/>
      <c r="G714" s="125"/>
      <c r="H714" s="125"/>
      <c r="I714" s="125"/>
      <c r="J714" s="120"/>
      <c r="K714" s="120"/>
      <c r="L714" s="120"/>
      <c r="M714" s="120"/>
      <c r="N714" s="121"/>
      <c r="O714" s="121"/>
      <c r="P714" s="121"/>
      <c r="Q714" s="121"/>
      <c r="R714" s="121"/>
      <c r="S714" s="121"/>
      <c r="T714" s="121"/>
      <c r="U714" s="121"/>
      <c r="V714" s="121"/>
    </row>
    <row r="715">
      <c r="A715" s="120"/>
      <c r="B715" s="123"/>
      <c r="C715" s="124"/>
      <c r="D715" s="120"/>
      <c r="E715" s="125"/>
      <c r="F715" s="120"/>
      <c r="G715" s="125"/>
      <c r="H715" s="125"/>
      <c r="I715" s="125"/>
      <c r="J715" s="120"/>
      <c r="K715" s="120"/>
      <c r="L715" s="120"/>
      <c r="M715" s="120"/>
      <c r="N715" s="121"/>
      <c r="O715" s="121"/>
      <c r="P715" s="121"/>
      <c r="Q715" s="121"/>
      <c r="R715" s="121"/>
      <c r="S715" s="121"/>
      <c r="T715" s="121"/>
      <c r="U715" s="121"/>
      <c r="V715" s="121"/>
    </row>
    <row r="716">
      <c r="A716" s="120"/>
      <c r="B716" s="123"/>
      <c r="C716" s="124"/>
      <c r="D716" s="120"/>
      <c r="E716" s="125"/>
      <c r="F716" s="120"/>
      <c r="G716" s="125"/>
      <c r="H716" s="125"/>
      <c r="I716" s="125"/>
      <c r="J716" s="120"/>
      <c r="K716" s="120"/>
      <c r="L716" s="120"/>
      <c r="M716" s="120"/>
      <c r="N716" s="121"/>
      <c r="O716" s="121"/>
      <c r="P716" s="121"/>
      <c r="Q716" s="121"/>
      <c r="R716" s="121"/>
      <c r="S716" s="121"/>
      <c r="T716" s="121"/>
      <c r="U716" s="121"/>
      <c r="V716" s="121"/>
    </row>
    <row r="717">
      <c r="A717" s="120"/>
      <c r="B717" s="123"/>
      <c r="C717" s="124"/>
      <c r="D717" s="120"/>
      <c r="E717" s="125"/>
      <c r="F717" s="120"/>
      <c r="G717" s="125"/>
      <c r="H717" s="125"/>
      <c r="I717" s="125"/>
      <c r="J717" s="120"/>
      <c r="K717" s="120"/>
      <c r="L717" s="120"/>
      <c r="M717" s="120"/>
      <c r="N717" s="121"/>
      <c r="O717" s="121"/>
      <c r="P717" s="121"/>
      <c r="Q717" s="121"/>
      <c r="R717" s="121"/>
      <c r="S717" s="121"/>
      <c r="T717" s="121"/>
      <c r="U717" s="121"/>
      <c r="V717" s="121"/>
    </row>
    <row r="718">
      <c r="A718" s="120"/>
      <c r="B718" s="123"/>
      <c r="C718" s="124"/>
      <c r="D718" s="120"/>
      <c r="E718" s="122"/>
      <c r="F718" s="120"/>
      <c r="G718" s="122"/>
      <c r="H718" s="122"/>
      <c r="I718" s="122"/>
      <c r="J718" s="120"/>
      <c r="K718" s="120"/>
      <c r="L718" s="120"/>
      <c r="M718" s="120"/>
      <c r="N718" s="121"/>
      <c r="O718" s="121"/>
      <c r="P718" s="121"/>
      <c r="Q718" s="121"/>
      <c r="R718" s="121"/>
      <c r="S718" s="121"/>
      <c r="T718" s="121"/>
      <c r="U718" s="121"/>
      <c r="V718" s="121"/>
    </row>
    <row r="719">
      <c r="A719" s="120"/>
      <c r="B719" s="123"/>
      <c r="C719" s="124"/>
      <c r="D719" s="120"/>
      <c r="E719" s="122"/>
      <c r="F719" s="120"/>
      <c r="G719" s="122"/>
      <c r="H719" s="122"/>
      <c r="I719" s="122"/>
      <c r="J719" s="120"/>
      <c r="K719" s="120"/>
      <c r="L719" s="120"/>
      <c r="M719" s="120"/>
      <c r="N719" s="121"/>
      <c r="O719" s="121"/>
      <c r="P719" s="121"/>
      <c r="Q719" s="121"/>
      <c r="R719" s="121"/>
      <c r="S719" s="121"/>
      <c r="T719" s="121"/>
      <c r="U719" s="121"/>
      <c r="V719" s="121"/>
    </row>
    <row r="720">
      <c r="A720" s="120"/>
      <c r="B720" s="123"/>
      <c r="C720" s="124"/>
      <c r="D720" s="120"/>
      <c r="E720" s="122"/>
      <c r="F720" s="120"/>
      <c r="G720" s="122"/>
      <c r="H720" s="122"/>
      <c r="I720" s="122"/>
      <c r="J720" s="120"/>
      <c r="K720" s="120"/>
      <c r="L720" s="120"/>
      <c r="M720" s="120"/>
      <c r="N720" s="121"/>
      <c r="O720" s="121"/>
      <c r="P720" s="121"/>
      <c r="Q720" s="121"/>
      <c r="R720" s="121"/>
      <c r="S720" s="121"/>
      <c r="T720" s="121"/>
      <c r="U720" s="121"/>
      <c r="V720" s="121"/>
    </row>
    <row r="721">
      <c r="A721" s="120"/>
      <c r="B721" s="123"/>
      <c r="C721" s="124"/>
      <c r="D721" s="120"/>
      <c r="E721" s="122"/>
      <c r="F721" s="120"/>
      <c r="G721" s="122"/>
      <c r="H721" s="122"/>
      <c r="I721" s="122"/>
      <c r="J721" s="120"/>
      <c r="K721" s="120"/>
      <c r="L721" s="120"/>
      <c r="M721" s="120"/>
      <c r="N721" s="121"/>
      <c r="O721" s="121"/>
      <c r="P721" s="121"/>
      <c r="Q721" s="121"/>
      <c r="R721" s="121"/>
      <c r="S721" s="121"/>
      <c r="T721" s="121"/>
      <c r="U721" s="121"/>
      <c r="V721" s="121"/>
    </row>
    <row r="722">
      <c r="A722" s="120"/>
      <c r="B722" s="123"/>
      <c r="C722" s="124"/>
      <c r="D722" s="120"/>
      <c r="E722" s="122"/>
      <c r="F722" s="120"/>
      <c r="G722" s="122"/>
      <c r="H722" s="122"/>
      <c r="I722" s="122"/>
      <c r="J722" s="120"/>
      <c r="K722" s="120"/>
      <c r="L722" s="120"/>
      <c r="M722" s="120"/>
      <c r="N722" s="121"/>
      <c r="O722" s="121"/>
      <c r="P722" s="121"/>
      <c r="Q722" s="121"/>
      <c r="R722" s="121"/>
      <c r="S722" s="121"/>
      <c r="T722" s="121"/>
      <c r="U722" s="121"/>
      <c r="V722" s="121"/>
    </row>
    <row r="723">
      <c r="A723" s="120"/>
      <c r="B723" s="123"/>
      <c r="C723" s="124"/>
      <c r="D723" s="120"/>
      <c r="E723" s="122"/>
      <c r="F723" s="120"/>
      <c r="G723" s="122"/>
      <c r="H723" s="122"/>
      <c r="I723" s="122"/>
      <c r="J723" s="120"/>
      <c r="K723" s="120"/>
      <c r="L723" s="120"/>
      <c r="M723" s="120"/>
      <c r="N723" s="121"/>
      <c r="O723" s="121"/>
      <c r="P723" s="121"/>
      <c r="Q723" s="121"/>
      <c r="R723" s="121"/>
      <c r="S723" s="121"/>
      <c r="T723" s="121"/>
      <c r="U723" s="121"/>
      <c r="V723" s="121"/>
    </row>
    <row r="724">
      <c r="A724" s="120"/>
      <c r="B724" s="123"/>
      <c r="C724" s="124"/>
      <c r="D724" s="120"/>
      <c r="E724" s="122"/>
      <c r="F724" s="120"/>
      <c r="G724" s="122"/>
      <c r="H724" s="122"/>
      <c r="I724" s="122"/>
      <c r="J724" s="120"/>
      <c r="K724" s="120"/>
      <c r="L724" s="120"/>
      <c r="M724" s="120"/>
      <c r="N724" s="121"/>
      <c r="O724" s="121"/>
      <c r="P724" s="121"/>
      <c r="Q724" s="121"/>
      <c r="R724" s="121"/>
      <c r="S724" s="121"/>
      <c r="T724" s="121"/>
      <c r="U724" s="121"/>
      <c r="V724" s="121"/>
    </row>
    <row r="725">
      <c r="A725" s="120"/>
      <c r="B725" s="123"/>
      <c r="C725" s="124"/>
      <c r="D725" s="120"/>
      <c r="E725" s="122"/>
      <c r="F725" s="120"/>
      <c r="G725" s="122"/>
      <c r="H725" s="122"/>
      <c r="I725" s="122"/>
      <c r="J725" s="120"/>
      <c r="K725" s="120"/>
      <c r="L725" s="120"/>
      <c r="M725" s="120"/>
      <c r="N725" s="121"/>
      <c r="O725" s="121"/>
      <c r="P725" s="121"/>
      <c r="Q725" s="121"/>
      <c r="R725" s="121"/>
      <c r="S725" s="121"/>
      <c r="T725" s="121"/>
      <c r="U725" s="121"/>
      <c r="V725" s="121"/>
    </row>
    <row r="726">
      <c r="A726" s="120"/>
      <c r="B726" s="123"/>
      <c r="C726" s="124"/>
      <c r="D726" s="120"/>
      <c r="E726" s="122"/>
      <c r="F726" s="120"/>
      <c r="G726" s="122"/>
      <c r="H726" s="122"/>
      <c r="I726" s="122"/>
      <c r="J726" s="120"/>
      <c r="K726" s="120"/>
      <c r="L726" s="120"/>
      <c r="M726" s="120"/>
      <c r="N726" s="121"/>
      <c r="O726" s="121"/>
      <c r="P726" s="121"/>
      <c r="Q726" s="121"/>
      <c r="R726" s="121"/>
      <c r="S726" s="121"/>
      <c r="T726" s="121"/>
      <c r="U726" s="121"/>
      <c r="V726" s="121"/>
    </row>
    <row r="727">
      <c r="A727" s="120"/>
      <c r="B727" s="123"/>
      <c r="C727" s="124"/>
      <c r="D727" s="120"/>
      <c r="E727" s="122"/>
      <c r="F727" s="120"/>
      <c r="G727" s="122"/>
      <c r="H727" s="122"/>
      <c r="I727" s="122"/>
      <c r="J727" s="120"/>
      <c r="K727" s="120"/>
      <c r="L727" s="120"/>
      <c r="M727" s="120"/>
      <c r="N727" s="121"/>
      <c r="O727" s="121"/>
      <c r="P727" s="121"/>
      <c r="Q727" s="121"/>
      <c r="R727" s="121"/>
      <c r="S727" s="121"/>
      <c r="T727" s="121"/>
      <c r="U727" s="121"/>
      <c r="V727" s="121"/>
    </row>
    <row r="728">
      <c r="A728" s="120"/>
      <c r="B728" s="123"/>
      <c r="C728" s="124"/>
      <c r="D728" s="120"/>
      <c r="E728" s="122"/>
      <c r="F728" s="120"/>
      <c r="G728" s="122"/>
      <c r="H728" s="122"/>
      <c r="I728" s="122"/>
      <c r="J728" s="120"/>
      <c r="K728" s="120"/>
      <c r="L728" s="120"/>
      <c r="M728" s="120"/>
      <c r="N728" s="121"/>
      <c r="O728" s="121"/>
      <c r="P728" s="121"/>
      <c r="Q728" s="121"/>
      <c r="R728" s="121"/>
      <c r="S728" s="121"/>
      <c r="T728" s="121"/>
      <c r="U728" s="121"/>
      <c r="V728" s="121"/>
    </row>
    <row r="729">
      <c r="A729" s="120"/>
      <c r="B729" s="123"/>
      <c r="C729" s="124"/>
      <c r="D729" s="120"/>
      <c r="E729" s="122"/>
      <c r="F729" s="120"/>
      <c r="G729" s="122"/>
      <c r="H729" s="122"/>
      <c r="I729" s="122"/>
      <c r="J729" s="120"/>
      <c r="K729" s="120"/>
      <c r="L729" s="120"/>
      <c r="M729" s="120"/>
      <c r="N729" s="121"/>
      <c r="O729" s="121"/>
      <c r="P729" s="121"/>
      <c r="Q729" s="121"/>
      <c r="R729" s="121"/>
      <c r="S729" s="121"/>
      <c r="T729" s="121"/>
      <c r="U729" s="121"/>
      <c r="V729" s="121"/>
    </row>
    <row r="730">
      <c r="A730" s="120"/>
      <c r="B730" s="123"/>
      <c r="C730" s="124"/>
      <c r="D730" s="120"/>
      <c r="E730" s="122"/>
      <c r="F730" s="120"/>
      <c r="G730" s="122"/>
      <c r="H730" s="122"/>
      <c r="I730" s="122"/>
      <c r="J730" s="120"/>
      <c r="K730" s="120"/>
      <c r="L730" s="120"/>
      <c r="M730" s="120"/>
      <c r="N730" s="121"/>
      <c r="O730" s="121"/>
      <c r="P730" s="121"/>
      <c r="Q730" s="121"/>
      <c r="R730" s="121"/>
      <c r="S730" s="121"/>
      <c r="T730" s="121"/>
      <c r="U730" s="121"/>
      <c r="V730" s="121"/>
    </row>
    <row r="731">
      <c r="A731" s="120"/>
      <c r="B731" s="123"/>
      <c r="C731" s="124"/>
      <c r="D731" s="120"/>
      <c r="E731" s="122"/>
      <c r="F731" s="120"/>
      <c r="G731" s="122"/>
      <c r="H731" s="122"/>
      <c r="I731" s="122"/>
      <c r="J731" s="120"/>
      <c r="K731" s="120"/>
      <c r="L731" s="120"/>
      <c r="M731" s="120"/>
      <c r="N731" s="121"/>
      <c r="O731" s="121"/>
      <c r="P731" s="121"/>
      <c r="Q731" s="121"/>
      <c r="R731" s="121"/>
      <c r="S731" s="121"/>
      <c r="T731" s="121"/>
      <c r="U731" s="121"/>
      <c r="V731" s="121"/>
    </row>
    <row r="732">
      <c r="A732" s="120"/>
      <c r="B732" s="123"/>
      <c r="C732" s="124"/>
      <c r="D732" s="120"/>
      <c r="E732" s="122"/>
      <c r="F732" s="120"/>
      <c r="G732" s="122"/>
      <c r="H732" s="122"/>
      <c r="I732" s="122"/>
      <c r="J732" s="120"/>
      <c r="K732" s="120"/>
      <c r="L732" s="120"/>
      <c r="M732" s="120"/>
      <c r="N732" s="121"/>
      <c r="O732" s="121"/>
      <c r="P732" s="121"/>
      <c r="Q732" s="121"/>
      <c r="R732" s="121"/>
      <c r="S732" s="121"/>
      <c r="T732" s="121"/>
      <c r="U732" s="121"/>
      <c r="V732" s="121"/>
    </row>
    <row r="733">
      <c r="A733" s="120"/>
      <c r="B733" s="123"/>
      <c r="C733" s="124"/>
      <c r="D733" s="120"/>
      <c r="E733" s="122"/>
      <c r="F733" s="120"/>
      <c r="G733" s="122"/>
      <c r="H733" s="122"/>
      <c r="I733" s="122"/>
      <c r="J733" s="120"/>
      <c r="K733" s="120"/>
      <c r="L733" s="120"/>
      <c r="M733" s="120"/>
      <c r="N733" s="121"/>
      <c r="O733" s="121"/>
      <c r="P733" s="121"/>
      <c r="Q733" s="121"/>
      <c r="R733" s="121"/>
      <c r="S733" s="121"/>
      <c r="T733" s="121"/>
      <c r="U733" s="121"/>
      <c r="V733" s="121"/>
    </row>
    <row r="734">
      <c r="A734" s="120"/>
      <c r="B734" s="123"/>
      <c r="C734" s="124"/>
      <c r="D734" s="120"/>
      <c r="E734" s="122"/>
      <c r="F734" s="120"/>
      <c r="G734" s="122"/>
      <c r="H734" s="122"/>
      <c r="I734" s="122"/>
      <c r="J734" s="120"/>
      <c r="K734" s="120"/>
      <c r="L734" s="120"/>
      <c r="M734" s="120"/>
      <c r="N734" s="121"/>
      <c r="O734" s="121"/>
      <c r="P734" s="121"/>
      <c r="Q734" s="121"/>
      <c r="R734" s="121"/>
      <c r="S734" s="121"/>
      <c r="T734" s="121"/>
      <c r="U734" s="121"/>
      <c r="V734" s="121"/>
    </row>
    <row r="735">
      <c r="A735" s="120"/>
      <c r="B735" s="123"/>
      <c r="C735" s="124"/>
      <c r="D735" s="120"/>
      <c r="E735" s="122"/>
      <c r="F735" s="120"/>
      <c r="G735" s="122"/>
      <c r="H735" s="122"/>
      <c r="I735" s="122"/>
      <c r="J735" s="120"/>
      <c r="K735" s="120"/>
      <c r="L735" s="120"/>
      <c r="M735" s="120"/>
      <c r="N735" s="121"/>
      <c r="O735" s="121"/>
      <c r="P735" s="121"/>
      <c r="Q735" s="121"/>
      <c r="R735" s="121"/>
      <c r="S735" s="121"/>
      <c r="T735" s="121"/>
      <c r="U735" s="121"/>
      <c r="V735" s="121"/>
    </row>
    <row r="736">
      <c r="A736" s="120"/>
      <c r="B736" s="123"/>
      <c r="C736" s="124"/>
      <c r="D736" s="120"/>
      <c r="E736" s="125"/>
      <c r="F736" s="120"/>
      <c r="G736" s="125"/>
      <c r="H736" s="125"/>
      <c r="I736" s="125"/>
      <c r="J736" s="120"/>
      <c r="K736" s="120"/>
      <c r="L736" s="120"/>
      <c r="M736" s="120"/>
      <c r="N736" s="121"/>
      <c r="O736" s="121"/>
      <c r="P736" s="121"/>
      <c r="Q736" s="121"/>
      <c r="R736" s="121"/>
      <c r="S736" s="121"/>
      <c r="T736" s="121"/>
      <c r="U736" s="121"/>
      <c r="V736" s="121"/>
    </row>
    <row r="737">
      <c r="A737" s="120"/>
      <c r="B737" s="123"/>
      <c r="C737" s="124"/>
      <c r="D737" s="120"/>
      <c r="E737" s="125"/>
      <c r="F737" s="120"/>
      <c r="G737" s="125"/>
      <c r="H737" s="125"/>
      <c r="I737" s="125"/>
      <c r="J737" s="120"/>
      <c r="K737" s="120"/>
      <c r="L737" s="120"/>
      <c r="M737" s="120"/>
      <c r="N737" s="121"/>
      <c r="O737" s="121"/>
      <c r="P737" s="121"/>
      <c r="Q737" s="121"/>
      <c r="R737" s="121"/>
      <c r="S737" s="121"/>
      <c r="T737" s="121"/>
      <c r="U737" s="121"/>
      <c r="V737" s="121"/>
    </row>
    <row r="738">
      <c r="A738" s="120"/>
      <c r="B738" s="123"/>
      <c r="C738" s="124"/>
      <c r="D738" s="120"/>
      <c r="E738" s="125"/>
      <c r="F738" s="120"/>
      <c r="G738" s="125"/>
      <c r="H738" s="125"/>
      <c r="I738" s="125"/>
      <c r="J738" s="120"/>
      <c r="K738" s="120"/>
      <c r="L738" s="120"/>
      <c r="M738" s="120"/>
      <c r="N738" s="121"/>
      <c r="O738" s="121"/>
      <c r="P738" s="121"/>
      <c r="Q738" s="121"/>
      <c r="R738" s="121"/>
      <c r="S738" s="121"/>
      <c r="T738" s="121"/>
      <c r="U738" s="121"/>
      <c r="V738" s="121"/>
    </row>
    <row r="739">
      <c r="A739" s="120"/>
      <c r="B739" s="123"/>
      <c r="C739" s="124"/>
      <c r="D739" s="120"/>
      <c r="E739" s="125"/>
      <c r="F739" s="120"/>
      <c r="G739" s="125"/>
      <c r="H739" s="125"/>
      <c r="I739" s="125"/>
      <c r="J739" s="120"/>
      <c r="K739" s="120"/>
      <c r="L739" s="120"/>
      <c r="M739" s="120"/>
      <c r="N739" s="121"/>
      <c r="O739" s="121"/>
      <c r="P739" s="121"/>
      <c r="Q739" s="121"/>
      <c r="R739" s="121"/>
      <c r="S739" s="121"/>
      <c r="T739" s="121"/>
      <c r="U739" s="121"/>
      <c r="V739" s="121"/>
    </row>
    <row r="740">
      <c r="A740" s="120"/>
      <c r="B740" s="123"/>
      <c r="C740" s="124"/>
      <c r="D740" s="120"/>
      <c r="E740" s="125"/>
      <c r="F740" s="120"/>
      <c r="G740" s="125"/>
      <c r="H740" s="125"/>
      <c r="I740" s="125"/>
      <c r="J740" s="120"/>
      <c r="K740" s="120"/>
      <c r="L740" s="120"/>
      <c r="M740" s="120"/>
      <c r="N740" s="121"/>
      <c r="O740" s="121"/>
      <c r="P740" s="121"/>
      <c r="Q740" s="121"/>
      <c r="R740" s="121"/>
      <c r="S740" s="121"/>
      <c r="T740" s="121"/>
      <c r="U740" s="121"/>
      <c r="V740" s="121"/>
    </row>
    <row r="741">
      <c r="A741" s="120"/>
      <c r="B741" s="123"/>
      <c r="C741" s="124"/>
      <c r="D741" s="120"/>
      <c r="E741" s="125"/>
      <c r="F741" s="120"/>
      <c r="G741" s="125"/>
      <c r="H741" s="125"/>
      <c r="I741" s="125"/>
      <c r="J741" s="120"/>
      <c r="K741" s="120"/>
      <c r="L741" s="120"/>
      <c r="M741" s="120"/>
      <c r="N741" s="121"/>
      <c r="O741" s="121"/>
      <c r="P741" s="121"/>
      <c r="Q741" s="121"/>
      <c r="R741" s="121"/>
      <c r="S741" s="121"/>
      <c r="T741" s="121"/>
      <c r="U741" s="121"/>
      <c r="V741" s="121"/>
    </row>
    <row r="742">
      <c r="A742" s="120"/>
      <c r="B742" s="123"/>
      <c r="C742" s="124"/>
      <c r="D742" s="120"/>
      <c r="E742" s="125"/>
      <c r="F742" s="120"/>
      <c r="G742" s="125"/>
      <c r="H742" s="125"/>
      <c r="I742" s="125"/>
      <c r="J742" s="120"/>
      <c r="K742" s="120"/>
      <c r="L742" s="120"/>
      <c r="M742" s="120"/>
      <c r="N742" s="121"/>
      <c r="O742" s="121"/>
      <c r="P742" s="121"/>
      <c r="Q742" s="121"/>
      <c r="R742" s="121"/>
      <c r="S742" s="121"/>
      <c r="T742" s="121"/>
      <c r="U742" s="121"/>
      <c r="V742" s="121"/>
    </row>
    <row r="743">
      <c r="A743" s="120"/>
      <c r="B743" s="123"/>
      <c r="C743" s="124"/>
      <c r="D743" s="120"/>
      <c r="E743" s="125"/>
      <c r="F743" s="120"/>
      <c r="G743" s="125"/>
      <c r="H743" s="125"/>
      <c r="I743" s="125"/>
      <c r="J743" s="120"/>
      <c r="K743" s="120"/>
      <c r="L743" s="120"/>
      <c r="M743" s="120"/>
      <c r="N743" s="121"/>
      <c r="O743" s="121"/>
      <c r="P743" s="121"/>
      <c r="Q743" s="121"/>
      <c r="R743" s="121"/>
      <c r="S743" s="121"/>
      <c r="T743" s="121"/>
      <c r="U743" s="121"/>
      <c r="V743" s="121"/>
    </row>
    <row r="744">
      <c r="A744" s="120"/>
      <c r="B744" s="123"/>
      <c r="C744" s="124"/>
      <c r="D744" s="120"/>
      <c r="E744" s="125"/>
      <c r="F744" s="120"/>
      <c r="G744" s="125"/>
      <c r="H744" s="125"/>
      <c r="I744" s="125"/>
      <c r="J744" s="120"/>
      <c r="K744" s="120"/>
      <c r="L744" s="120"/>
      <c r="M744" s="120"/>
      <c r="N744" s="121"/>
      <c r="O744" s="121"/>
      <c r="P744" s="121"/>
      <c r="Q744" s="121"/>
      <c r="R744" s="121"/>
      <c r="S744" s="121"/>
      <c r="T744" s="121"/>
      <c r="U744" s="121"/>
      <c r="V744" s="121"/>
    </row>
    <row r="745">
      <c r="A745" s="120"/>
      <c r="B745" s="123"/>
      <c r="C745" s="124"/>
      <c r="D745" s="120"/>
      <c r="E745" s="125"/>
      <c r="F745" s="120"/>
      <c r="G745" s="125"/>
      <c r="H745" s="125"/>
      <c r="I745" s="125"/>
      <c r="J745" s="120"/>
      <c r="K745" s="120"/>
      <c r="L745" s="120"/>
      <c r="M745" s="120"/>
      <c r="N745" s="121"/>
      <c r="O745" s="121"/>
      <c r="P745" s="121"/>
      <c r="Q745" s="121"/>
      <c r="R745" s="121"/>
      <c r="S745" s="121"/>
      <c r="T745" s="121"/>
      <c r="U745" s="121"/>
      <c r="V745" s="121"/>
    </row>
    <row r="746">
      <c r="A746" s="120"/>
      <c r="B746" s="123"/>
      <c r="C746" s="124"/>
      <c r="D746" s="120"/>
      <c r="E746" s="125"/>
      <c r="F746" s="120"/>
      <c r="G746" s="125"/>
      <c r="H746" s="125"/>
      <c r="I746" s="125"/>
      <c r="J746" s="120"/>
      <c r="K746" s="120"/>
      <c r="L746" s="120"/>
      <c r="M746" s="120"/>
      <c r="N746" s="121"/>
      <c r="O746" s="121"/>
      <c r="P746" s="121"/>
      <c r="Q746" s="121"/>
      <c r="R746" s="121"/>
      <c r="S746" s="121"/>
      <c r="T746" s="121"/>
      <c r="U746" s="121"/>
      <c r="V746" s="121"/>
    </row>
    <row r="747">
      <c r="A747" s="120"/>
      <c r="B747" s="123"/>
      <c r="C747" s="124"/>
      <c r="D747" s="120"/>
      <c r="E747" s="125"/>
      <c r="F747" s="120"/>
      <c r="G747" s="125"/>
      <c r="H747" s="125"/>
      <c r="I747" s="125"/>
      <c r="J747" s="120"/>
      <c r="K747" s="120"/>
      <c r="L747" s="120"/>
      <c r="M747" s="120"/>
      <c r="N747" s="121"/>
      <c r="O747" s="121"/>
      <c r="P747" s="121"/>
      <c r="Q747" s="121"/>
      <c r="R747" s="121"/>
      <c r="S747" s="121"/>
      <c r="T747" s="121"/>
      <c r="U747" s="121"/>
      <c r="V747" s="121"/>
    </row>
    <row r="748">
      <c r="A748" s="120"/>
      <c r="B748" s="123"/>
      <c r="C748" s="124"/>
      <c r="D748" s="120"/>
      <c r="E748" s="125"/>
      <c r="F748" s="120"/>
      <c r="G748" s="125"/>
      <c r="H748" s="125"/>
      <c r="I748" s="125"/>
      <c r="J748" s="120"/>
      <c r="K748" s="120"/>
      <c r="L748" s="120"/>
      <c r="M748" s="120"/>
      <c r="N748" s="121"/>
      <c r="O748" s="121"/>
      <c r="P748" s="121"/>
      <c r="Q748" s="121"/>
      <c r="R748" s="121"/>
      <c r="S748" s="121"/>
      <c r="T748" s="121"/>
      <c r="U748" s="121"/>
      <c r="V748" s="121"/>
    </row>
    <row r="749">
      <c r="A749" s="120"/>
      <c r="B749" s="123"/>
      <c r="C749" s="124"/>
      <c r="D749" s="120"/>
      <c r="E749" s="125"/>
      <c r="F749" s="120"/>
      <c r="G749" s="125"/>
      <c r="H749" s="125"/>
      <c r="I749" s="125"/>
      <c r="J749" s="120"/>
      <c r="K749" s="120"/>
      <c r="L749" s="120"/>
      <c r="M749" s="120"/>
      <c r="N749" s="121"/>
      <c r="O749" s="121"/>
      <c r="P749" s="121"/>
      <c r="Q749" s="121"/>
      <c r="R749" s="121"/>
      <c r="S749" s="121"/>
      <c r="T749" s="121"/>
      <c r="U749" s="121"/>
      <c r="V749" s="121"/>
    </row>
    <row r="750">
      <c r="A750" s="120"/>
      <c r="B750" s="123"/>
      <c r="C750" s="124"/>
      <c r="D750" s="120"/>
      <c r="E750" s="125"/>
      <c r="F750" s="120"/>
      <c r="G750" s="125"/>
      <c r="H750" s="125"/>
      <c r="I750" s="125"/>
      <c r="J750" s="120"/>
      <c r="K750" s="120"/>
      <c r="L750" s="120"/>
      <c r="M750" s="120"/>
      <c r="N750" s="121"/>
      <c r="O750" s="121"/>
      <c r="P750" s="121"/>
      <c r="Q750" s="121"/>
      <c r="R750" s="121"/>
      <c r="S750" s="121"/>
      <c r="T750" s="121"/>
      <c r="U750" s="121"/>
      <c r="V750" s="121"/>
    </row>
    <row r="751">
      <c r="A751" s="120"/>
      <c r="B751" s="123"/>
      <c r="C751" s="124"/>
      <c r="D751" s="120"/>
      <c r="E751" s="125"/>
      <c r="F751" s="120"/>
      <c r="G751" s="125"/>
      <c r="H751" s="125"/>
      <c r="I751" s="125"/>
      <c r="J751" s="120"/>
      <c r="K751" s="120"/>
      <c r="L751" s="120"/>
      <c r="M751" s="120"/>
      <c r="N751" s="121"/>
      <c r="O751" s="121"/>
      <c r="P751" s="121"/>
      <c r="Q751" s="121"/>
      <c r="R751" s="121"/>
      <c r="S751" s="121"/>
      <c r="T751" s="121"/>
      <c r="U751" s="121"/>
      <c r="V751" s="121"/>
    </row>
    <row r="752">
      <c r="A752" s="120"/>
      <c r="B752" s="123"/>
      <c r="C752" s="124"/>
      <c r="D752" s="120"/>
      <c r="E752" s="125"/>
      <c r="F752" s="120"/>
      <c r="G752" s="125"/>
      <c r="H752" s="125"/>
      <c r="I752" s="125"/>
      <c r="J752" s="120"/>
      <c r="K752" s="120"/>
      <c r="L752" s="120"/>
      <c r="M752" s="120"/>
      <c r="N752" s="121"/>
      <c r="O752" s="121"/>
      <c r="P752" s="121"/>
      <c r="Q752" s="121"/>
      <c r="R752" s="121"/>
      <c r="S752" s="121"/>
      <c r="T752" s="121"/>
      <c r="U752" s="121"/>
      <c r="V752" s="121"/>
    </row>
    <row r="753">
      <c r="A753" s="120"/>
      <c r="B753" s="123"/>
      <c r="C753" s="124"/>
      <c r="D753" s="120"/>
      <c r="E753" s="125"/>
      <c r="F753" s="120"/>
      <c r="G753" s="125"/>
      <c r="H753" s="125"/>
      <c r="I753" s="125"/>
      <c r="J753" s="120"/>
      <c r="K753" s="120"/>
      <c r="L753" s="120"/>
      <c r="M753" s="120"/>
      <c r="N753" s="121"/>
      <c r="O753" s="121"/>
      <c r="P753" s="121"/>
      <c r="Q753" s="121"/>
      <c r="R753" s="121"/>
      <c r="S753" s="121"/>
      <c r="T753" s="121"/>
      <c r="U753" s="121"/>
      <c r="V753" s="121"/>
    </row>
    <row r="754">
      <c r="A754" s="120"/>
      <c r="B754" s="123"/>
      <c r="C754" s="124"/>
      <c r="D754" s="120"/>
      <c r="E754" s="125"/>
      <c r="F754" s="120"/>
      <c r="G754" s="125"/>
      <c r="H754" s="125"/>
      <c r="I754" s="125"/>
      <c r="J754" s="120"/>
      <c r="K754" s="120"/>
      <c r="L754" s="120"/>
      <c r="M754" s="120"/>
      <c r="N754" s="121"/>
      <c r="O754" s="121"/>
      <c r="P754" s="121"/>
      <c r="Q754" s="121"/>
      <c r="R754" s="121"/>
      <c r="S754" s="121"/>
      <c r="T754" s="121"/>
      <c r="U754" s="121"/>
      <c r="V754" s="121"/>
    </row>
    <row r="755">
      <c r="A755" s="120"/>
      <c r="B755" s="123"/>
      <c r="C755" s="124"/>
      <c r="D755" s="120"/>
      <c r="E755" s="125"/>
      <c r="F755" s="120"/>
      <c r="G755" s="125"/>
      <c r="H755" s="125"/>
      <c r="I755" s="125"/>
      <c r="J755" s="120"/>
      <c r="K755" s="120"/>
      <c r="L755" s="120"/>
      <c r="M755" s="120"/>
      <c r="N755" s="121"/>
      <c r="O755" s="121"/>
      <c r="P755" s="121"/>
      <c r="Q755" s="121"/>
      <c r="R755" s="121"/>
      <c r="S755" s="121"/>
      <c r="T755" s="121"/>
      <c r="U755" s="121"/>
      <c r="V755" s="121"/>
    </row>
    <row r="756">
      <c r="A756" s="120"/>
      <c r="B756" s="123"/>
      <c r="C756" s="124"/>
      <c r="D756" s="120"/>
      <c r="E756" s="125"/>
      <c r="F756" s="120"/>
      <c r="G756" s="125"/>
      <c r="H756" s="125"/>
      <c r="I756" s="125"/>
      <c r="J756" s="120"/>
      <c r="K756" s="120"/>
      <c r="L756" s="120"/>
      <c r="M756" s="120"/>
      <c r="N756" s="121"/>
      <c r="O756" s="121"/>
      <c r="P756" s="121"/>
      <c r="Q756" s="121"/>
      <c r="R756" s="121"/>
      <c r="S756" s="121"/>
      <c r="T756" s="121"/>
      <c r="U756" s="121"/>
      <c r="V756" s="121"/>
    </row>
    <row r="757">
      <c r="A757" s="120"/>
      <c r="B757" s="123"/>
      <c r="C757" s="124"/>
      <c r="D757" s="120"/>
      <c r="E757" s="125"/>
      <c r="F757" s="120"/>
      <c r="G757" s="125"/>
      <c r="H757" s="125"/>
      <c r="I757" s="125"/>
      <c r="J757" s="120"/>
      <c r="K757" s="120"/>
      <c r="L757" s="120"/>
      <c r="M757" s="120"/>
      <c r="N757" s="121"/>
      <c r="O757" s="121"/>
      <c r="P757" s="121"/>
      <c r="Q757" s="121"/>
      <c r="R757" s="121"/>
      <c r="S757" s="121"/>
      <c r="T757" s="121"/>
      <c r="U757" s="121"/>
      <c r="V757" s="121"/>
    </row>
    <row r="758">
      <c r="A758" s="120"/>
      <c r="B758" s="123"/>
      <c r="C758" s="124"/>
      <c r="D758" s="120"/>
      <c r="E758" s="125"/>
      <c r="F758" s="120"/>
      <c r="G758" s="125"/>
      <c r="H758" s="125"/>
      <c r="I758" s="125"/>
      <c r="J758" s="120"/>
      <c r="K758" s="120"/>
      <c r="L758" s="120"/>
      <c r="M758" s="120"/>
      <c r="N758" s="121"/>
      <c r="O758" s="121"/>
      <c r="P758" s="121"/>
      <c r="Q758" s="121"/>
      <c r="R758" s="121"/>
      <c r="S758" s="121"/>
      <c r="T758" s="121"/>
      <c r="U758" s="121"/>
      <c r="V758" s="121"/>
    </row>
    <row r="759">
      <c r="A759" s="120"/>
      <c r="B759" s="123"/>
      <c r="C759" s="124"/>
      <c r="D759" s="120"/>
      <c r="E759" s="125"/>
      <c r="F759" s="120"/>
      <c r="G759" s="125"/>
      <c r="H759" s="125"/>
      <c r="I759" s="125"/>
      <c r="J759" s="120"/>
      <c r="K759" s="120"/>
      <c r="L759" s="120"/>
      <c r="M759" s="120"/>
      <c r="N759" s="121"/>
      <c r="O759" s="121"/>
      <c r="P759" s="121"/>
      <c r="Q759" s="121"/>
      <c r="R759" s="121"/>
      <c r="S759" s="121"/>
      <c r="T759" s="121"/>
      <c r="U759" s="121"/>
      <c r="V759" s="121"/>
    </row>
    <row r="760">
      <c r="A760" s="120"/>
      <c r="B760" s="123"/>
      <c r="C760" s="124"/>
      <c r="D760" s="120"/>
      <c r="E760" s="125"/>
      <c r="F760" s="120"/>
      <c r="G760" s="125"/>
      <c r="H760" s="125"/>
      <c r="I760" s="125"/>
      <c r="J760" s="120"/>
      <c r="K760" s="120"/>
      <c r="L760" s="120"/>
      <c r="M760" s="120"/>
      <c r="N760" s="121"/>
      <c r="O760" s="121"/>
      <c r="P760" s="121"/>
      <c r="Q760" s="121"/>
      <c r="R760" s="121"/>
      <c r="S760" s="121"/>
      <c r="T760" s="121"/>
      <c r="U760" s="121"/>
      <c r="V760" s="121"/>
    </row>
    <row r="761">
      <c r="A761" s="120"/>
      <c r="B761" s="123"/>
      <c r="C761" s="124"/>
      <c r="D761" s="120"/>
      <c r="E761" s="125"/>
      <c r="F761" s="120"/>
      <c r="G761" s="125"/>
      <c r="H761" s="125"/>
      <c r="I761" s="125"/>
      <c r="J761" s="120"/>
      <c r="K761" s="120"/>
      <c r="L761" s="120"/>
      <c r="M761" s="120"/>
      <c r="N761" s="121"/>
      <c r="O761" s="121"/>
      <c r="P761" s="121"/>
      <c r="Q761" s="121"/>
      <c r="R761" s="121"/>
      <c r="S761" s="121"/>
      <c r="T761" s="121"/>
      <c r="U761" s="121"/>
      <c r="V761" s="121"/>
    </row>
    <row r="762">
      <c r="A762" s="120"/>
      <c r="B762" s="123"/>
      <c r="C762" s="124"/>
      <c r="D762" s="120"/>
      <c r="E762" s="125"/>
      <c r="F762" s="120"/>
      <c r="G762" s="125"/>
      <c r="H762" s="125"/>
      <c r="I762" s="125"/>
      <c r="J762" s="120"/>
      <c r="K762" s="120"/>
      <c r="L762" s="120"/>
      <c r="M762" s="120"/>
      <c r="N762" s="121"/>
      <c r="O762" s="121"/>
      <c r="P762" s="121"/>
      <c r="Q762" s="121"/>
      <c r="R762" s="121"/>
      <c r="S762" s="121"/>
      <c r="T762" s="121"/>
      <c r="U762" s="121"/>
      <c r="V762" s="121"/>
    </row>
    <row r="763">
      <c r="A763" s="120"/>
      <c r="B763" s="123"/>
      <c r="C763" s="124"/>
      <c r="D763" s="120"/>
      <c r="E763" s="125"/>
      <c r="F763" s="120"/>
      <c r="G763" s="125"/>
      <c r="H763" s="125"/>
      <c r="I763" s="125"/>
      <c r="J763" s="120"/>
      <c r="K763" s="120"/>
      <c r="L763" s="120"/>
      <c r="M763" s="120"/>
      <c r="N763" s="121"/>
      <c r="O763" s="121"/>
      <c r="P763" s="121"/>
      <c r="Q763" s="121"/>
      <c r="R763" s="121"/>
      <c r="S763" s="121"/>
      <c r="T763" s="121"/>
      <c r="U763" s="121"/>
      <c r="V763" s="121"/>
    </row>
    <row r="764">
      <c r="A764" s="120"/>
      <c r="B764" s="123"/>
      <c r="C764" s="124"/>
      <c r="D764" s="120"/>
      <c r="E764" s="125"/>
      <c r="F764" s="120"/>
      <c r="G764" s="125"/>
      <c r="H764" s="125"/>
      <c r="I764" s="125"/>
      <c r="J764" s="120"/>
      <c r="K764" s="120"/>
      <c r="L764" s="120"/>
      <c r="M764" s="120"/>
      <c r="N764" s="121"/>
      <c r="O764" s="121"/>
      <c r="P764" s="121"/>
      <c r="Q764" s="121"/>
      <c r="R764" s="121"/>
      <c r="S764" s="121"/>
      <c r="T764" s="121"/>
      <c r="U764" s="121"/>
      <c r="V764" s="121"/>
    </row>
    <row r="765">
      <c r="A765" s="120"/>
      <c r="B765" s="123"/>
      <c r="C765" s="124"/>
      <c r="D765" s="120"/>
      <c r="E765" s="125"/>
      <c r="F765" s="120"/>
      <c r="G765" s="125"/>
      <c r="H765" s="125"/>
      <c r="I765" s="125"/>
      <c r="J765" s="120"/>
      <c r="K765" s="120"/>
      <c r="L765" s="120"/>
      <c r="M765" s="120"/>
      <c r="N765" s="121"/>
      <c r="O765" s="121"/>
      <c r="P765" s="121"/>
      <c r="Q765" s="121"/>
      <c r="R765" s="121"/>
      <c r="S765" s="121"/>
      <c r="T765" s="121"/>
      <c r="U765" s="121"/>
      <c r="V765" s="121"/>
    </row>
    <row r="766">
      <c r="A766" s="120"/>
      <c r="B766" s="123"/>
      <c r="C766" s="124"/>
      <c r="D766" s="120"/>
      <c r="E766" s="125"/>
      <c r="F766" s="120"/>
      <c r="G766" s="125"/>
      <c r="H766" s="125"/>
      <c r="I766" s="125"/>
      <c r="J766" s="120"/>
      <c r="K766" s="120"/>
      <c r="L766" s="120"/>
      <c r="M766" s="120"/>
      <c r="N766" s="121"/>
      <c r="O766" s="121"/>
      <c r="P766" s="121"/>
      <c r="Q766" s="121"/>
      <c r="R766" s="121"/>
      <c r="S766" s="121"/>
      <c r="T766" s="121"/>
      <c r="U766" s="121"/>
      <c r="V766" s="121"/>
    </row>
    <row r="767">
      <c r="A767" s="120"/>
      <c r="B767" s="123"/>
      <c r="C767" s="124"/>
      <c r="D767" s="120"/>
      <c r="E767" s="125"/>
      <c r="F767" s="120"/>
      <c r="G767" s="125"/>
      <c r="H767" s="125"/>
      <c r="I767" s="125"/>
      <c r="J767" s="120"/>
      <c r="K767" s="120"/>
      <c r="L767" s="120"/>
      <c r="M767" s="120"/>
      <c r="N767" s="121"/>
      <c r="O767" s="121"/>
      <c r="P767" s="121"/>
      <c r="Q767" s="121"/>
      <c r="R767" s="121"/>
      <c r="S767" s="121"/>
      <c r="T767" s="121"/>
      <c r="U767" s="121"/>
      <c r="V767" s="121"/>
    </row>
    <row r="768">
      <c r="A768" s="120"/>
      <c r="B768" s="123"/>
      <c r="C768" s="124"/>
      <c r="D768" s="120"/>
      <c r="E768" s="125"/>
      <c r="F768" s="120"/>
      <c r="G768" s="125"/>
      <c r="H768" s="125"/>
      <c r="I768" s="125"/>
      <c r="J768" s="120"/>
      <c r="K768" s="120"/>
      <c r="L768" s="120"/>
      <c r="M768" s="120"/>
      <c r="N768" s="121"/>
      <c r="O768" s="121"/>
      <c r="P768" s="121"/>
      <c r="Q768" s="121"/>
      <c r="R768" s="121"/>
      <c r="S768" s="121"/>
      <c r="T768" s="121"/>
      <c r="U768" s="121"/>
      <c r="V768" s="121"/>
    </row>
    <row r="769">
      <c r="A769" s="120"/>
      <c r="B769" s="123"/>
      <c r="C769" s="124"/>
      <c r="D769" s="120"/>
      <c r="E769" s="125"/>
      <c r="F769" s="120"/>
      <c r="G769" s="125"/>
      <c r="H769" s="125"/>
      <c r="I769" s="125"/>
      <c r="J769" s="120"/>
      <c r="K769" s="120"/>
      <c r="L769" s="120"/>
      <c r="M769" s="120"/>
      <c r="N769" s="121"/>
      <c r="O769" s="121"/>
      <c r="P769" s="121"/>
      <c r="Q769" s="121"/>
      <c r="R769" s="121"/>
      <c r="S769" s="121"/>
      <c r="T769" s="121"/>
      <c r="U769" s="121"/>
      <c r="V769" s="121"/>
    </row>
    <row r="770">
      <c r="A770" s="120"/>
      <c r="B770" s="123"/>
      <c r="C770" s="124"/>
      <c r="D770" s="120"/>
      <c r="E770" s="125"/>
      <c r="F770" s="120"/>
      <c r="G770" s="125"/>
      <c r="H770" s="125"/>
      <c r="I770" s="125"/>
      <c r="J770" s="120"/>
      <c r="K770" s="120"/>
      <c r="L770" s="120"/>
      <c r="M770" s="120"/>
      <c r="N770" s="121"/>
      <c r="O770" s="121"/>
      <c r="P770" s="121"/>
      <c r="Q770" s="121"/>
      <c r="R770" s="121"/>
      <c r="S770" s="121"/>
      <c r="T770" s="121"/>
      <c r="U770" s="121"/>
      <c r="V770" s="121"/>
    </row>
    <row r="771">
      <c r="A771" s="120"/>
      <c r="B771" s="123"/>
      <c r="C771" s="124"/>
      <c r="D771" s="120"/>
      <c r="E771" s="125"/>
      <c r="F771" s="120"/>
      <c r="G771" s="125"/>
      <c r="H771" s="125"/>
      <c r="I771" s="125"/>
      <c r="J771" s="120"/>
      <c r="K771" s="120"/>
      <c r="L771" s="120"/>
      <c r="M771" s="120"/>
      <c r="N771" s="121"/>
      <c r="O771" s="121"/>
      <c r="P771" s="121"/>
      <c r="Q771" s="121"/>
      <c r="R771" s="121"/>
      <c r="S771" s="121"/>
      <c r="T771" s="121"/>
      <c r="U771" s="121"/>
      <c r="V771" s="121"/>
    </row>
    <row r="772">
      <c r="A772" s="120"/>
      <c r="B772" s="123"/>
      <c r="C772" s="124"/>
      <c r="D772" s="120"/>
      <c r="E772" s="125"/>
      <c r="F772" s="120"/>
      <c r="G772" s="125"/>
      <c r="H772" s="125"/>
      <c r="I772" s="125"/>
      <c r="J772" s="120"/>
      <c r="K772" s="120"/>
      <c r="L772" s="120"/>
      <c r="M772" s="120"/>
      <c r="N772" s="121"/>
      <c r="O772" s="121"/>
      <c r="P772" s="121"/>
      <c r="Q772" s="121"/>
      <c r="R772" s="121"/>
      <c r="S772" s="121"/>
      <c r="T772" s="121"/>
      <c r="U772" s="121"/>
      <c r="V772" s="121"/>
    </row>
    <row r="773">
      <c r="A773" s="120"/>
      <c r="B773" s="123"/>
      <c r="C773" s="124"/>
      <c r="D773" s="120"/>
      <c r="E773" s="125"/>
      <c r="F773" s="120"/>
      <c r="G773" s="125"/>
      <c r="H773" s="125"/>
      <c r="I773" s="125"/>
      <c r="J773" s="120"/>
      <c r="K773" s="120"/>
      <c r="L773" s="120"/>
      <c r="M773" s="120"/>
      <c r="N773" s="121"/>
      <c r="O773" s="121"/>
      <c r="P773" s="121"/>
      <c r="Q773" s="121"/>
      <c r="R773" s="121"/>
      <c r="S773" s="121"/>
      <c r="T773" s="121"/>
      <c r="U773" s="121"/>
      <c r="V773" s="121"/>
    </row>
    <row r="774">
      <c r="A774" s="120"/>
      <c r="B774" s="123"/>
      <c r="C774" s="124"/>
      <c r="D774" s="120"/>
      <c r="E774" s="125"/>
      <c r="F774" s="120"/>
      <c r="G774" s="125"/>
      <c r="H774" s="125"/>
      <c r="I774" s="125"/>
      <c r="J774" s="120"/>
      <c r="K774" s="120"/>
      <c r="L774" s="120"/>
      <c r="M774" s="120"/>
      <c r="N774" s="121"/>
      <c r="O774" s="121"/>
      <c r="P774" s="121"/>
      <c r="Q774" s="121"/>
      <c r="R774" s="121"/>
      <c r="S774" s="121"/>
      <c r="T774" s="121"/>
      <c r="U774" s="121"/>
      <c r="V774" s="121"/>
    </row>
    <row r="775">
      <c r="A775" s="120"/>
      <c r="B775" s="123"/>
      <c r="C775" s="124"/>
      <c r="D775" s="120"/>
      <c r="E775" s="125"/>
      <c r="F775" s="120"/>
      <c r="G775" s="125"/>
      <c r="H775" s="125"/>
      <c r="I775" s="125"/>
      <c r="J775" s="120"/>
      <c r="K775" s="120"/>
      <c r="L775" s="120"/>
      <c r="M775" s="120"/>
      <c r="N775" s="121"/>
      <c r="O775" s="121"/>
      <c r="P775" s="121"/>
      <c r="Q775" s="121"/>
      <c r="R775" s="121"/>
      <c r="S775" s="121"/>
      <c r="T775" s="121"/>
      <c r="U775" s="121"/>
      <c r="V775" s="121"/>
    </row>
    <row r="776">
      <c r="A776" s="120"/>
      <c r="B776" s="123"/>
      <c r="C776" s="124"/>
      <c r="D776" s="120"/>
      <c r="E776" s="125"/>
      <c r="F776" s="120"/>
      <c r="G776" s="125"/>
      <c r="H776" s="125"/>
      <c r="I776" s="125"/>
      <c r="J776" s="120"/>
      <c r="K776" s="120"/>
      <c r="L776" s="120"/>
      <c r="M776" s="120"/>
      <c r="N776" s="121"/>
      <c r="O776" s="121"/>
      <c r="P776" s="121"/>
      <c r="Q776" s="121"/>
      <c r="R776" s="121"/>
      <c r="S776" s="121"/>
      <c r="T776" s="121"/>
      <c r="U776" s="121"/>
      <c r="V776" s="121"/>
    </row>
    <row r="777">
      <c r="A777" s="120"/>
      <c r="B777" s="123"/>
      <c r="C777" s="124"/>
      <c r="D777" s="120"/>
      <c r="E777" s="125"/>
      <c r="F777" s="120"/>
      <c r="G777" s="125"/>
      <c r="H777" s="125"/>
      <c r="I777" s="125"/>
      <c r="J777" s="120"/>
      <c r="K777" s="120"/>
      <c r="L777" s="120"/>
      <c r="M777" s="120"/>
      <c r="N777" s="121"/>
      <c r="O777" s="121"/>
      <c r="P777" s="121"/>
      <c r="Q777" s="121"/>
      <c r="R777" s="121"/>
      <c r="S777" s="121"/>
      <c r="T777" s="121"/>
      <c r="U777" s="121"/>
      <c r="V777" s="121"/>
    </row>
    <row r="778">
      <c r="A778" s="120"/>
      <c r="B778" s="123"/>
      <c r="C778" s="124"/>
      <c r="D778" s="120"/>
      <c r="E778" s="125"/>
      <c r="F778" s="120"/>
      <c r="G778" s="125"/>
      <c r="H778" s="125"/>
      <c r="I778" s="125"/>
      <c r="J778" s="120"/>
      <c r="K778" s="120"/>
      <c r="L778" s="120"/>
      <c r="M778" s="120"/>
      <c r="N778" s="121"/>
      <c r="O778" s="121"/>
      <c r="P778" s="121"/>
      <c r="Q778" s="121"/>
      <c r="R778" s="121"/>
      <c r="S778" s="121"/>
      <c r="T778" s="121"/>
      <c r="U778" s="121"/>
      <c r="V778" s="121"/>
    </row>
    <row r="779">
      <c r="A779" s="120"/>
      <c r="B779" s="123"/>
      <c r="C779" s="124"/>
      <c r="D779" s="120"/>
      <c r="E779" s="125"/>
      <c r="F779" s="120"/>
      <c r="G779" s="125"/>
      <c r="H779" s="125"/>
      <c r="I779" s="125"/>
      <c r="J779" s="120"/>
      <c r="K779" s="120"/>
      <c r="L779" s="120"/>
      <c r="M779" s="120"/>
      <c r="N779" s="121"/>
      <c r="O779" s="121"/>
      <c r="P779" s="121"/>
      <c r="Q779" s="121"/>
      <c r="R779" s="121"/>
      <c r="S779" s="121"/>
      <c r="T779" s="121"/>
      <c r="U779" s="121"/>
      <c r="V779" s="121"/>
    </row>
    <row r="780">
      <c r="A780" s="120"/>
      <c r="B780" s="123"/>
      <c r="C780" s="124"/>
      <c r="D780" s="120"/>
      <c r="E780" s="125"/>
      <c r="F780" s="120"/>
      <c r="G780" s="125"/>
      <c r="H780" s="125"/>
      <c r="I780" s="125"/>
      <c r="J780" s="120"/>
      <c r="K780" s="120"/>
      <c r="L780" s="120"/>
      <c r="M780" s="120"/>
      <c r="N780" s="121"/>
      <c r="O780" s="121"/>
      <c r="P780" s="121"/>
      <c r="Q780" s="121"/>
      <c r="R780" s="121"/>
      <c r="S780" s="121"/>
      <c r="T780" s="121"/>
      <c r="U780" s="121"/>
      <c r="V780" s="121"/>
    </row>
    <row r="781">
      <c r="A781" s="120"/>
      <c r="B781" s="123"/>
      <c r="C781" s="124"/>
      <c r="D781" s="120"/>
      <c r="E781" s="125"/>
      <c r="F781" s="120"/>
      <c r="G781" s="125"/>
      <c r="H781" s="125"/>
      <c r="I781" s="125"/>
      <c r="J781" s="120"/>
      <c r="K781" s="120"/>
      <c r="L781" s="120"/>
      <c r="M781" s="120"/>
      <c r="N781" s="121"/>
      <c r="O781" s="121"/>
      <c r="P781" s="121"/>
      <c r="Q781" s="121"/>
      <c r="R781" s="121"/>
      <c r="S781" s="121"/>
      <c r="T781" s="121"/>
      <c r="U781" s="121"/>
      <c r="V781" s="121"/>
    </row>
    <row r="782">
      <c r="A782" s="120"/>
      <c r="B782" s="123"/>
      <c r="C782" s="124"/>
      <c r="D782" s="120"/>
      <c r="E782" s="125"/>
      <c r="F782" s="120"/>
      <c r="G782" s="125"/>
      <c r="H782" s="125"/>
      <c r="I782" s="125"/>
      <c r="J782" s="120"/>
      <c r="K782" s="120"/>
      <c r="L782" s="120"/>
      <c r="M782" s="120"/>
      <c r="N782" s="121"/>
      <c r="O782" s="121"/>
      <c r="P782" s="121"/>
      <c r="Q782" s="121"/>
      <c r="R782" s="121"/>
      <c r="S782" s="121"/>
      <c r="T782" s="121"/>
      <c r="U782" s="121"/>
      <c r="V782" s="121"/>
    </row>
    <row r="783">
      <c r="A783" s="120"/>
      <c r="B783" s="123"/>
      <c r="C783" s="124"/>
      <c r="D783" s="120"/>
      <c r="E783" s="122"/>
      <c r="F783" s="120"/>
      <c r="G783" s="122"/>
      <c r="H783" s="122"/>
      <c r="I783" s="122"/>
      <c r="J783" s="120"/>
      <c r="K783" s="120"/>
      <c r="L783" s="120"/>
      <c r="M783" s="120"/>
      <c r="N783" s="121"/>
      <c r="O783" s="121"/>
      <c r="P783" s="121"/>
      <c r="Q783" s="121"/>
      <c r="R783" s="121"/>
      <c r="S783" s="121"/>
      <c r="T783" s="121"/>
      <c r="U783" s="121"/>
      <c r="V783" s="121"/>
    </row>
    <row r="784">
      <c r="A784" s="120"/>
      <c r="B784" s="123"/>
      <c r="C784" s="124"/>
      <c r="D784" s="120"/>
      <c r="E784" s="122"/>
      <c r="F784" s="120"/>
      <c r="G784" s="122"/>
      <c r="H784" s="122"/>
      <c r="I784" s="122"/>
      <c r="J784" s="120"/>
      <c r="K784" s="120"/>
      <c r="L784" s="120"/>
      <c r="M784" s="120"/>
      <c r="N784" s="121"/>
      <c r="O784" s="121"/>
      <c r="P784" s="121"/>
      <c r="Q784" s="121"/>
      <c r="R784" s="121"/>
      <c r="S784" s="121"/>
      <c r="T784" s="121"/>
      <c r="U784" s="121"/>
      <c r="V784" s="121"/>
    </row>
    <row r="785">
      <c r="A785" s="120"/>
      <c r="B785" s="123"/>
      <c r="C785" s="124"/>
      <c r="D785" s="120"/>
      <c r="E785" s="122"/>
      <c r="F785" s="120"/>
      <c r="G785" s="122"/>
      <c r="H785" s="122"/>
      <c r="I785" s="122"/>
      <c r="J785" s="120"/>
      <c r="K785" s="120"/>
      <c r="L785" s="120"/>
      <c r="M785" s="120"/>
      <c r="N785" s="121"/>
      <c r="O785" s="121"/>
      <c r="P785" s="121"/>
      <c r="Q785" s="121"/>
      <c r="R785" s="121"/>
      <c r="S785" s="121"/>
      <c r="T785" s="121"/>
      <c r="U785" s="121"/>
      <c r="V785" s="121"/>
    </row>
    <row r="786">
      <c r="A786" s="120"/>
      <c r="B786" s="123"/>
      <c r="C786" s="124"/>
      <c r="D786" s="120"/>
      <c r="E786" s="122"/>
      <c r="F786" s="120"/>
      <c r="G786" s="122"/>
      <c r="H786" s="122"/>
      <c r="I786" s="122"/>
      <c r="J786" s="120"/>
      <c r="K786" s="120"/>
      <c r="L786" s="120"/>
      <c r="M786" s="120"/>
      <c r="N786" s="121"/>
      <c r="O786" s="121"/>
      <c r="P786" s="121"/>
      <c r="Q786" s="121"/>
      <c r="R786" s="121"/>
      <c r="S786" s="121"/>
      <c r="T786" s="121"/>
      <c r="U786" s="121"/>
      <c r="V786" s="121"/>
    </row>
    <row r="787">
      <c r="A787" s="120"/>
      <c r="B787" s="123"/>
      <c r="C787" s="124"/>
      <c r="D787" s="120"/>
      <c r="E787" s="122"/>
      <c r="F787" s="120"/>
      <c r="G787" s="122"/>
      <c r="H787" s="122"/>
      <c r="I787" s="122"/>
      <c r="J787" s="120"/>
      <c r="K787" s="120"/>
      <c r="L787" s="120"/>
      <c r="M787" s="120"/>
      <c r="N787" s="121"/>
      <c r="O787" s="121"/>
      <c r="P787" s="121"/>
      <c r="Q787" s="121"/>
      <c r="R787" s="121"/>
      <c r="S787" s="121"/>
      <c r="T787" s="121"/>
      <c r="U787" s="121"/>
      <c r="V787" s="121"/>
    </row>
    <row r="788">
      <c r="A788" s="120"/>
      <c r="B788" s="123"/>
      <c r="C788" s="124"/>
      <c r="D788" s="120"/>
      <c r="E788" s="122"/>
      <c r="F788" s="120"/>
      <c r="G788" s="122"/>
      <c r="H788" s="122"/>
      <c r="I788" s="122"/>
      <c r="J788" s="120"/>
      <c r="K788" s="120"/>
      <c r="L788" s="120"/>
      <c r="M788" s="120"/>
      <c r="N788" s="121"/>
      <c r="O788" s="121"/>
      <c r="P788" s="121"/>
      <c r="Q788" s="121"/>
      <c r="R788" s="121"/>
      <c r="S788" s="121"/>
      <c r="T788" s="121"/>
      <c r="U788" s="121"/>
      <c r="V788" s="121"/>
    </row>
    <row r="789">
      <c r="A789" s="120"/>
      <c r="B789" s="123"/>
      <c r="C789" s="124"/>
      <c r="D789" s="120"/>
      <c r="E789" s="122"/>
      <c r="F789" s="120"/>
      <c r="G789" s="122"/>
      <c r="H789" s="122"/>
      <c r="I789" s="122"/>
      <c r="J789" s="120"/>
      <c r="K789" s="120"/>
      <c r="L789" s="120"/>
      <c r="M789" s="120"/>
      <c r="N789" s="121"/>
      <c r="O789" s="121"/>
      <c r="P789" s="121"/>
      <c r="Q789" s="121"/>
      <c r="R789" s="121"/>
      <c r="S789" s="121"/>
      <c r="T789" s="121"/>
      <c r="U789" s="121"/>
      <c r="V789" s="121"/>
    </row>
    <row r="790">
      <c r="A790" s="120"/>
      <c r="B790" s="123"/>
      <c r="C790" s="124"/>
      <c r="D790" s="120"/>
      <c r="E790" s="122"/>
      <c r="F790" s="120"/>
      <c r="G790" s="122"/>
      <c r="H790" s="122"/>
      <c r="I790" s="122"/>
      <c r="J790" s="120"/>
      <c r="K790" s="120"/>
      <c r="L790" s="120"/>
      <c r="M790" s="120"/>
      <c r="N790" s="121"/>
      <c r="O790" s="121"/>
      <c r="P790" s="121"/>
      <c r="Q790" s="121"/>
      <c r="R790" s="121"/>
      <c r="S790" s="121"/>
      <c r="T790" s="121"/>
      <c r="U790" s="121"/>
      <c r="V790" s="121"/>
    </row>
    <row r="791">
      <c r="A791" s="120"/>
      <c r="B791" s="123"/>
      <c r="C791" s="124"/>
      <c r="D791" s="120"/>
      <c r="E791" s="122"/>
      <c r="F791" s="120"/>
      <c r="G791" s="122"/>
      <c r="H791" s="122"/>
      <c r="I791" s="122"/>
      <c r="J791" s="120"/>
      <c r="K791" s="120"/>
      <c r="L791" s="120"/>
      <c r="M791" s="120"/>
      <c r="N791" s="121"/>
      <c r="O791" s="121"/>
      <c r="P791" s="121"/>
      <c r="Q791" s="121"/>
      <c r="R791" s="121"/>
      <c r="S791" s="121"/>
      <c r="T791" s="121"/>
      <c r="U791" s="121"/>
      <c r="V791" s="121"/>
    </row>
    <row r="792">
      <c r="A792" s="120"/>
      <c r="B792" s="123"/>
      <c r="C792" s="124"/>
      <c r="D792" s="120"/>
      <c r="E792" s="122"/>
      <c r="F792" s="120"/>
      <c r="G792" s="122"/>
      <c r="H792" s="122"/>
      <c r="I792" s="122"/>
      <c r="J792" s="120"/>
      <c r="K792" s="120"/>
      <c r="L792" s="120"/>
      <c r="M792" s="120"/>
      <c r="N792" s="121"/>
      <c r="O792" s="121"/>
      <c r="P792" s="121"/>
      <c r="Q792" s="121"/>
      <c r="R792" s="121"/>
      <c r="S792" s="121"/>
      <c r="T792" s="121"/>
      <c r="U792" s="121"/>
      <c r="V792" s="121"/>
    </row>
    <row r="793">
      <c r="A793" s="120"/>
      <c r="B793" s="123"/>
      <c r="C793" s="124"/>
      <c r="D793" s="120"/>
      <c r="E793" s="122"/>
      <c r="F793" s="120"/>
      <c r="G793" s="122"/>
      <c r="H793" s="122"/>
      <c r="I793" s="122"/>
      <c r="J793" s="120"/>
      <c r="K793" s="120"/>
      <c r="L793" s="120"/>
      <c r="M793" s="120"/>
      <c r="N793" s="121"/>
      <c r="O793" s="121"/>
      <c r="P793" s="121"/>
      <c r="Q793" s="121"/>
      <c r="R793" s="121"/>
      <c r="S793" s="121"/>
      <c r="T793" s="121"/>
      <c r="U793" s="121"/>
      <c r="V793" s="121"/>
    </row>
    <row r="794">
      <c r="A794" s="120"/>
      <c r="B794" s="123"/>
      <c r="C794" s="124"/>
      <c r="D794" s="120"/>
      <c r="E794" s="122"/>
      <c r="F794" s="120"/>
      <c r="G794" s="122"/>
      <c r="H794" s="122"/>
      <c r="I794" s="122"/>
      <c r="J794" s="120"/>
      <c r="K794" s="120"/>
      <c r="L794" s="120"/>
      <c r="M794" s="120"/>
      <c r="N794" s="121"/>
      <c r="O794" s="121"/>
      <c r="P794" s="121"/>
      <c r="Q794" s="121"/>
      <c r="R794" s="121"/>
      <c r="S794" s="121"/>
      <c r="T794" s="121"/>
      <c r="U794" s="121"/>
      <c r="V794" s="121"/>
    </row>
    <row r="795">
      <c r="A795" s="120"/>
      <c r="B795" s="123"/>
      <c r="C795" s="124"/>
      <c r="D795" s="120"/>
      <c r="E795" s="122"/>
      <c r="F795" s="120"/>
      <c r="G795" s="122"/>
      <c r="H795" s="122"/>
      <c r="I795" s="122"/>
      <c r="J795" s="120"/>
      <c r="K795" s="120"/>
      <c r="L795" s="120"/>
      <c r="M795" s="120"/>
      <c r="N795" s="121"/>
      <c r="O795" s="121"/>
      <c r="P795" s="121"/>
      <c r="Q795" s="121"/>
      <c r="R795" s="121"/>
      <c r="S795" s="121"/>
      <c r="T795" s="121"/>
      <c r="U795" s="121"/>
      <c r="V795" s="121"/>
    </row>
    <row r="796">
      <c r="A796" s="120"/>
      <c r="B796" s="123"/>
      <c r="C796" s="124"/>
      <c r="D796" s="120"/>
      <c r="E796" s="122"/>
      <c r="F796" s="120"/>
      <c r="G796" s="122"/>
      <c r="H796" s="122"/>
      <c r="I796" s="122"/>
      <c r="J796" s="120"/>
      <c r="K796" s="120"/>
      <c r="L796" s="120"/>
      <c r="M796" s="120"/>
      <c r="N796" s="121"/>
      <c r="O796" s="121"/>
      <c r="P796" s="121"/>
      <c r="Q796" s="121"/>
      <c r="R796" s="121"/>
      <c r="S796" s="121"/>
      <c r="T796" s="121"/>
      <c r="U796" s="121"/>
      <c r="V796" s="121"/>
    </row>
    <row r="797">
      <c r="A797" s="120"/>
      <c r="B797" s="123"/>
      <c r="C797" s="124"/>
      <c r="D797" s="120"/>
      <c r="E797" s="122"/>
      <c r="F797" s="120"/>
      <c r="G797" s="122"/>
      <c r="H797" s="122"/>
      <c r="I797" s="122"/>
      <c r="J797" s="120"/>
      <c r="K797" s="120"/>
      <c r="L797" s="120"/>
      <c r="M797" s="120"/>
      <c r="N797" s="121"/>
      <c r="O797" s="121"/>
      <c r="P797" s="121"/>
      <c r="Q797" s="121"/>
      <c r="R797" s="121"/>
      <c r="S797" s="121"/>
      <c r="T797" s="121"/>
      <c r="U797" s="121"/>
      <c r="V797" s="121"/>
    </row>
    <row r="798">
      <c r="A798" s="120"/>
      <c r="B798" s="123"/>
      <c r="C798" s="124"/>
      <c r="D798" s="120"/>
      <c r="E798" s="122"/>
      <c r="F798" s="120"/>
      <c r="G798" s="122"/>
      <c r="H798" s="122"/>
      <c r="I798" s="122"/>
      <c r="J798" s="120"/>
      <c r="K798" s="120"/>
      <c r="L798" s="120"/>
      <c r="M798" s="120"/>
      <c r="N798" s="121"/>
      <c r="O798" s="121"/>
      <c r="P798" s="121"/>
      <c r="Q798" s="121"/>
      <c r="R798" s="121"/>
      <c r="S798" s="121"/>
      <c r="T798" s="121"/>
      <c r="U798" s="121"/>
      <c r="V798" s="121"/>
    </row>
    <row r="799">
      <c r="A799" s="120"/>
      <c r="B799" s="123"/>
      <c r="C799" s="124"/>
      <c r="D799" s="120"/>
      <c r="E799" s="122"/>
      <c r="F799" s="120"/>
      <c r="G799" s="122"/>
      <c r="H799" s="122"/>
      <c r="I799" s="122"/>
      <c r="J799" s="120"/>
      <c r="K799" s="120"/>
      <c r="L799" s="120"/>
      <c r="M799" s="120"/>
      <c r="N799" s="121"/>
      <c r="O799" s="121"/>
      <c r="P799" s="121"/>
      <c r="Q799" s="121"/>
      <c r="R799" s="121"/>
      <c r="S799" s="121"/>
      <c r="T799" s="121"/>
      <c r="U799" s="121"/>
      <c r="V799" s="121"/>
    </row>
    <row r="800">
      <c r="A800" s="120"/>
      <c r="B800" s="123"/>
      <c r="C800" s="124"/>
      <c r="D800" s="120"/>
      <c r="E800" s="122"/>
      <c r="F800" s="120"/>
      <c r="G800" s="122"/>
      <c r="H800" s="122"/>
      <c r="I800" s="122"/>
      <c r="J800" s="120"/>
      <c r="K800" s="120"/>
      <c r="L800" s="120"/>
      <c r="M800" s="120"/>
      <c r="N800" s="121"/>
      <c r="O800" s="121"/>
      <c r="P800" s="121"/>
      <c r="Q800" s="121"/>
      <c r="R800" s="121"/>
      <c r="S800" s="121"/>
      <c r="T800" s="121"/>
      <c r="U800" s="121"/>
      <c r="V800" s="121"/>
    </row>
    <row r="801">
      <c r="A801" s="120"/>
      <c r="B801" s="123"/>
      <c r="C801" s="124"/>
      <c r="D801" s="120"/>
      <c r="E801" s="125"/>
      <c r="F801" s="120"/>
      <c r="G801" s="125"/>
      <c r="H801" s="125"/>
      <c r="I801" s="125"/>
      <c r="J801" s="120"/>
      <c r="K801" s="120"/>
      <c r="L801" s="120"/>
      <c r="M801" s="120"/>
      <c r="N801" s="121"/>
      <c r="O801" s="121"/>
      <c r="P801" s="121"/>
      <c r="Q801" s="121"/>
      <c r="R801" s="121"/>
      <c r="S801" s="121"/>
      <c r="T801" s="121"/>
      <c r="U801" s="121"/>
      <c r="V801" s="121"/>
    </row>
    <row r="802">
      <c r="A802" s="120"/>
      <c r="B802" s="123"/>
      <c r="C802" s="124"/>
      <c r="D802" s="120"/>
      <c r="E802" s="125"/>
      <c r="F802" s="120"/>
      <c r="G802" s="125"/>
      <c r="H802" s="125"/>
      <c r="I802" s="125"/>
      <c r="J802" s="120"/>
      <c r="K802" s="120"/>
      <c r="L802" s="120"/>
      <c r="M802" s="120"/>
      <c r="N802" s="121"/>
      <c r="O802" s="121"/>
      <c r="P802" s="121"/>
      <c r="Q802" s="121"/>
      <c r="R802" s="121"/>
      <c r="S802" s="121"/>
      <c r="T802" s="121"/>
      <c r="U802" s="121"/>
      <c r="V802" s="121"/>
    </row>
    <row r="803">
      <c r="A803" s="120"/>
      <c r="B803" s="123"/>
      <c r="C803" s="124"/>
      <c r="D803" s="120"/>
      <c r="E803" s="125"/>
      <c r="F803" s="120"/>
      <c r="G803" s="125"/>
      <c r="H803" s="125"/>
      <c r="I803" s="125"/>
      <c r="J803" s="120"/>
      <c r="K803" s="120"/>
      <c r="L803" s="120"/>
      <c r="M803" s="120"/>
      <c r="N803" s="121"/>
      <c r="O803" s="121"/>
      <c r="P803" s="121"/>
      <c r="Q803" s="121"/>
      <c r="R803" s="121"/>
      <c r="S803" s="121"/>
      <c r="T803" s="121"/>
      <c r="U803" s="121"/>
      <c r="V803" s="121"/>
    </row>
    <row r="804">
      <c r="A804" s="120"/>
      <c r="B804" s="123"/>
      <c r="C804" s="124"/>
      <c r="D804" s="120"/>
      <c r="E804" s="125"/>
      <c r="F804" s="120"/>
      <c r="G804" s="125"/>
      <c r="H804" s="125"/>
      <c r="I804" s="125"/>
      <c r="J804" s="120"/>
      <c r="K804" s="120"/>
      <c r="L804" s="120"/>
      <c r="M804" s="120"/>
      <c r="N804" s="121"/>
      <c r="O804" s="121"/>
      <c r="P804" s="121"/>
      <c r="Q804" s="121"/>
      <c r="R804" s="121"/>
      <c r="S804" s="121"/>
      <c r="T804" s="121"/>
      <c r="U804" s="121"/>
      <c r="V804" s="121"/>
    </row>
    <row r="805">
      <c r="A805" s="120"/>
      <c r="B805" s="123"/>
      <c r="C805" s="124"/>
      <c r="D805" s="120"/>
      <c r="E805" s="125"/>
      <c r="F805" s="120"/>
      <c r="G805" s="125"/>
      <c r="H805" s="125"/>
      <c r="I805" s="125"/>
      <c r="J805" s="120"/>
      <c r="K805" s="120"/>
      <c r="L805" s="120"/>
      <c r="M805" s="120"/>
      <c r="N805" s="121"/>
      <c r="O805" s="121"/>
      <c r="P805" s="121"/>
      <c r="Q805" s="121"/>
      <c r="R805" s="121"/>
      <c r="S805" s="121"/>
      <c r="T805" s="121"/>
      <c r="U805" s="121"/>
      <c r="V805" s="121"/>
    </row>
    <row r="806">
      <c r="A806" s="120"/>
      <c r="B806" s="123"/>
      <c r="C806" s="124"/>
      <c r="D806" s="120"/>
      <c r="E806" s="125"/>
      <c r="F806" s="120"/>
      <c r="G806" s="125"/>
      <c r="H806" s="125"/>
      <c r="I806" s="125"/>
      <c r="J806" s="120"/>
      <c r="K806" s="120"/>
      <c r="L806" s="120"/>
      <c r="M806" s="120"/>
      <c r="N806" s="121"/>
      <c r="O806" s="121"/>
      <c r="P806" s="121"/>
      <c r="Q806" s="121"/>
      <c r="R806" s="121"/>
      <c r="S806" s="121"/>
      <c r="T806" s="121"/>
      <c r="U806" s="121"/>
      <c r="V806" s="121"/>
    </row>
    <row r="807">
      <c r="A807" s="120"/>
      <c r="B807" s="123"/>
      <c r="C807" s="124"/>
      <c r="D807" s="120"/>
      <c r="E807" s="125"/>
      <c r="F807" s="120"/>
      <c r="G807" s="125"/>
      <c r="H807" s="125"/>
      <c r="I807" s="125"/>
      <c r="J807" s="120"/>
      <c r="K807" s="120"/>
      <c r="L807" s="120"/>
      <c r="M807" s="120"/>
      <c r="N807" s="121"/>
      <c r="O807" s="121"/>
      <c r="P807" s="121"/>
      <c r="Q807" s="121"/>
      <c r="R807" s="121"/>
      <c r="S807" s="121"/>
      <c r="T807" s="121"/>
      <c r="U807" s="121"/>
      <c r="V807" s="121"/>
    </row>
    <row r="808">
      <c r="A808" s="120"/>
      <c r="B808" s="123"/>
      <c r="C808" s="124"/>
      <c r="D808" s="120"/>
      <c r="E808" s="125"/>
      <c r="F808" s="120"/>
      <c r="G808" s="125"/>
      <c r="H808" s="125"/>
      <c r="I808" s="125"/>
      <c r="J808" s="120"/>
      <c r="K808" s="120"/>
      <c r="L808" s="120"/>
      <c r="M808" s="120"/>
      <c r="N808" s="121"/>
      <c r="O808" s="121"/>
      <c r="P808" s="121"/>
      <c r="Q808" s="121"/>
      <c r="R808" s="121"/>
      <c r="S808" s="121"/>
      <c r="T808" s="121"/>
      <c r="U808" s="121"/>
      <c r="V808" s="121"/>
    </row>
    <row r="809">
      <c r="A809" s="120"/>
      <c r="B809" s="123"/>
      <c r="C809" s="124"/>
      <c r="D809" s="120"/>
      <c r="E809" s="125"/>
      <c r="F809" s="120"/>
      <c r="G809" s="125"/>
      <c r="H809" s="125"/>
      <c r="I809" s="125"/>
      <c r="J809" s="120"/>
      <c r="K809" s="120"/>
      <c r="L809" s="120"/>
      <c r="M809" s="120"/>
      <c r="N809" s="121"/>
      <c r="O809" s="121"/>
      <c r="P809" s="121"/>
      <c r="Q809" s="121"/>
      <c r="R809" s="121"/>
      <c r="S809" s="121"/>
      <c r="T809" s="121"/>
      <c r="U809" s="121"/>
      <c r="V809" s="121"/>
    </row>
    <row r="810">
      <c r="A810" s="120"/>
      <c r="B810" s="123"/>
      <c r="C810" s="124"/>
      <c r="D810" s="120"/>
      <c r="E810" s="125"/>
      <c r="F810" s="120"/>
      <c r="G810" s="125"/>
      <c r="H810" s="125"/>
      <c r="I810" s="125"/>
      <c r="J810" s="120"/>
      <c r="K810" s="120"/>
      <c r="L810" s="120"/>
      <c r="M810" s="120"/>
      <c r="N810" s="121"/>
      <c r="O810" s="121"/>
      <c r="P810" s="121"/>
      <c r="Q810" s="121"/>
      <c r="R810" s="121"/>
      <c r="S810" s="121"/>
      <c r="T810" s="121"/>
      <c r="U810" s="121"/>
      <c r="V810" s="121"/>
    </row>
    <row r="811">
      <c r="A811" s="120"/>
      <c r="B811" s="123"/>
      <c r="C811" s="124"/>
      <c r="D811" s="120"/>
      <c r="E811" s="125"/>
      <c r="F811" s="120"/>
      <c r="G811" s="125"/>
      <c r="H811" s="125"/>
      <c r="I811" s="125"/>
      <c r="J811" s="120"/>
      <c r="K811" s="120"/>
      <c r="L811" s="120"/>
      <c r="M811" s="120"/>
      <c r="N811" s="121"/>
      <c r="O811" s="121"/>
      <c r="P811" s="121"/>
      <c r="Q811" s="121"/>
      <c r="R811" s="121"/>
      <c r="S811" s="121"/>
      <c r="T811" s="121"/>
      <c r="U811" s="121"/>
      <c r="V811" s="121"/>
    </row>
    <row r="812">
      <c r="A812" s="120"/>
      <c r="B812" s="123"/>
      <c r="C812" s="124"/>
      <c r="D812" s="120"/>
      <c r="E812" s="125"/>
      <c r="F812" s="120"/>
      <c r="G812" s="125"/>
      <c r="H812" s="125"/>
      <c r="I812" s="125"/>
      <c r="J812" s="120"/>
      <c r="K812" s="120"/>
      <c r="L812" s="120"/>
      <c r="M812" s="120"/>
      <c r="N812" s="121"/>
      <c r="O812" s="121"/>
      <c r="P812" s="121"/>
      <c r="Q812" s="121"/>
      <c r="R812" s="121"/>
      <c r="S812" s="121"/>
      <c r="T812" s="121"/>
      <c r="U812" s="121"/>
      <c r="V812" s="121"/>
    </row>
    <row r="813">
      <c r="A813" s="120"/>
      <c r="B813" s="123"/>
      <c r="C813" s="124"/>
      <c r="D813" s="120"/>
      <c r="E813" s="125"/>
      <c r="F813" s="120"/>
      <c r="G813" s="125"/>
      <c r="H813" s="125"/>
      <c r="I813" s="125"/>
      <c r="J813" s="120"/>
      <c r="K813" s="120"/>
      <c r="L813" s="120"/>
      <c r="M813" s="120"/>
      <c r="N813" s="121"/>
      <c r="O813" s="121"/>
      <c r="P813" s="121"/>
      <c r="Q813" s="121"/>
      <c r="R813" s="121"/>
      <c r="S813" s="121"/>
      <c r="T813" s="121"/>
      <c r="U813" s="121"/>
      <c r="V813" s="121"/>
    </row>
    <row r="814">
      <c r="A814" s="120"/>
      <c r="B814" s="123"/>
      <c r="C814" s="124"/>
      <c r="D814" s="120"/>
      <c r="E814" s="125"/>
      <c r="F814" s="120"/>
      <c r="G814" s="125"/>
      <c r="H814" s="125"/>
      <c r="I814" s="125"/>
      <c r="J814" s="120"/>
      <c r="K814" s="120"/>
      <c r="L814" s="120"/>
      <c r="M814" s="120"/>
      <c r="N814" s="121"/>
      <c r="O814" s="121"/>
      <c r="P814" s="121"/>
      <c r="Q814" s="121"/>
      <c r="R814" s="121"/>
      <c r="S814" s="121"/>
      <c r="T814" s="121"/>
      <c r="U814" s="121"/>
      <c r="V814" s="121"/>
    </row>
    <row r="815">
      <c r="A815" s="120"/>
      <c r="B815" s="123"/>
      <c r="C815" s="124"/>
      <c r="D815" s="120"/>
      <c r="E815" s="125"/>
      <c r="F815" s="120"/>
      <c r="G815" s="125"/>
      <c r="H815" s="125"/>
      <c r="I815" s="125"/>
      <c r="J815" s="120"/>
      <c r="K815" s="120"/>
      <c r="L815" s="120"/>
      <c r="M815" s="120"/>
      <c r="N815" s="121"/>
      <c r="O815" s="121"/>
      <c r="P815" s="121"/>
      <c r="Q815" s="121"/>
      <c r="R815" s="121"/>
      <c r="S815" s="121"/>
      <c r="T815" s="121"/>
      <c r="U815" s="121"/>
      <c r="V815" s="121"/>
    </row>
    <row r="816">
      <c r="A816" s="120"/>
      <c r="B816" s="123"/>
      <c r="C816" s="124"/>
      <c r="D816" s="120"/>
      <c r="E816" s="125"/>
      <c r="F816" s="120"/>
      <c r="G816" s="125"/>
      <c r="H816" s="125"/>
      <c r="I816" s="125"/>
      <c r="J816" s="120"/>
      <c r="K816" s="120"/>
      <c r="L816" s="120"/>
      <c r="M816" s="120"/>
      <c r="N816" s="121"/>
      <c r="O816" s="121"/>
      <c r="P816" s="121"/>
      <c r="Q816" s="121"/>
      <c r="R816" s="121"/>
      <c r="S816" s="121"/>
      <c r="T816" s="121"/>
      <c r="U816" s="121"/>
      <c r="V816" s="121"/>
    </row>
    <row r="817">
      <c r="A817" s="120"/>
      <c r="B817" s="123"/>
      <c r="C817" s="124"/>
      <c r="D817" s="120"/>
      <c r="E817" s="125"/>
      <c r="F817" s="120"/>
      <c r="G817" s="125"/>
      <c r="H817" s="125"/>
      <c r="I817" s="125"/>
      <c r="J817" s="120"/>
      <c r="K817" s="120"/>
      <c r="L817" s="120"/>
      <c r="M817" s="120"/>
      <c r="N817" s="121"/>
      <c r="O817" s="121"/>
      <c r="P817" s="121"/>
      <c r="Q817" s="121"/>
      <c r="R817" s="121"/>
      <c r="S817" s="121"/>
      <c r="T817" s="121"/>
      <c r="U817" s="121"/>
      <c r="V817" s="121"/>
    </row>
    <row r="818">
      <c r="A818" s="120"/>
      <c r="B818" s="123"/>
      <c r="C818" s="124"/>
      <c r="D818" s="120"/>
      <c r="E818" s="125"/>
      <c r="F818" s="120"/>
      <c r="G818" s="125"/>
      <c r="H818" s="125"/>
      <c r="I818" s="125"/>
      <c r="J818" s="120"/>
      <c r="K818" s="120"/>
      <c r="L818" s="120"/>
      <c r="M818" s="120"/>
      <c r="N818" s="121"/>
      <c r="O818" s="121"/>
      <c r="P818" s="121"/>
      <c r="Q818" s="121"/>
      <c r="R818" s="121"/>
      <c r="S818" s="121"/>
      <c r="T818" s="121"/>
      <c r="U818" s="121"/>
      <c r="V818" s="121"/>
    </row>
    <row r="819">
      <c r="A819" s="120"/>
      <c r="B819" s="123"/>
      <c r="C819" s="124"/>
      <c r="D819" s="120"/>
      <c r="E819" s="125"/>
      <c r="F819" s="120"/>
      <c r="G819" s="125"/>
      <c r="H819" s="125"/>
      <c r="I819" s="125"/>
      <c r="J819" s="120"/>
      <c r="K819" s="120"/>
      <c r="L819" s="120"/>
      <c r="M819" s="120"/>
      <c r="N819" s="121"/>
      <c r="O819" s="121"/>
      <c r="P819" s="121"/>
      <c r="Q819" s="121"/>
      <c r="R819" s="121"/>
      <c r="S819" s="121"/>
      <c r="T819" s="121"/>
      <c r="U819" s="121"/>
      <c r="V819" s="121"/>
    </row>
    <row r="820">
      <c r="A820" s="120"/>
      <c r="B820" s="123"/>
      <c r="C820" s="124"/>
      <c r="D820" s="120"/>
      <c r="E820" s="125"/>
      <c r="F820" s="120"/>
      <c r="G820" s="125"/>
      <c r="H820" s="125"/>
      <c r="I820" s="125"/>
      <c r="J820" s="120"/>
      <c r="K820" s="120"/>
      <c r="L820" s="120"/>
      <c r="M820" s="120"/>
      <c r="N820" s="121"/>
      <c r="O820" s="121"/>
      <c r="P820" s="121"/>
      <c r="Q820" s="121"/>
      <c r="R820" s="121"/>
      <c r="S820" s="121"/>
      <c r="T820" s="121"/>
      <c r="U820" s="121"/>
      <c r="V820" s="121"/>
    </row>
    <row r="821">
      <c r="A821" s="120"/>
      <c r="B821" s="123"/>
      <c r="C821" s="124"/>
      <c r="D821" s="120"/>
      <c r="E821" s="125"/>
      <c r="F821" s="120"/>
      <c r="G821" s="125"/>
      <c r="H821" s="125"/>
      <c r="I821" s="125"/>
      <c r="J821" s="120"/>
      <c r="K821" s="120"/>
      <c r="L821" s="120"/>
      <c r="M821" s="120"/>
      <c r="N821" s="121"/>
      <c r="O821" s="121"/>
      <c r="P821" s="121"/>
      <c r="Q821" s="121"/>
      <c r="R821" s="121"/>
      <c r="S821" s="121"/>
      <c r="T821" s="121"/>
      <c r="U821" s="121"/>
      <c r="V821" s="121"/>
    </row>
    <row r="822">
      <c r="A822" s="120"/>
      <c r="B822" s="123"/>
      <c r="C822" s="124"/>
      <c r="D822" s="120"/>
      <c r="E822" s="125"/>
      <c r="F822" s="120"/>
      <c r="G822" s="125"/>
      <c r="H822" s="125"/>
      <c r="I822" s="125"/>
      <c r="J822" s="120"/>
      <c r="K822" s="120"/>
      <c r="L822" s="120"/>
      <c r="M822" s="120"/>
      <c r="N822" s="121"/>
      <c r="O822" s="121"/>
      <c r="P822" s="121"/>
      <c r="Q822" s="121"/>
      <c r="R822" s="121"/>
      <c r="S822" s="121"/>
      <c r="T822" s="121"/>
      <c r="U822" s="121"/>
      <c r="V822" s="121"/>
    </row>
    <row r="823">
      <c r="A823" s="120"/>
      <c r="B823" s="123"/>
      <c r="C823" s="124"/>
      <c r="D823" s="120"/>
      <c r="E823" s="125"/>
      <c r="F823" s="120"/>
      <c r="G823" s="125"/>
      <c r="H823" s="125"/>
      <c r="I823" s="125"/>
      <c r="J823" s="120"/>
      <c r="K823" s="120"/>
      <c r="L823" s="120"/>
      <c r="M823" s="120"/>
      <c r="N823" s="121"/>
      <c r="O823" s="121"/>
      <c r="P823" s="121"/>
      <c r="Q823" s="121"/>
      <c r="R823" s="121"/>
      <c r="S823" s="121"/>
      <c r="T823" s="121"/>
      <c r="U823" s="121"/>
      <c r="V823" s="121"/>
    </row>
    <row r="824">
      <c r="A824" s="120"/>
      <c r="B824" s="123"/>
      <c r="C824" s="124"/>
      <c r="D824" s="120"/>
      <c r="E824" s="125"/>
      <c r="F824" s="120"/>
      <c r="G824" s="125"/>
      <c r="H824" s="125"/>
      <c r="I824" s="125"/>
      <c r="J824" s="120"/>
      <c r="K824" s="120"/>
      <c r="L824" s="120"/>
      <c r="M824" s="120"/>
      <c r="N824" s="121"/>
      <c r="O824" s="121"/>
      <c r="P824" s="121"/>
      <c r="Q824" s="121"/>
      <c r="R824" s="121"/>
      <c r="S824" s="121"/>
      <c r="T824" s="121"/>
      <c r="U824" s="121"/>
      <c r="V824" s="121"/>
    </row>
    <row r="825">
      <c r="A825" s="120"/>
      <c r="B825" s="123"/>
      <c r="C825" s="124"/>
      <c r="D825" s="120"/>
      <c r="E825" s="125"/>
      <c r="F825" s="120"/>
      <c r="G825" s="125"/>
      <c r="H825" s="125"/>
      <c r="I825" s="125"/>
      <c r="J825" s="120"/>
      <c r="K825" s="120"/>
      <c r="L825" s="120"/>
      <c r="M825" s="120"/>
      <c r="N825" s="121"/>
      <c r="O825" s="121"/>
      <c r="P825" s="121"/>
      <c r="Q825" s="121"/>
      <c r="R825" s="121"/>
      <c r="S825" s="121"/>
      <c r="T825" s="121"/>
      <c r="U825" s="121"/>
      <c r="V825" s="121"/>
    </row>
    <row r="826">
      <c r="A826" s="120"/>
      <c r="B826" s="123"/>
      <c r="C826" s="124"/>
      <c r="D826" s="120"/>
      <c r="E826" s="125"/>
      <c r="F826" s="120"/>
      <c r="G826" s="125"/>
      <c r="H826" s="125"/>
      <c r="I826" s="125"/>
      <c r="J826" s="120"/>
      <c r="K826" s="120"/>
      <c r="L826" s="120"/>
      <c r="M826" s="120"/>
      <c r="N826" s="121"/>
      <c r="O826" s="121"/>
      <c r="P826" s="121"/>
      <c r="Q826" s="121"/>
      <c r="R826" s="121"/>
      <c r="S826" s="121"/>
      <c r="T826" s="121"/>
      <c r="U826" s="121"/>
      <c r="V826" s="121"/>
    </row>
    <row r="827">
      <c r="A827" s="120"/>
      <c r="B827" s="123"/>
      <c r="C827" s="124"/>
      <c r="D827" s="120"/>
      <c r="E827" s="125"/>
      <c r="F827" s="120"/>
      <c r="G827" s="125"/>
      <c r="H827" s="125"/>
      <c r="I827" s="125"/>
      <c r="J827" s="120"/>
      <c r="K827" s="120"/>
      <c r="L827" s="120"/>
      <c r="M827" s="120"/>
      <c r="N827" s="121"/>
      <c r="O827" s="121"/>
      <c r="P827" s="121"/>
      <c r="Q827" s="121"/>
      <c r="R827" s="121"/>
      <c r="S827" s="121"/>
      <c r="T827" s="121"/>
      <c r="U827" s="121"/>
      <c r="V827" s="121"/>
    </row>
    <row r="828">
      <c r="A828" s="120"/>
      <c r="B828" s="123"/>
      <c r="C828" s="124"/>
      <c r="D828" s="120"/>
      <c r="E828" s="125"/>
      <c r="F828" s="120"/>
      <c r="G828" s="125"/>
      <c r="H828" s="125"/>
      <c r="I828" s="125"/>
      <c r="J828" s="120"/>
      <c r="K828" s="120"/>
      <c r="L828" s="120"/>
      <c r="M828" s="120"/>
      <c r="N828" s="121"/>
      <c r="O828" s="121"/>
      <c r="P828" s="121"/>
      <c r="Q828" s="121"/>
      <c r="R828" s="121"/>
      <c r="S828" s="121"/>
      <c r="T828" s="121"/>
      <c r="U828" s="121"/>
      <c r="V828" s="121"/>
    </row>
    <row r="829">
      <c r="A829" s="120"/>
      <c r="B829" s="123"/>
      <c r="C829" s="124"/>
      <c r="D829" s="120"/>
      <c r="E829" s="125"/>
      <c r="F829" s="120"/>
      <c r="G829" s="125"/>
      <c r="H829" s="125"/>
      <c r="I829" s="125"/>
      <c r="J829" s="120"/>
      <c r="K829" s="120"/>
      <c r="L829" s="120"/>
      <c r="M829" s="120"/>
      <c r="N829" s="121"/>
      <c r="O829" s="121"/>
      <c r="P829" s="121"/>
      <c r="Q829" s="121"/>
      <c r="R829" s="121"/>
      <c r="S829" s="121"/>
      <c r="T829" s="121"/>
      <c r="U829" s="121"/>
      <c r="V829" s="121"/>
    </row>
    <row r="830">
      <c r="A830" s="120"/>
      <c r="B830" s="123"/>
      <c r="C830" s="124"/>
      <c r="D830" s="120"/>
      <c r="E830" s="125"/>
      <c r="F830" s="120"/>
      <c r="G830" s="125"/>
      <c r="H830" s="125"/>
      <c r="I830" s="125"/>
      <c r="J830" s="120"/>
      <c r="K830" s="120"/>
      <c r="L830" s="120"/>
      <c r="M830" s="120"/>
      <c r="N830" s="121"/>
      <c r="O830" s="121"/>
      <c r="P830" s="121"/>
      <c r="Q830" s="121"/>
      <c r="R830" s="121"/>
      <c r="S830" s="121"/>
      <c r="T830" s="121"/>
      <c r="U830" s="121"/>
      <c r="V830" s="121"/>
    </row>
    <row r="831">
      <c r="A831" s="120"/>
      <c r="B831" s="123"/>
      <c r="C831" s="124"/>
      <c r="D831" s="120"/>
      <c r="E831" s="125"/>
      <c r="F831" s="120"/>
      <c r="G831" s="125"/>
      <c r="H831" s="125"/>
      <c r="I831" s="125"/>
      <c r="J831" s="120"/>
      <c r="K831" s="120"/>
      <c r="L831" s="120"/>
      <c r="M831" s="120"/>
      <c r="N831" s="121"/>
      <c r="O831" s="121"/>
      <c r="P831" s="121"/>
      <c r="Q831" s="121"/>
      <c r="R831" s="121"/>
      <c r="S831" s="121"/>
      <c r="T831" s="121"/>
      <c r="U831" s="121"/>
      <c r="V831" s="121"/>
    </row>
    <row r="832">
      <c r="A832" s="120"/>
      <c r="B832" s="123"/>
      <c r="C832" s="124"/>
      <c r="D832" s="120"/>
      <c r="E832" s="125"/>
      <c r="F832" s="120"/>
      <c r="G832" s="125"/>
      <c r="H832" s="125"/>
      <c r="I832" s="125"/>
      <c r="J832" s="120"/>
      <c r="K832" s="120"/>
      <c r="L832" s="120"/>
      <c r="M832" s="120"/>
      <c r="N832" s="121"/>
      <c r="O832" s="121"/>
      <c r="P832" s="121"/>
      <c r="Q832" s="121"/>
      <c r="R832" s="121"/>
      <c r="S832" s="121"/>
      <c r="T832" s="121"/>
      <c r="U832" s="121"/>
      <c r="V832" s="121"/>
    </row>
    <row r="833">
      <c r="A833" s="120"/>
      <c r="B833" s="123"/>
      <c r="C833" s="124"/>
      <c r="D833" s="120"/>
      <c r="E833" s="125"/>
      <c r="F833" s="120"/>
      <c r="G833" s="125"/>
      <c r="H833" s="125"/>
      <c r="I833" s="125"/>
      <c r="J833" s="120"/>
      <c r="K833" s="120"/>
      <c r="L833" s="120"/>
      <c r="M833" s="120"/>
      <c r="N833" s="121"/>
      <c r="O833" s="121"/>
      <c r="P833" s="121"/>
      <c r="Q833" s="121"/>
      <c r="R833" s="121"/>
      <c r="S833" s="121"/>
      <c r="T833" s="121"/>
      <c r="U833" s="121"/>
      <c r="V833" s="121"/>
    </row>
    <row r="834">
      <c r="A834" s="120"/>
      <c r="B834" s="123"/>
      <c r="C834" s="124"/>
      <c r="D834" s="120"/>
      <c r="E834" s="125"/>
      <c r="F834" s="120"/>
      <c r="G834" s="125"/>
      <c r="H834" s="125"/>
      <c r="I834" s="125"/>
      <c r="J834" s="120"/>
      <c r="K834" s="120"/>
      <c r="L834" s="120"/>
      <c r="M834" s="120"/>
      <c r="N834" s="121"/>
      <c r="O834" s="121"/>
      <c r="P834" s="121"/>
      <c r="Q834" s="121"/>
      <c r="R834" s="121"/>
      <c r="S834" s="121"/>
      <c r="T834" s="121"/>
      <c r="U834" s="121"/>
      <c r="V834" s="121"/>
    </row>
    <row r="835">
      <c r="A835" s="120"/>
      <c r="B835" s="123"/>
      <c r="C835" s="124"/>
      <c r="D835" s="120"/>
      <c r="E835" s="125"/>
      <c r="F835" s="120"/>
      <c r="G835" s="125"/>
      <c r="H835" s="125"/>
      <c r="I835" s="125"/>
      <c r="J835" s="120"/>
      <c r="K835" s="120"/>
      <c r="L835" s="120"/>
      <c r="M835" s="120"/>
      <c r="N835" s="121"/>
      <c r="O835" s="121"/>
      <c r="P835" s="121"/>
      <c r="Q835" s="121"/>
      <c r="R835" s="121"/>
      <c r="S835" s="121"/>
      <c r="T835" s="121"/>
      <c r="U835" s="121"/>
      <c r="V835" s="121"/>
    </row>
    <row r="836">
      <c r="A836" s="120"/>
      <c r="B836" s="123"/>
      <c r="C836" s="124"/>
      <c r="D836" s="120"/>
      <c r="E836" s="125"/>
      <c r="F836" s="120"/>
      <c r="G836" s="125"/>
      <c r="H836" s="125"/>
      <c r="I836" s="125"/>
      <c r="J836" s="120"/>
      <c r="K836" s="120"/>
      <c r="L836" s="120"/>
      <c r="M836" s="120"/>
      <c r="N836" s="121"/>
      <c r="O836" s="121"/>
      <c r="P836" s="121"/>
      <c r="Q836" s="121"/>
      <c r="R836" s="121"/>
      <c r="S836" s="121"/>
      <c r="T836" s="121"/>
      <c r="U836" s="121"/>
      <c r="V836" s="121"/>
    </row>
    <row r="837">
      <c r="A837" s="120"/>
      <c r="B837" s="123"/>
      <c r="C837" s="124"/>
      <c r="D837" s="120"/>
      <c r="E837" s="125"/>
      <c r="F837" s="120"/>
      <c r="G837" s="125"/>
      <c r="H837" s="125"/>
      <c r="I837" s="125"/>
      <c r="J837" s="120"/>
      <c r="K837" s="120"/>
      <c r="L837" s="120"/>
      <c r="M837" s="120"/>
      <c r="N837" s="121"/>
      <c r="O837" s="121"/>
      <c r="P837" s="121"/>
      <c r="Q837" s="121"/>
      <c r="R837" s="121"/>
      <c r="S837" s="121"/>
      <c r="T837" s="121"/>
      <c r="U837" s="121"/>
      <c r="V837" s="121"/>
    </row>
    <row r="838">
      <c r="A838" s="120"/>
      <c r="B838" s="123"/>
      <c r="C838" s="124"/>
      <c r="D838" s="120"/>
      <c r="E838" s="125"/>
      <c r="F838" s="120"/>
      <c r="G838" s="125"/>
      <c r="H838" s="125"/>
      <c r="I838" s="125"/>
      <c r="J838" s="120"/>
      <c r="K838" s="120"/>
      <c r="L838" s="120"/>
      <c r="M838" s="120"/>
      <c r="N838" s="121"/>
      <c r="O838" s="121"/>
      <c r="P838" s="121"/>
      <c r="Q838" s="121"/>
      <c r="R838" s="121"/>
      <c r="S838" s="121"/>
      <c r="T838" s="121"/>
      <c r="U838" s="121"/>
      <c r="V838" s="121"/>
    </row>
    <row r="839">
      <c r="A839" s="120"/>
      <c r="B839" s="123"/>
      <c r="C839" s="124"/>
      <c r="D839" s="120"/>
      <c r="E839" s="125"/>
      <c r="F839" s="120"/>
      <c r="G839" s="125"/>
      <c r="H839" s="125"/>
      <c r="I839" s="125"/>
      <c r="J839" s="120"/>
      <c r="K839" s="120"/>
      <c r="L839" s="120"/>
      <c r="M839" s="120"/>
      <c r="N839" s="121"/>
      <c r="O839" s="121"/>
      <c r="P839" s="121"/>
      <c r="Q839" s="121"/>
      <c r="R839" s="121"/>
      <c r="S839" s="121"/>
      <c r="T839" s="121"/>
      <c r="U839" s="121"/>
      <c r="V839" s="121"/>
    </row>
    <row r="840">
      <c r="A840" s="120"/>
      <c r="B840" s="123"/>
      <c r="C840" s="124"/>
      <c r="D840" s="120"/>
      <c r="E840" s="125"/>
      <c r="F840" s="120"/>
      <c r="G840" s="125"/>
      <c r="H840" s="125"/>
      <c r="I840" s="125"/>
      <c r="J840" s="120"/>
      <c r="K840" s="120"/>
      <c r="L840" s="120"/>
      <c r="M840" s="120"/>
      <c r="N840" s="121"/>
      <c r="O840" s="121"/>
      <c r="P840" s="121"/>
      <c r="Q840" s="121"/>
      <c r="R840" s="121"/>
      <c r="S840" s="121"/>
      <c r="T840" s="121"/>
      <c r="U840" s="121"/>
      <c r="V840" s="121"/>
    </row>
    <row r="841">
      <c r="A841" s="120"/>
      <c r="B841" s="123"/>
      <c r="C841" s="124"/>
      <c r="D841" s="120"/>
      <c r="E841" s="125"/>
      <c r="F841" s="120"/>
      <c r="G841" s="125"/>
      <c r="H841" s="125"/>
      <c r="I841" s="125"/>
      <c r="J841" s="120"/>
      <c r="K841" s="120"/>
      <c r="L841" s="120"/>
      <c r="M841" s="120"/>
      <c r="N841" s="121"/>
      <c r="O841" s="121"/>
      <c r="P841" s="121"/>
      <c r="Q841" s="121"/>
      <c r="R841" s="121"/>
      <c r="S841" s="121"/>
      <c r="T841" s="121"/>
      <c r="U841" s="121"/>
      <c r="V841" s="121"/>
    </row>
    <row r="842">
      <c r="A842" s="120"/>
      <c r="B842" s="123"/>
      <c r="C842" s="124"/>
      <c r="D842" s="120"/>
      <c r="E842" s="125"/>
      <c r="F842" s="120"/>
      <c r="G842" s="125"/>
      <c r="H842" s="125"/>
      <c r="I842" s="125"/>
      <c r="J842" s="120"/>
      <c r="K842" s="120"/>
      <c r="L842" s="120"/>
      <c r="M842" s="120"/>
      <c r="N842" s="121"/>
      <c r="O842" s="121"/>
      <c r="P842" s="121"/>
      <c r="Q842" s="121"/>
      <c r="R842" s="121"/>
      <c r="S842" s="121"/>
      <c r="T842" s="121"/>
      <c r="U842" s="121"/>
      <c r="V842" s="121"/>
    </row>
    <row r="843">
      <c r="A843" s="120"/>
      <c r="B843" s="123"/>
      <c r="C843" s="124"/>
      <c r="D843" s="120"/>
      <c r="E843" s="122"/>
      <c r="F843" s="120"/>
      <c r="G843" s="122"/>
      <c r="H843" s="122"/>
      <c r="I843" s="122"/>
      <c r="J843" s="120"/>
      <c r="K843" s="120"/>
      <c r="L843" s="120"/>
      <c r="M843" s="120"/>
      <c r="N843" s="121"/>
      <c r="O843" s="121"/>
      <c r="P843" s="121"/>
      <c r="Q843" s="121"/>
      <c r="R843" s="121"/>
      <c r="S843" s="121"/>
      <c r="T843" s="121"/>
      <c r="U843" s="121"/>
      <c r="V843" s="121"/>
    </row>
    <row r="844">
      <c r="A844" s="120"/>
      <c r="B844" s="123"/>
      <c r="C844" s="124"/>
      <c r="D844" s="120"/>
      <c r="E844" s="122"/>
      <c r="F844" s="120"/>
      <c r="G844" s="122"/>
      <c r="H844" s="122"/>
      <c r="I844" s="122"/>
      <c r="J844" s="120"/>
      <c r="K844" s="120"/>
      <c r="L844" s="120"/>
      <c r="M844" s="120"/>
      <c r="N844" s="121"/>
      <c r="O844" s="121"/>
      <c r="P844" s="121"/>
      <c r="Q844" s="121"/>
      <c r="R844" s="121"/>
      <c r="S844" s="121"/>
      <c r="T844" s="121"/>
      <c r="U844" s="121"/>
      <c r="V844" s="121"/>
    </row>
    <row r="845">
      <c r="A845" s="120"/>
      <c r="B845" s="123"/>
      <c r="C845" s="124"/>
      <c r="D845" s="120"/>
      <c r="E845" s="122"/>
      <c r="F845" s="120"/>
      <c r="G845" s="122"/>
      <c r="H845" s="122"/>
      <c r="I845" s="122"/>
      <c r="J845" s="120"/>
      <c r="K845" s="120"/>
      <c r="L845" s="120"/>
      <c r="M845" s="120"/>
      <c r="N845" s="121"/>
      <c r="O845" s="121"/>
      <c r="P845" s="121"/>
      <c r="Q845" s="121"/>
      <c r="R845" s="121"/>
      <c r="S845" s="121"/>
      <c r="T845" s="121"/>
      <c r="U845" s="121"/>
      <c r="V845" s="121"/>
    </row>
    <row r="846">
      <c r="A846" s="120"/>
      <c r="B846" s="123"/>
      <c r="C846" s="124"/>
      <c r="D846" s="120"/>
      <c r="E846" s="122"/>
      <c r="F846" s="120"/>
      <c r="G846" s="122"/>
      <c r="H846" s="122"/>
      <c r="I846" s="122"/>
      <c r="J846" s="120"/>
      <c r="K846" s="120"/>
      <c r="L846" s="120"/>
      <c r="M846" s="120"/>
      <c r="N846" s="121"/>
      <c r="O846" s="121"/>
      <c r="P846" s="121"/>
      <c r="Q846" s="121"/>
      <c r="R846" s="121"/>
      <c r="S846" s="121"/>
      <c r="T846" s="121"/>
      <c r="U846" s="121"/>
      <c r="V846" s="121"/>
    </row>
    <row r="847">
      <c r="A847" s="120"/>
      <c r="B847" s="123"/>
      <c r="C847" s="124"/>
      <c r="D847" s="120"/>
      <c r="E847" s="122"/>
      <c r="F847" s="120"/>
      <c r="G847" s="122"/>
      <c r="H847" s="122"/>
      <c r="I847" s="122"/>
      <c r="J847" s="120"/>
      <c r="K847" s="120"/>
      <c r="L847" s="120"/>
      <c r="M847" s="120"/>
      <c r="N847" s="121"/>
      <c r="O847" s="121"/>
      <c r="P847" s="121"/>
      <c r="Q847" s="121"/>
      <c r="R847" s="121"/>
      <c r="S847" s="121"/>
      <c r="T847" s="121"/>
      <c r="U847" s="121"/>
      <c r="V847" s="121"/>
    </row>
    <row r="848">
      <c r="A848" s="120"/>
      <c r="B848" s="123"/>
      <c r="C848" s="124"/>
      <c r="D848" s="120"/>
      <c r="E848" s="122"/>
      <c r="F848" s="120"/>
      <c r="G848" s="122"/>
      <c r="H848" s="122"/>
      <c r="I848" s="122"/>
      <c r="J848" s="120"/>
      <c r="K848" s="120"/>
      <c r="L848" s="120"/>
      <c r="M848" s="120"/>
      <c r="N848" s="121"/>
      <c r="O848" s="121"/>
      <c r="P848" s="121"/>
      <c r="Q848" s="121"/>
      <c r="R848" s="121"/>
      <c r="S848" s="121"/>
      <c r="T848" s="121"/>
      <c r="U848" s="121"/>
      <c r="V848" s="121"/>
    </row>
    <row r="849">
      <c r="A849" s="120"/>
      <c r="B849" s="123"/>
      <c r="C849" s="124"/>
      <c r="D849" s="120"/>
      <c r="E849" s="122"/>
      <c r="F849" s="120"/>
      <c r="G849" s="122"/>
      <c r="H849" s="122"/>
      <c r="I849" s="122"/>
      <c r="J849" s="120"/>
      <c r="K849" s="120"/>
      <c r="L849" s="120"/>
      <c r="M849" s="120"/>
      <c r="N849" s="121"/>
      <c r="O849" s="121"/>
      <c r="P849" s="121"/>
      <c r="Q849" s="121"/>
      <c r="R849" s="121"/>
      <c r="S849" s="121"/>
      <c r="T849" s="121"/>
      <c r="U849" s="121"/>
      <c r="V849" s="121"/>
    </row>
    <row r="850">
      <c r="A850" s="120"/>
      <c r="B850" s="123"/>
      <c r="C850" s="124"/>
      <c r="D850" s="120"/>
      <c r="E850" s="122"/>
      <c r="F850" s="120"/>
      <c r="G850" s="122"/>
      <c r="H850" s="122"/>
      <c r="I850" s="122"/>
      <c r="J850" s="120"/>
      <c r="K850" s="120"/>
      <c r="L850" s="120"/>
      <c r="M850" s="120"/>
      <c r="N850" s="121"/>
      <c r="O850" s="121"/>
      <c r="P850" s="121"/>
      <c r="Q850" s="121"/>
      <c r="R850" s="121"/>
      <c r="S850" s="121"/>
      <c r="T850" s="121"/>
      <c r="U850" s="121"/>
      <c r="V850" s="121"/>
    </row>
    <row r="851">
      <c r="A851" s="120"/>
      <c r="B851" s="123"/>
      <c r="C851" s="124"/>
      <c r="D851" s="120"/>
      <c r="E851" s="122"/>
      <c r="F851" s="120"/>
      <c r="G851" s="122"/>
      <c r="H851" s="122"/>
      <c r="I851" s="122"/>
      <c r="J851" s="120"/>
      <c r="K851" s="120"/>
      <c r="L851" s="120"/>
      <c r="M851" s="120"/>
      <c r="N851" s="121"/>
      <c r="O851" s="121"/>
      <c r="P851" s="121"/>
      <c r="Q851" s="121"/>
      <c r="R851" s="121"/>
      <c r="S851" s="121"/>
      <c r="T851" s="121"/>
      <c r="U851" s="121"/>
      <c r="V851" s="121"/>
    </row>
    <row r="852">
      <c r="A852" s="120"/>
      <c r="B852" s="123"/>
      <c r="C852" s="124"/>
      <c r="D852" s="120"/>
      <c r="E852" s="122"/>
      <c r="F852" s="120"/>
      <c r="G852" s="122"/>
      <c r="H852" s="122"/>
      <c r="I852" s="122"/>
      <c r="J852" s="120"/>
      <c r="K852" s="120"/>
      <c r="L852" s="120"/>
      <c r="M852" s="120"/>
      <c r="N852" s="121"/>
      <c r="O852" s="121"/>
      <c r="P852" s="121"/>
      <c r="Q852" s="121"/>
      <c r="R852" s="121"/>
      <c r="S852" s="121"/>
      <c r="T852" s="121"/>
      <c r="U852" s="121"/>
      <c r="V852" s="121"/>
    </row>
    <row r="853">
      <c r="A853" s="120"/>
      <c r="B853" s="123"/>
      <c r="C853" s="124"/>
      <c r="D853" s="120"/>
      <c r="E853" s="122"/>
      <c r="F853" s="120"/>
      <c r="G853" s="122"/>
      <c r="H853" s="122"/>
      <c r="I853" s="122"/>
      <c r="J853" s="120"/>
      <c r="K853" s="120"/>
      <c r="L853" s="120"/>
      <c r="M853" s="120"/>
      <c r="N853" s="121"/>
      <c r="O853" s="121"/>
      <c r="P853" s="121"/>
      <c r="Q853" s="121"/>
      <c r="R853" s="121"/>
      <c r="S853" s="121"/>
      <c r="T853" s="121"/>
      <c r="U853" s="121"/>
      <c r="V853" s="121"/>
    </row>
    <row r="854">
      <c r="A854" s="120"/>
      <c r="B854" s="123"/>
      <c r="C854" s="124"/>
      <c r="D854" s="120"/>
      <c r="E854" s="122"/>
      <c r="F854" s="120"/>
      <c r="G854" s="122"/>
      <c r="H854" s="122"/>
      <c r="I854" s="122"/>
      <c r="J854" s="120"/>
      <c r="K854" s="120"/>
      <c r="L854" s="120"/>
      <c r="M854" s="120"/>
      <c r="N854" s="121"/>
      <c r="O854" s="121"/>
      <c r="P854" s="121"/>
      <c r="Q854" s="121"/>
      <c r="R854" s="121"/>
      <c r="S854" s="121"/>
      <c r="T854" s="121"/>
      <c r="U854" s="121"/>
      <c r="V854" s="121"/>
    </row>
    <row r="855">
      <c r="A855" s="120"/>
      <c r="B855" s="123"/>
      <c r="C855" s="124"/>
      <c r="D855" s="120"/>
      <c r="E855" s="122"/>
      <c r="F855" s="120"/>
      <c r="G855" s="122"/>
      <c r="H855" s="122"/>
      <c r="I855" s="122"/>
      <c r="J855" s="120"/>
      <c r="K855" s="120"/>
      <c r="L855" s="120"/>
      <c r="M855" s="120"/>
      <c r="N855" s="121"/>
      <c r="O855" s="121"/>
      <c r="P855" s="121"/>
      <c r="Q855" s="121"/>
      <c r="R855" s="121"/>
      <c r="S855" s="121"/>
      <c r="T855" s="121"/>
      <c r="U855" s="121"/>
      <c r="V855" s="121"/>
    </row>
    <row r="856">
      <c r="A856" s="120"/>
      <c r="B856" s="123"/>
      <c r="C856" s="124"/>
      <c r="D856" s="120"/>
      <c r="E856" s="122"/>
      <c r="F856" s="120"/>
      <c r="G856" s="122"/>
      <c r="H856" s="122"/>
      <c r="I856" s="122"/>
      <c r="J856" s="120"/>
      <c r="K856" s="120"/>
      <c r="L856" s="120"/>
      <c r="M856" s="120"/>
      <c r="N856" s="121"/>
      <c r="O856" s="121"/>
      <c r="P856" s="121"/>
      <c r="Q856" s="121"/>
      <c r="R856" s="121"/>
      <c r="S856" s="121"/>
      <c r="T856" s="121"/>
      <c r="U856" s="121"/>
      <c r="V856" s="121"/>
    </row>
    <row r="857">
      <c r="A857" s="120"/>
      <c r="B857" s="123"/>
      <c r="C857" s="124"/>
      <c r="D857" s="120"/>
      <c r="E857" s="122"/>
      <c r="F857" s="120"/>
      <c r="G857" s="122"/>
      <c r="H857" s="122"/>
      <c r="I857" s="122"/>
      <c r="J857" s="120"/>
      <c r="K857" s="120"/>
      <c r="L857" s="120"/>
      <c r="M857" s="120"/>
      <c r="N857" s="121"/>
      <c r="O857" s="121"/>
      <c r="P857" s="121"/>
      <c r="Q857" s="121"/>
      <c r="R857" s="121"/>
      <c r="S857" s="121"/>
      <c r="T857" s="121"/>
      <c r="U857" s="121"/>
      <c r="V857" s="121"/>
    </row>
    <row r="858">
      <c r="A858" s="120"/>
      <c r="B858" s="123"/>
      <c r="C858" s="124"/>
      <c r="D858" s="120"/>
      <c r="E858" s="122"/>
      <c r="F858" s="120"/>
      <c r="G858" s="122"/>
      <c r="H858" s="122"/>
      <c r="I858" s="122"/>
      <c r="J858" s="120"/>
      <c r="K858" s="120"/>
      <c r="L858" s="120"/>
      <c r="M858" s="120"/>
      <c r="N858" s="121"/>
      <c r="O858" s="121"/>
      <c r="P858" s="121"/>
      <c r="Q858" s="121"/>
      <c r="R858" s="121"/>
      <c r="S858" s="121"/>
      <c r="T858" s="121"/>
      <c r="U858" s="121"/>
      <c r="V858" s="121"/>
    </row>
    <row r="859">
      <c r="A859" s="120"/>
      <c r="B859" s="123"/>
      <c r="C859" s="124"/>
      <c r="D859" s="120"/>
      <c r="E859" s="122"/>
      <c r="F859" s="120"/>
      <c r="G859" s="122"/>
      <c r="H859" s="122"/>
      <c r="I859" s="122"/>
      <c r="J859" s="120"/>
      <c r="K859" s="120"/>
      <c r="L859" s="120"/>
      <c r="M859" s="120"/>
      <c r="N859" s="121"/>
      <c r="O859" s="121"/>
      <c r="P859" s="121"/>
      <c r="Q859" s="121"/>
      <c r="R859" s="121"/>
      <c r="S859" s="121"/>
      <c r="T859" s="121"/>
      <c r="U859" s="121"/>
      <c r="V859" s="121"/>
    </row>
    <row r="860">
      <c r="A860" s="120"/>
      <c r="B860" s="123"/>
      <c r="C860" s="124"/>
      <c r="D860" s="120"/>
      <c r="E860" s="122"/>
      <c r="F860" s="120"/>
      <c r="G860" s="122"/>
      <c r="H860" s="122"/>
      <c r="I860" s="122"/>
      <c r="J860" s="120"/>
      <c r="K860" s="120"/>
      <c r="L860" s="120"/>
      <c r="M860" s="120"/>
      <c r="N860" s="121"/>
      <c r="O860" s="121"/>
      <c r="P860" s="121"/>
      <c r="Q860" s="121"/>
      <c r="R860" s="121"/>
      <c r="S860" s="121"/>
      <c r="T860" s="121"/>
      <c r="U860" s="121"/>
      <c r="V860" s="121"/>
    </row>
    <row r="861">
      <c r="A861" s="120"/>
      <c r="B861" s="123"/>
      <c r="C861" s="124"/>
      <c r="D861" s="120"/>
      <c r="E861" s="125"/>
      <c r="F861" s="120"/>
      <c r="G861" s="125"/>
      <c r="H861" s="125"/>
      <c r="I861" s="125"/>
      <c r="J861" s="120"/>
      <c r="K861" s="120"/>
      <c r="L861" s="120"/>
      <c r="M861" s="120"/>
      <c r="N861" s="121"/>
      <c r="O861" s="121"/>
      <c r="P861" s="121"/>
      <c r="Q861" s="121"/>
      <c r="R861" s="121"/>
      <c r="S861" s="121"/>
      <c r="T861" s="121"/>
      <c r="U861" s="121"/>
      <c r="V861" s="121"/>
    </row>
    <row r="862">
      <c r="A862" s="120"/>
      <c r="B862" s="123"/>
      <c r="C862" s="124"/>
      <c r="D862" s="120"/>
      <c r="E862" s="125"/>
      <c r="F862" s="120"/>
      <c r="G862" s="125"/>
      <c r="H862" s="125"/>
      <c r="I862" s="125"/>
      <c r="J862" s="120"/>
      <c r="K862" s="120"/>
      <c r="L862" s="120"/>
      <c r="M862" s="120"/>
      <c r="N862" s="121"/>
      <c r="O862" s="121"/>
      <c r="P862" s="121"/>
      <c r="Q862" s="121"/>
      <c r="R862" s="121"/>
      <c r="S862" s="121"/>
      <c r="T862" s="121"/>
      <c r="U862" s="121"/>
      <c r="V862" s="121"/>
    </row>
    <row r="863">
      <c r="A863" s="120"/>
      <c r="B863" s="123"/>
      <c r="C863" s="124"/>
      <c r="D863" s="120"/>
      <c r="E863" s="125"/>
      <c r="F863" s="120"/>
      <c r="G863" s="125"/>
      <c r="H863" s="125"/>
      <c r="I863" s="125"/>
      <c r="J863" s="120"/>
      <c r="K863" s="120"/>
      <c r="L863" s="120"/>
      <c r="M863" s="120"/>
      <c r="N863" s="121"/>
      <c r="O863" s="121"/>
      <c r="P863" s="121"/>
      <c r="Q863" s="121"/>
      <c r="R863" s="121"/>
      <c r="S863" s="121"/>
      <c r="T863" s="121"/>
      <c r="U863" s="121"/>
      <c r="V863" s="121"/>
    </row>
    <row r="864">
      <c r="A864" s="120"/>
      <c r="B864" s="123"/>
      <c r="C864" s="124"/>
      <c r="D864" s="120"/>
      <c r="E864" s="125"/>
      <c r="F864" s="120"/>
      <c r="G864" s="125"/>
      <c r="H864" s="125"/>
      <c r="I864" s="125"/>
      <c r="J864" s="120"/>
      <c r="K864" s="120"/>
      <c r="L864" s="120"/>
      <c r="M864" s="120"/>
      <c r="N864" s="121"/>
      <c r="O864" s="121"/>
      <c r="P864" s="121"/>
      <c r="Q864" s="121"/>
      <c r="R864" s="121"/>
      <c r="S864" s="121"/>
      <c r="T864" s="121"/>
      <c r="U864" s="121"/>
      <c r="V864" s="121"/>
    </row>
    <row r="865">
      <c r="A865" s="120"/>
      <c r="B865" s="123"/>
      <c r="C865" s="124"/>
      <c r="D865" s="120"/>
      <c r="E865" s="125"/>
      <c r="F865" s="120"/>
      <c r="G865" s="125"/>
      <c r="H865" s="125"/>
      <c r="I865" s="125"/>
      <c r="J865" s="120"/>
      <c r="K865" s="120"/>
      <c r="L865" s="120"/>
      <c r="M865" s="120"/>
      <c r="N865" s="121"/>
      <c r="O865" s="121"/>
      <c r="P865" s="121"/>
      <c r="Q865" s="121"/>
      <c r="R865" s="121"/>
      <c r="S865" s="121"/>
      <c r="T865" s="121"/>
      <c r="U865" s="121"/>
      <c r="V865" s="121"/>
    </row>
    <row r="866">
      <c r="A866" s="120"/>
      <c r="B866" s="123"/>
      <c r="C866" s="124"/>
      <c r="D866" s="120"/>
      <c r="E866" s="125"/>
      <c r="F866" s="120"/>
      <c r="G866" s="125"/>
      <c r="H866" s="125"/>
      <c r="I866" s="125"/>
      <c r="J866" s="120"/>
      <c r="K866" s="120"/>
      <c r="L866" s="120"/>
      <c r="M866" s="120"/>
      <c r="N866" s="121"/>
      <c r="O866" s="121"/>
      <c r="P866" s="121"/>
      <c r="Q866" s="121"/>
      <c r="R866" s="121"/>
      <c r="S866" s="121"/>
      <c r="T866" s="121"/>
      <c r="U866" s="121"/>
      <c r="V866" s="121"/>
    </row>
    <row r="867">
      <c r="A867" s="120"/>
      <c r="B867" s="123"/>
      <c r="C867" s="124"/>
      <c r="D867" s="120"/>
      <c r="E867" s="125"/>
      <c r="F867" s="120"/>
      <c r="G867" s="125"/>
      <c r="H867" s="125"/>
      <c r="I867" s="125"/>
      <c r="J867" s="120"/>
      <c r="K867" s="120"/>
      <c r="L867" s="120"/>
      <c r="M867" s="120"/>
      <c r="N867" s="121"/>
      <c r="O867" s="121"/>
      <c r="P867" s="121"/>
      <c r="Q867" s="121"/>
      <c r="R867" s="121"/>
      <c r="S867" s="121"/>
      <c r="T867" s="121"/>
      <c r="U867" s="121"/>
      <c r="V867" s="121"/>
    </row>
    <row r="868">
      <c r="A868" s="120"/>
      <c r="B868" s="123"/>
      <c r="C868" s="124"/>
      <c r="D868" s="120"/>
      <c r="E868" s="125"/>
      <c r="F868" s="120"/>
      <c r="G868" s="125"/>
      <c r="H868" s="125"/>
      <c r="I868" s="125"/>
      <c r="J868" s="120"/>
      <c r="K868" s="120"/>
      <c r="L868" s="120"/>
      <c r="M868" s="120"/>
      <c r="N868" s="121"/>
      <c r="O868" s="121"/>
      <c r="P868" s="121"/>
      <c r="Q868" s="121"/>
      <c r="R868" s="121"/>
      <c r="S868" s="121"/>
      <c r="T868" s="121"/>
      <c r="U868" s="121"/>
      <c r="V868" s="121"/>
    </row>
    <row r="869">
      <c r="A869" s="120"/>
      <c r="B869" s="123"/>
      <c r="C869" s="124"/>
      <c r="D869" s="120"/>
      <c r="E869" s="125"/>
      <c r="F869" s="120"/>
      <c r="G869" s="125"/>
      <c r="H869" s="125"/>
      <c r="I869" s="125"/>
      <c r="J869" s="120"/>
      <c r="K869" s="120"/>
      <c r="L869" s="120"/>
      <c r="M869" s="120"/>
      <c r="N869" s="121"/>
      <c r="O869" s="121"/>
      <c r="P869" s="121"/>
      <c r="Q869" s="121"/>
      <c r="R869" s="121"/>
      <c r="S869" s="121"/>
      <c r="T869" s="121"/>
      <c r="U869" s="121"/>
      <c r="V869" s="121"/>
    </row>
    <row r="870">
      <c r="A870" s="120"/>
      <c r="B870" s="123"/>
      <c r="C870" s="124"/>
      <c r="D870" s="120"/>
      <c r="E870" s="125"/>
      <c r="F870" s="120"/>
      <c r="G870" s="125"/>
      <c r="H870" s="125"/>
      <c r="I870" s="125"/>
      <c r="J870" s="120"/>
      <c r="K870" s="120"/>
      <c r="L870" s="120"/>
      <c r="M870" s="120"/>
      <c r="N870" s="121"/>
      <c r="O870" s="121"/>
      <c r="P870" s="121"/>
      <c r="Q870" s="121"/>
      <c r="R870" s="121"/>
      <c r="S870" s="121"/>
      <c r="T870" s="121"/>
      <c r="U870" s="121"/>
      <c r="V870" s="121"/>
    </row>
    <row r="871">
      <c r="A871" s="120"/>
      <c r="B871" s="123"/>
      <c r="C871" s="124"/>
      <c r="D871" s="120"/>
      <c r="E871" s="125"/>
      <c r="F871" s="120"/>
      <c r="G871" s="125"/>
      <c r="H871" s="125"/>
      <c r="I871" s="125"/>
      <c r="J871" s="120"/>
      <c r="K871" s="120"/>
      <c r="L871" s="120"/>
      <c r="M871" s="120"/>
      <c r="N871" s="121"/>
      <c r="O871" s="121"/>
      <c r="P871" s="121"/>
      <c r="Q871" s="121"/>
      <c r="R871" s="121"/>
      <c r="S871" s="121"/>
      <c r="T871" s="121"/>
      <c r="U871" s="121"/>
      <c r="V871" s="121"/>
    </row>
    <row r="872">
      <c r="A872" s="120"/>
      <c r="B872" s="123"/>
      <c r="C872" s="124"/>
      <c r="D872" s="120"/>
      <c r="E872" s="125"/>
      <c r="F872" s="120"/>
      <c r="G872" s="125"/>
      <c r="H872" s="125"/>
      <c r="I872" s="125"/>
      <c r="J872" s="120"/>
      <c r="K872" s="120"/>
      <c r="L872" s="120"/>
      <c r="M872" s="120"/>
      <c r="N872" s="121"/>
      <c r="O872" s="121"/>
      <c r="P872" s="121"/>
      <c r="Q872" s="121"/>
      <c r="R872" s="121"/>
      <c r="S872" s="121"/>
      <c r="T872" s="121"/>
      <c r="U872" s="121"/>
      <c r="V872" s="121"/>
    </row>
    <row r="873">
      <c r="A873" s="120"/>
      <c r="B873" s="123"/>
      <c r="C873" s="124"/>
      <c r="D873" s="120"/>
      <c r="E873" s="125"/>
      <c r="F873" s="120"/>
      <c r="G873" s="125"/>
      <c r="H873" s="125"/>
      <c r="I873" s="125"/>
      <c r="J873" s="120"/>
      <c r="K873" s="120"/>
      <c r="L873" s="120"/>
      <c r="M873" s="120"/>
      <c r="N873" s="121"/>
      <c r="O873" s="121"/>
      <c r="P873" s="121"/>
      <c r="Q873" s="121"/>
      <c r="R873" s="121"/>
      <c r="S873" s="121"/>
      <c r="T873" s="121"/>
      <c r="U873" s="121"/>
      <c r="V873" s="121"/>
    </row>
    <row r="874">
      <c r="A874" s="120"/>
      <c r="B874" s="123"/>
      <c r="C874" s="124"/>
      <c r="D874" s="120"/>
      <c r="E874" s="125"/>
      <c r="F874" s="120"/>
      <c r="G874" s="125"/>
      <c r="H874" s="125"/>
      <c r="I874" s="125"/>
      <c r="J874" s="120"/>
      <c r="K874" s="120"/>
      <c r="L874" s="120"/>
      <c r="M874" s="120"/>
      <c r="N874" s="121"/>
      <c r="O874" s="121"/>
      <c r="P874" s="121"/>
      <c r="Q874" s="121"/>
      <c r="R874" s="121"/>
      <c r="S874" s="121"/>
      <c r="T874" s="121"/>
      <c r="U874" s="121"/>
      <c r="V874" s="121"/>
    </row>
    <row r="875">
      <c r="A875" s="120"/>
      <c r="B875" s="123"/>
      <c r="C875" s="124"/>
      <c r="D875" s="120"/>
      <c r="E875" s="125"/>
      <c r="F875" s="120"/>
      <c r="G875" s="125"/>
      <c r="H875" s="125"/>
      <c r="I875" s="125"/>
      <c r="J875" s="120"/>
      <c r="K875" s="120"/>
      <c r="L875" s="120"/>
      <c r="M875" s="120"/>
      <c r="N875" s="121"/>
      <c r="O875" s="121"/>
      <c r="P875" s="121"/>
      <c r="Q875" s="121"/>
      <c r="R875" s="121"/>
      <c r="S875" s="121"/>
      <c r="T875" s="121"/>
      <c r="U875" s="121"/>
      <c r="V875" s="121"/>
    </row>
    <row r="876">
      <c r="A876" s="120"/>
      <c r="B876" s="123"/>
      <c r="C876" s="124"/>
      <c r="D876" s="120"/>
      <c r="E876" s="125"/>
      <c r="F876" s="120"/>
      <c r="G876" s="125"/>
      <c r="H876" s="125"/>
      <c r="I876" s="125"/>
      <c r="J876" s="120"/>
      <c r="K876" s="120"/>
      <c r="L876" s="120"/>
      <c r="M876" s="120"/>
      <c r="N876" s="121"/>
      <c r="O876" s="121"/>
      <c r="P876" s="121"/>
      <c r="Q876" s="121"/>
      <c r="R876" s="121"/>
      <c r="S876" s="121"/>
      <c r="T876" s="121"/>
      <c r="U876" s="121"/>
      <c r="V876" s="121"/>
    </row>
    <row r="877">
      <c r="A877" s="120"/>
      <c r="B877" s="123"/>
      <c r="C877" s="124"/>
      <c r="D877" s="120"/>
      <c r="E877" s="125"/>
      <c r="F877" s="120"/>
      <c r="G877" s="125"/>
      <c r="H877" s="125"/>
      <c r="I877" s="125"/>
      <c r="J877" s="120"/>
      <c r="K877" s="120"/>
      <c r="L877" s="120"/>
      <c r="M877" s="120"/>
      <c r="N877" s="121"/>
      <c r="O877" s="121"/>
      <c r="P877" s="121"/>
      <c r="Q877" s="121"/>
      <c r="R877" s="121"/>
      <c r="S877" s="121"/>
      <c r="T877" s="121"/>
      <c r="U877" s="121"/>
      <c r="V877" s="121"/>
    </row>
    <row r="878">
      <c r="A878" s="120"/>
      <c r="B878" s="123"/>
      <c r="C878" s="124"/>
      <c r="D878" s="120"/>
      <c r="E878" s="125"/>
      <c r="F878" s="120"/>
      <c r="G878" s="125"/>
      <c r="H878" s="125"/>
      <c r="I878" s="125"/>
      <c r="J878" s="120"/>
      <c r="K878" s="120"/>
      <c r="L878" s="120"/>
      <c r="M878" s="120"/>
      <c r="N878" s="121"/>
      <c r="O878" s="121"/>
      <c r="P878" s="121"/>
      <c r="Q878" s="121"/>
      <c r="R878" s="121"/>
      <c r="S878" s="121"/>
      <c r="T878" s="121"/>
      <c r="U878" s="121"/>
      <c r="V878" s="121"/>
    </row>
    <row r="879">
      <c r="A879" s="120"/>
      <c r="B879" s="123"/>
      <c r="C879" s="124"/>
      <c r="D879" s="120"/>
      <c r="E879" s="125"/>
      <c r="F879" s="120"/>
      <c r="G879" s="125"/>
      <c r="H879" s="125"/>
      <c r="I879" s="125"/>
      <c r="J879" s="120"/>
      <c r="K879" s="120"/>
      <c r="L879" s="120"/>
      <c r="M879" s="120"/>
      <c r="N879" s="121"/>
      <c r="O879" s="121"/>
      <c r="P879" s="121"/>
      <c r="Q879" s="121"/>
      <c r="R879" s="121"/>
      <c r="S879" s="121"/>
      <c r="T879" s="121"/>
      <c r="U879" s="121"/>
      <c r="V879" s="121"/>
    </row>
    <row r="880">
      <c r="A880" s="120"/>
      <c r="B880" s="123"/>
      <c r="C880" s="124"/>
      <c r="D880" s="120"/>
      <c r="E880" s="125"/>
      <c r="F880" s="120"/>
      <c r="G880" s="125"/>
      <c r="H880" s="125"/>
      <c r="I880" s="125"/>
      <c r="J880" s="120"/>
      <c r="K880" s="120"/>
      <c r="L880" s="120"/>
      <c r="M880" s="120"/>
      <c r="N880" s="121"/>
      <c r="O880" s="121"/>
      <c r="P880" s="121"/>
      <c r="Q880" s="121"/>
      <c r="R880" s="121"/>
      <c r="S880" s="121"/>
      <c r="T880" s="121"/>
      <c r="U880" s="121"/>
      <c r="V880" s="121"/>
    </row>
    <row r="881">
      <c r="A881" s="120"/>
      <c r="B881" s="123"/>
      <c r="C881" s="124"/>
      <c r="D881" s="120"/>
      <c r="E881" s="125"/>
      <c r="F881" s="120"/>
      <c r="G881" s="125"/>
      <c r="H881" s="125"/>
      <c r="I881" s="125"/>
      <c r="J881" s="120"/>
      <c r="K881" s="120"/>
      <c r="L881" s="120"/>
      <c r="M881" s="120"/>
      <c r="N881" s="121"/>
      <c r="O881" s="121"/>
      <c r="P881" s="121"/>
      <c r="Q881" s="121"/>
      <c r="R881" s="121"/>
      <c r="S881" s="121"/>
      <c r="T881" s="121"/>
      <c r="U881" s="121"/>
      <c r="V881" s="121"/>
    </row>
    <row r="882">
      <c r="A882" s="120"/>
      <c r="B882" s="123"/>
      <c r="C882" s="124"/>
      <c r="D882" s="120"/>
      <c r="E882" s="125"/>
      <c r="F882" s="120"/>
      <c r="G882" s="125"/>
      <c r="H882" s="125"/>
      <c r="I882" s="125"/>
      <c r="J882" s="120"/>
      <c r="K882" s="120"/>
      <c r="L882" s="120"/>
      <c r="M882" s="120"/>
      <c r="N882" s="121"/>
      <c r="O882" s="121"/>
      <c r="P882" s="121"/>
      <c r="Q882" s="121"/>
      <c r="R882" s="121"/>
      <c r="S882" s="121"/>
      <c r="T882" s="121"/>
      <c r="U882" s="121"/>
      <c r="V882" s="121"/>
    </row>
    <row r="883">
      <c r="A883" s="120"/>
      <c r="B883" s="123"/>
      <c r="C883" s="124"/>
      <c r="D883" s="120"/>
      <c r="E883" s="125"/>
      <c r="F883" s="120"/>
      <c r="G883" s="125"/>
      <c r="H883" s="125"/>
      <c r="I883" s="125"/>
      <c r="J883" s="120"/>
      <c r="K883" s="120"/>
      <c r="L883" s="120"/>
      <c r="M883" s="120"/>
      <c r="N883" s="121"/>
      <c r="O883" s="121"/>
      <c r="P883" s="121"/>
      <c r="Q883" s="121"/>
      <c r="R883" s="121"/>
      <c r="S883" s="121"/>
      <c r="T883" s="121"/>
      <c r="U883" s="121"/>
      <c r="V883" s="121"/>
    </row>
    <row r="884">
      <c r="A884" s="120"/>
      <c r="B884" s="123"/>
      <c r="C884" s="124"/>
      <c r="D884" s="120"/>
      <c r="E884" s="125"/>
      <c r="F884" s="120"/>
      <c r="G884" s="125"/>
      <c r="H884" s="125"/>
      <c r="I884" s="125"/>
      <c r="J884" s="120"/>
      <c r="K884" s="120"/>
      <c r="L884" s="120"/>
      <c r="M884" s="120"/>
      <c r="N884" s="121"/>
      <c r="O884" s="121"/>
      <c r="P884" s="121"/>
      <c r="Q884" s="121"/>
      <c r="R884" s="121"/>
      <c r="S884" s="121"/>
      <c r="T884" s="121"/>
      <c r="U884" s="121"/>
      <c r="V884" s="121"/>
    </row>
    <row r="885">
      <c r="A885" s="120"/>
      <c r="B885" s="123"/>
      <c r="C885" s="124"/>
      <c r="D885" s="120"/>
      <c r="E885" s="125"/>
      <c r="F885" s="120"/>
      <c r="G885" s="125"/>
      <c r="H885" s="125"/>
      <c r="I885" s="125"/>
      <c r="J885" s="120"/>
      <c r="K885" s="120"/>
      <c r="L885" s="120"/>
      <c r="M885" s="120"/>
      <c r="N885" s="121"/>
      <c r="O885" s="121"/>
      <c r="P885" s="121"/>
      <c r="Q885" s="121"/>
      <c r="R885" s="121"/>
      <c r="S885" s="121"/>
      <c r="T885" s="121"/>
      <c r="U885" s="121"/>
      <c r="V885" s="121"/>
    </row>
    <row r="886">
      <c r="A886" s="120"/>
      <c r="B886" s="123"/>
      <c r="C886" s="124"/>
      <c r="D886" s="120"/>
      <c r="E886" s="125"/>
      <c r="F886" s="120"/>
      <c r="G886" s="125"/>
      <c r="H886" s="125"/>
      <c r="I886" s="125"/>
      <c r="J886" s="120"/>
      <c r="K886" s="120"/>
      <c r="L886" s="120"/>
      <c r="M886" s="120"/>
      <c r="N886" s="121"/>
      <c r="O886" s="121"/>
      <c r="P886" s="121"/>
      <c r="Q886" s="121"/>
      <c r="R886" s="121"/>
      <c r="S886" s="121"/>
      <c r="T886" s="121"/>
      <c r="U886" s="121"/>
      <c r="V886" s="121"/>
    </row>
    <row r="887">
      <c r="A887" s="120"/>
      <c r="B887" s="123"/>
      <c r="C887" s="124"/>
      <c r="D887" s="120"/>
      <c r="E887" s="125"/>
      <c r="F887" s="120"/>
      <c r="G887" s="125"/>
      <c r="H887" s="125"/>
      <c r="I887" s="125"/>
      <c r="J887" s="120"/>
      <c r="K887" s="120"/>
      <c r="L887" s="120"/>
      <c r="M887" s="120"/>
      <c r="N887" s="121"/>
      <c r="O887" s="121"/>
      <c r="P887" s="121"/>
      <c r="Q887" s="121"/>
      <c r="R887" s="121"/>
      <c r="S887" s="121"/>
      <c r="T887" s="121"/>
      <c r="U887" s="121"/>
      <c r="V887" s="121"/>
    </row>
    <row r="888">
      <c r="A888" s="120"/>
      <c r="B888" s="123"/>
      <c r="C888" s="124"/>
      <c r="D888" s="120"/>
      <c r="E888" s="125"/>
      <c r="F888" s="120"/>
      <c r="G888" s="125"/>
      <c r="H888" s="125"/>
      <c r="I888" s="125"/>
      <c r="J888" s="120"/>
      <c r="K888" s="120"/>
      <c r="L888" s="120"/>
      <c r="M888" s="120"/>
      <c r="N888" s="121"/>
      <c r="O888" s="121"/>
      <c r="P888" s="121"/>
      <c r="Q888" s="121"/>
      <c r="R888" s="121"/>
      <c r="S888" s="121"/>
      <c r="T888" s="121"/>
      <c r="U888" s="121"/>
      <c r="V888" s="121"/>
    </row>
    <row r="889">
      <c r="A889" s="120"/>
      <c r="B889" s="123"/>
      <c r="C889" s="124"/>
      <c r="D889" s="120"/>
      <c r="E889" s="125"/>
      <c r="F889" s="120"/>
      <c r="G889" s="125"/>
      <c r="H889" s="125"/>
      <c r="I889" s="125"/>
      <c r="J889" s="120"/>
      <c r="K889" s="120"/>
      <c r="L889" s="120"/>
      <c r="M889" s="120"/>
      <c r="N889" s="121"/>
      <c r="O889" s="121"/>
      <c r="P889" s="121"/>
      <c r="Q889" s="121"/>
      <c r="R889" s="121"/>
      <c r="S889" s="121"/>
      <c r="T889" s="121"/>
      <c r="U889" s="121"/>
      <c r="V889" s="121"/>
    </row>
    <row r="890">
      <c r="A890" s="120"/>
      <c r="B890" s="123"/>
      <c r="C890" s="124"/>
      <c r="D890" s="120"/>
      <c r="E890" s="125"/>
      <c r="F890" s="120"/>
      <c r="G890" s="125"/>
      <c r="H890" s="125"/>
      <c r="I890" s="125"/>
      <c r="J890" s="120"/>
      <c r="K890" s="120"/>
      <c r="L890" s="120"/>
      <c r="M890" s="120"/>
      <c r="N890" s="121"/>
      <c r="O890" s="121"/>
      <c r="P890" s="121"/>
      <c r="Q890" s="121"/>
      <c r="R890" s="121"/>
      <c r="S890" s="121"/>
      <c r="T890" s="121"/>
      <c r="U890" s="121"/>
      <c r="V890" s="121"/>
    </row>
    <row r="891">
      <c r="A891" s="120"/>
      <c r="B891" s="123"/>
      <c r="C891" s="124"/>
      <c r="D891" s="120"/>
      <c r="E891" s="125"/>
      <c r="F891" s="120"/>
      <c r="G891" s="125"/>
      <c r="H891" s="125"/>
      <c r="I891" s="125"/>
      <c r="J891" s="120"/>
      <c r="K891" s="120"/>
      <c r="L891" s="120"/>
      <c r="M891" s="120"/>
      <c r="N891" s="121"/>
      <c r="O891" s="121"/>
      <c r="P891" s="121"/>
      <c r="Q891" s="121"/>
      <c r="R891" s="121"/>
      <c r="S891" s="121"/>
      <c r="T891" s="121"/>
      <c r="U891" s="121"/>
      <c r="V891" s="121"/>
    </row>
    <row r="892">
      <c r="A892" s="120"/>
      <c r="B892" s="123"/>
      <c r="C892" s="124"/>
      <c r="D892" s="120"/>
      <c r="E892" s="125"/>
      <c r="F892" s="120"/>
      <c r="G892" s="125"/>
      <c r="H892" s="125"/>
      <c r="I892" s="125"/>
      <c r="J892" s="120"/>
      <c r="K892" s="120"/>
      <c r="L892" s="120"/>
      <c r="M892" s="120"/>
      <c r="N892" s="121"/>
      <c r="O892" s="121"/>
      <c r="P892" s="121"/>
      <c r="Q892" s="121"/>
      <c r="R892" s="121"/>
      <c r="S892" s="121"/>
      <c r="T892" s="121"/>
      <c r="U892" s="121"/>
      <c r="V892" s="121"/>
    </row>
    <row r="893">
      <c r="A893" s="120"/>
      <c r="B893" s="123"/>
      <c r="C893" s="124"/>
      <c r="D893" s="120"/>
      <c r="E893" s="125"/>
      <c r="F893" s="120"/>
      <c r="G893" s="125"/>
      <c r="H893" s="125"/>
      <c r="I893" s="125"/>
      <c r="J893" s="120"/>
      <c r="K893" s="120"/>
      <c r="L893" s="120"/>
      <c r="M893" s="120"/>
      <c r="N893" s="121"/>
      <c r="O893" s="121"/>
      <c r="P893" s="121"/>
      <c r="Q893" s="121"/>
      <c r="R893" s="121"/>
      <c r="S893" s="121"/>
      <c r="T893" s="121"/>
      <c r="U893" s="121"/>
      <c r="V893" s="121"/>
    </row>
    <row r="894">
      <c r="A894" s="120"/>
      <c r="B894" s="123"/>
      <c r="C894" s="124"/>
      <c r="D894" s="120"/>
      <c r="E894" s="125"/>
      <c r="F894" s="120"/>
      <c r="G894" s="125"/>
      <c r="H894" s="125"/>
      <c r="I894" s="125"/>
      <c r="J894" s="120"/>
      <c r="K894" s="120"/>
      <c r="L894" s="120"/>
      <c r="M894" s="120"/>
      <c r="N894" s="121"/>
      <c r="O894" s="121"/>
      <c r="P894" s="121"/>
      <c r="Q894" s="121"/>
      <c r="R894" s="121"/>
      <c r="S894" s="121"/>
      <c r="T894" s="121"/>
      <c r="U894" s="121"/>
      <c r="V894" s="121"/>
    </row>
    <row r="895">
      <c r="A895" s="120"/>
      <c r="B895" s="123"/>
      <c r="C895" s="124"/>
      <c r="D895" s="120"/>
      <c r="E895" s="125"/>
      <c r="F895" s="120"/>
      <c r="G895" s="125"/>
      <c r="H895" s="125"/>
      <c r="I895" s="125"/>
      <c r="J895" s="120"/>
      <c r="K895" s="120"/>
      <c r="L895" s="120"/>
      <c r="M895" s="120"/>
      <c r="N895" s="121"/>
      <c r="O895" s="121"/>
      <c r="P895" s="121"/>
      <c r="Q895" s="121"/>
      <c r="R895" s="121"/>
      <c r="S895" s="121"/>
      <c r="T895" s="121"/>
      <c r="U895" s="121"/>
      <c r="V895" s="121"/>
    </row>
    <row r="896">
      <c r="A896" s="120"/>
      <c r="B896" s="123"/>
      <c r="C896" s="124"/>
      <c r="D896" s="120"/>
      <c r="E896" s="125"/>
      <c r="F896" s="120"/>
      <c r="G896" s="125"/>
      <c r="H896" s="125"/>
      <c r="I896" s="125"/>
      <c r="J896" s="120"/>
      <c r="K896" s="120"/>
      <c r="L896" s="120"/>
      <c r="M896" s="120"/>
      <c r="N896" s="121"/>
      <c r="O896" s="121"/>
      <c r="P896" s="121"/>
      <c r="Q896" s="121"/>
      <c r="R896" s="121"/>
      <c r="S896" s="121"/>
      <c r="T896" s="121"/>
      <c r="U896" s="121"/>
      <c r="V896" s="121"/>
    </row>
    <row r="897">
      <c r="A897" s="120"/>
      <c r="B897" s="123"/>
      <c r="C897" s="124"/>
      <c r="D897" s="120"/>
      <c r="E897" s="125"/>
      <c r="F897" s="120"/>
      <c r="G897" s="125"/>
      <c r="H897" s="125"/>
      <c r="I897" s="125"/>
      <c r="J897" s="120"/>
      <c r="K897" s="120"/>
      <c r="L897" s="120"/>
      <c r="M897" s="120"/>
      <c r="N897" s="121"/>
      <c r="O897" s="121"/>
      <c r="P897" s="121"/>
      <c r="Q897" s="121"/>
      <c r="R897" s="121"/>
      <c r="S897" s="121"/>
      <c r="T897" s="121"/>
      <c r="U897" s="121"/>
      <c r="V897" s="121"/>
    </row>
    <row r="898">
      <c r="A898" s="120"/>
      <c r="B898" s="123"/>
      <c r="C898" s="124"/>
      <c r="D898" s="120"/>
      <c r="E898" s="125"/>
      <c r="F898" s="120"/>
      <c r="G898" s="125"/>
      <c r="H898" s="125"/>
      <c r="I898" s="125"/>
      <c r="J898" s="120"/>
      <c r="K898" s="120"/>
      <c r="L898" s="120"/>
      <c r="M898" s="120"/>
      <c r="N898" s="121"/>
      <c r="O898" s="121"/>
      <c r="P898" s="121"/>
      <c r="Q898" s="121"/>
      <c r="R898" s="121"/>
      <c r="S898" s="121"/>
      <c r="T898" s="121"/>
      <c r="U898" s="121"/>
      <c r="V898" s="121"/>
    </row>
    <row r="899">
      <c r="A899" s="120"/>
      <c r="B899" s="123"/>
      <c r="C899" s="124"/>
      <c r="D899" s="120"/>
      <c r="E899" s="125"/>
      <c r="F899" s="120"/>
      <c r="G899" s="125"/>
      <c r="H899" s="125"/>
      <c r="I899" s="125"/>
      <c r="J899" s="120"/>
      <c r="K899" s="120"/>
      <c r="L899" s="120"/>
      <c r="M899" s="120"/>
      <c r="N899" s="121"/>
      <c r="O899" s="121"/>
      <c r="P899" s="121"/>
      <c r="Q899" s="121"/>
      <c r="R899" s="121"/>
      <c r="S899" s="121"/>
      <c r="T899" s="121"/>
      <c r="U899" s="121"/>
      <c r="V899" s="121"/>
    </row>
    <row r="900">
      <c r="A900" s="120"/>
      <c r="B900" s="123"/>
      <c r="C900" s="124"/>
      <c r="D900" s="120"/>
      <c r="E900" s="125"/>
      <c r="F900" s="120"/>
      <c r="G900" s="125"/>
      <c r="H900" s="125"/>
      <c r="I900" s="125"/>
      <c r="J900" s="120"/>
      <c r="K900" s="120"/>
      <c r="L900" s="120"/>
      <c r="M900" s="120"/>
      <c r="N900" s="121"/>
      <c r="O900" s="121"/>
      <c r="P900" s="121"/>
      <c r="Q900" s="121"/>
      <c r="R900" s="121"/>
      <c r="S900" s="121"/>
      <c r="T900" s="121"/>
      <c r="U900" s="121"/>
      <c r="V900" s="121"/>
    </row>
    <row r="901">
      <c r="A901" s="120"/>
      <c r="B901" s="123"/>
      <c r="C901" s="124"/>
      <c r="D901" s="120"/>
      <c r="E901" s="125"/>
      <c r="F901" s="120"/>
      <c r="G901" s="125"/>
      <c r="H901" s="125"/>
      <c r="I901" s="125"/>
      <c r="J901" s="120"/>
      <c r="K901" s="120"/>
      <c r="L901" s="120"/>
      <c r="M901" s="120"/>
      <c r="N901" s="121"/>
      <c r="O901" s="121"/>
      <c r="P901" s="121"/>
      <c r="Q901" s="121"/>
      <c r="R901" s="121"/>
      <c r="S901" s="121"/>
      <c r="T901" s="121"/>
      <c r="U901" s="121"/>
      <c r="V901" s="121"/>
    </row>
    <row r="902">
      <c r="A902" s="120"/>
      <c r="B902" s="123"/>
      <c r="C902" s="124"/>
      <c r="D902" s="120"/>
      <c r="E902" s="125"/>
      <c r="F902" s="120"/>
      <c r="G902" s="125"/>
      <c r="H902" s="125"/>
      <c r="I902" s="125"/>
      <c r="J902" s="120"/>
      <c r="K902" s="120"/>
      <c r="L902" s="120"/>
      <c r="M902" s="120"/>
      <c r="N902" s="121"/>
      <c r="O902" s="121"/>
      <c r="P902" s="121"/>
      <c r="Q902" s="121"/>
      <c r="R902" s="121"/>
      <c r="S902" s="121"/>
      <c r="T902" s="121"/>
      <c r="U902" s="121"/>
      <c r="V902" s="121"/>
    </row>
    <row r="903">
      <c r="A903" s="120"/>
      <c r="B903" s="123"/>
      <c r="C903" s="124"/>
      <c r="D903" s="120"/>
      <c r="E903" s="125"/>
      <c r="F903" s="120"/>
      <c r="G903" s="125"/>
      <c r="H903" s="125"/>
      <c r="I903" s="125"/>
      <c r="J903" s="120"/>
      <c r="K903" s="120"/>
      <c r="L903" s="120"/>
      <c r="M903" s="120"/>
      <c r="N903" s="121"/>
      <c r="O903" s="121"/>
      <c r="P903" s="121"/>
      <c r="Q903" s="121"/>
      <c r="R903" s="121"/>
      <c r="S903" s="121"/>
      <c r="T903" s="121"/>
      <c r="U903" s="121"/>
      <c r="V903" s="121"/>
    </row>
    <row r="904">
      <c r="A904" s="120"/>
      <c r="B904" s="123"/>
      <c r="C904" s="124"/>
      <c r="D904" s="120"/>
      <c r="E904" s="125"/>
      <c r="F904" s="120"/>
      <c r="G904" s="125"/>
      <c r="H904" s="125"/>
      <c r="I904" s="125"/>
      <c r="J904" s="120"/>
      <c r="K904" s="120"/>
      <c r="L904" s="120"/>
      <c r="M904" s="120"/>
      <c r="N904" s="121"/>
      <c r="O904" s="121"/>
      <c r="P904" s="121"/>
      <c r="Q904" s="121"/>
      <c r="R904" s="121"/>
      <c r="S904" s="121"/>
      <c r="T904" s="121"/>
      <c r="U904" s="121"/>
      <c r="V904" s="121"/>
    </row>
    <row r="905">
      <c r="A905" s="120"/>
      <c r="B905" s="123"/>
      <c r="C905" s="124"/>
      <c r="D905" s="120"/>
      <c r="E905" s="122"/>
      <c r="F905" s="120"/>
      <c r="G905" s="122"/>
      <c r="H905" s="122"/>
      <c r="I905" s="122"/>
      <c r="J905" s="120"/>
      <c r="K905" s="120"/>
      <c r="L905" s="120"/>
      <c r="M905" s="120"/>
      <c r="N905" s="121"/>
      <c r="O905" s="121"/>
      <c r="P905" s="121"/>
      <c r="Q905" s="121"/>
      <c r="R905" s="121"/>
      <c r="S905" s="121"/>
      <c r="T905" s="121"/>
      <c r="U905" s="121"/>
      <c r="V905" s="121"/>
    </row>
    <row r="906">
      <c r="A906" s="120"/>
      <c r="B906" s="123"/>
      <c r="C906" s="124"/>
      <c r="D906" s="120"/>
      <c r="E906" s="122"/>
      <c r="F906" s="120"/>
      <c r="G906" s="122"/>
      <c r="H906" s="122"/>
      <c r="I906" s="122"/>
      <c r="J906" s="120"/>
      <c r="K906" s="120"/>
      <c r="L906" s="120"/>
      <c r="M906" s="120"/>
      <c r="N906" s="121"/>
      <c r="O906" s="121"/>
      <c r="P906" s="121"/>
      <c r="Q906" s="121"/>
      <c r="R906" s="121"/>
      <c r="S906" s="121"/>
      <c r="T906" s="121"/>
      <c r="U906" s="121"/>
      <c r="V906" s="121"/>
    </row>
    <row r="907">
      <c r="A907" s="120"/>
      <c r="B907" s="123"/>
      <c r="C907" s="124"/>
      <c r="D907" s="120"/>
      <c r="E907" s="122"/>
      <c r="F907" s="120"/>
      <c r="G907" s="122"/>
      <c r="H907" s="122"/>
      <c r="I907" s="122"/>
      <c r="J907" s="120"/>
      <c r="K907" s="120"/>
      <c r="L907" s="120"/>
      <c r="M907" s="120"/>
      <c r="N907" s="121"/>
      <c r="O907" s="121"/>
      <c r="P907" s="121"/>
      <c r="Q907" s="121"/>
      <c r="R907" s="121"/>
      <c r="S907" s="121"/>
      <c r="T907" s="121"/>
      <c r="U907" s="121"/>
      <c r="V907" s="121"/>
    </row>
    <row r="908">
      <c r="A908" s="120"/>
      <c r="B908" s="123"/>
      <c r="C908" s="124"/>
      <c r="D908" s="120"/>
      <c r="E908" s="122"/>
      <c r="F908" s="120"/>
      <c r="G908" s="122"/>
      <c r="H908" s="122"/>
      <c r="I908" s="122"/>
      <c r="J908" s="120"/>
      <c r="K908" s="120"/>
      <c r="L908" s="120"/>
      <c r="M908" s="120"/>
      <c r="N908" s="121"/>
      <c r="O908" s="121"/>
      <c r="P908" s="121"/>
      <c r="Q908" s="121"/>
      <c r="R908" s="121"/>
      <c r="S908" s="121"/>
      <c r="T908" s="121"/>
      <c r="U908" s="121"/>
      <c r="V908" s="121"/>
    </row>
    <row r="909">
      <c r="A909" s="120"/>
      <c r="B909" s="123"/>
      <c r="C909" s="124"/>
      <c r="D909" s="120"/>
      <c r="E909" s="122"/>
      <c r="F909" s="120"/>
      <c r="G909" s="122"/>
      <c r="H909" s="122"/>
      <c r="I909" s="122"/>
      <c r="J909" s="120"/>
      <c r="K909" s="120"/>
      <c r="L909" s="120"/>
      <c r="M909" s="120"/>
      <c r="N909" s="121"/>
      <c r="O909" s="121"/>
      <c r="P909" s="121"/>
      <c r="Q909" s="121"/>
      <c r="R909" s="121"/>
      <c r="S909" s="121"/>
      <c r="T909" s="121"/>
      <c r="U909" s="121"/>
      <c r="V909" s="121"/>
    </row>
    <row r="910">
      <c r="A910" s="120"/>
      <c r="B910" s="123"/>
      <c r="C910" s="124"/>
      <c r="D910" s="120"/>
      <c r="E910" s="122"/>
      <c r="F910" s="120"/>
      <c r="G910" s="122"/>
      <c r="H910" s="122"/>
      <c r="I910" s="122"/>
      <c r="J910" s="120"/>
      <c r="K910" s="120"/>
      <c r="L910" s="120"/>
      <c r="M910" s="120"/>
      <c r="N910" s="121"/>
      <c r="O910" s="121"/>
      <c r="P910" s="121"/>
      <c r="Q910" s="121"/>
      <c r="R910" s="121"/>
      <c r="S910" s="121"/>
      <c r="T910" s="121"/>
      <c r="U910" s="121"/>
      <c r="V910" s="121"/>
    </row>
    <row r="911">
      <c r="A911" s="120"/>
      <c r="B911" s="123"/>
      <c r="C911" s="124"/>
      <c r="D911" s="120"/>
      <c r="E911" s="122"/>
      <c r="F911" s="120"/>
      <c r="G911" s="122"/>
      <c r="H911" s="122"/>
      <c r="I911" s="122"/>
      <c r="J911" s="120"/>
      <c r="K911" s="120"/>
      <c r="L911" s="120"/>
      <c r="M911" s="120"/>
      <c r="N911" s="121"/>
      <c r="O911" s="121"/>
      <c r="P911" s="121"/>
      <c r="Q911" s="121"/>
      <c r="R911" s="121"/>
      <c r="S911" s="121"/>
      <c r="T911" s="121"/>
      <c r="U911" s="121"/>
      <c r="V911" s="121"/>
    </row>
    <row r="912">
      <c r="A912" s="120"/>
      <c r="B912" s="123"/>
      <c r="C912" s="124"/>
      <c r="D912" s="120"/>
      <c r="E912" s="122"/>
      <c r="F912" s="120"/>
      <c r="G912" s="122"/>
      <c r="H912" s="122"/>
      <c r="I912" s="122"/>
      <c r="J912" s="120"/>
      <c r="K912" s="120"/>
      <c r="L912" s="120"/>
      <c r="M912" s="120"/>
      <c r="N912" s="121"/>
      <c r="O912" s="121"/>
      <c r="P912" s="121"/>
      <c r="Q912" s="121"/>
      <c r="R912" s="121"/>
      <c r="S912" s="121"/>
      <c r="T912" s="121"/>
      <c r="U912" s="121"/>
      <c r="V912" s="121"/>
    </row>
    <row r="913">
      <c r="A913" s="120"/>
      <c r="B913" s="123"/>
      <c r="C913" s="124"/>
      <c r="D913" s="120"/>
      <c r="E913" s="122"/>
      <c r="F913" s="120"/>
      <c r="G913" s="122"/>
      <c r="H913" s="122"/>
      <c r="I913" s="122"/>
      <c r="J913" s="120"/>
      <c r="K913" s="120"/>
      <c r="L913" s="120"/>
      <c r="M913" s="120"/>
      <c r="N913" s="121"/>
      <c r="O913" s="121"/>
      <c r="P913" s="121"/>
      <c r="Q913" s="121"/>
      <c r="R913" s="121"/>
      <c r="S913" s="121"/>
      <c r="T913" s="121"/>
      <c r="U913" s="121"/>
      <c r="V913" s="121"/>
    </row>
    <row r="914">
      <c r="A914" s="120"/>
      <c r="B914" s="123"/>
      <c r="C914" s="124"/>
      <c r="D914" s="120"/>
      <c r="E914" s="122"/>
      <c r="F914" s="120"/>
      <c r="G914" s="122"/>
      <c r="H914" s="122"/>
      <c r="I914" s="122"/>
      <c r="J914" s="120"/>
      <c r="K914" s="120"/>
      <c r="L914" s="120"/>
      <c r="M914" s="120"/>
      <c r="N914" s="121"/>
      <c r="O914" s="121"/>
      <c r="P914" s="121"/>
      <c r="Q914" s="121"/>
      <c r="R914" s="121"/>
      <c r="S914" s="121"/>
      <c r="T914" s="121"/>
      <c r="U914" s="121"/>
      <c r="V914" s="121"/>
    </row>
    <row r="915">
      <c r="A915" s="120"/>
      <c r="B915" s="123"/>
      <c r="C915" s="124"/>
      <c r="D915" s="120"/>
      <c r="E915" s="122"/>
      <c r="F915" s="120"/>
      <c r="G915" s="122"/>
      <c r="H915" s="122"/>
      <c r="I915" s="122"/>
      <c r="J915" s="120"/>
      <c r="K915" s="120"/>
      <c r="L915" s="120"/>
      <c r="M915" s="120"/>
      <c r="N915" s="121"/>
      <c r="O915" s="121"/>
      <c r="P915" s="121"/>
      <c r="Q915" s="121"/>
      <c r="R915" s="121"/>
      <c r="S915" s="121"/>
      <c r="T915" s="121"/>
      <c r="U915" s="121"/>
      <c r="V915" s="121"/>
    </row>
    <row r="916">
      <c r="A916" s="120"/>
      <c r="B916" s="123"/>
      <c r="C916" s="124"/>
      <c r="D916" s="120"/>
      <c r="E916" s="122"/>
      <c r="F916" s="120"/>
      <c r="G916" s="122"/>
      <c r="H916" s="122"/>
      <c r="I916" s="122"/>
      <c r="J916" s="120"/>
      <c r="K916" s="120"/>
      <c r="L916" s="120"/>
      <c r="M916" s="120"/>
      <c r="N916" s="121"/>
      <c r="O916" s="121"/>
      <c r="P916" s="121"/>
      <c r="Q916" s="121"/>
      <c r="R916" s="121"/>
      <c r="S916" s="121"/>
      <c r="T916" s="121"/>
      <c r="U916" s="121"/>
      <c r="V916" s="121"/>
    </row>
    <row r="917">
      <c r="A917" s="120"/>
      <c r="B917" s="123"/>
      <c r="C917" s="124"/>
      <c r="D917" s="120"/>
      <c r="E917" s="122"/>
      <c r="F917" s="120"/>
      <c r="G917" s="122"/>
      <c r="H917" s="122"/>
      <c r="I917" s="122"/>
      <c r="J917" s="120"/>
      <c r="K917" s="120"/>
      <c r="L917" s="120"/>
      <c r="M917" s="120"/>
      <c r="N917" s="121"/>
      <c r="O917" s="121"/>
      <c r="P917" s="121"/>
      <c r="Q917" s="121"/>
      <c r="R917" s="121"/>
      <c r="S917" s="121"/>
      <c r="T917" s="121"/>
      <c r="U917" s="121"/>
      <c r="V917" s="121"/>
    </row>
    <row r="918">
      <c r="A918" s="120"/>
      <c r="B918" s="123"/>
      <c r="C918" s="124"/>
      <c r="D918" s="120"/>
      <c r="E918" s="122"/>
      <c r="F918" s="120"/>
      <c r="G918" s="122"/>
      <c r="H918" s="122"/>
      <c r="I918" s="122"/>
      <c r="J918" s="120"/>
      <c r="K918" s="120"/>
      <c r="L918" s="120"/>
      <c r="M918" s="120"/>
      <c r="N918" s="121"/>
      <c r="O918" s="121"/>
      <c r="P918" s="121"/>
      <c r="Q918" s="121"/>
      <c r="R918" s="121"/>
      <c r="S918" s="121"/>
      <c r="T918" s="121"/>
      <c r="U918" s="121"/>
      <c r="V918" s="121"/>
    </row>
    <row r="919">
      <c r="A919" s="120"/>
      <c r="B919" s="123"/>
      <c r="C919" s="124"/>
      <c r="D919" s="120"/>
      <c r="E919" s="122"/>
      <c r="F919" s="120"/>
      <c r="G919" s="122"/>
      <c r="H919" s="122"/>
      <c r="I919" s="122"/>
      <c r="J919" s="120"/>
      <c r="K919" s="120"/>
      <c r="L919" s="120"/>
      <c r="M919" s="120"/>
      <c r="N919" s="121"/>
      <c r="O919" s="121"/>
      <c r="P919" s="121"/>
      <c r="Q919" s="121"/>
      <c r="R919" s="121"/>
      <c r="S919" s="121"/>
      <c r="T919" s="121"/>
      <c r="U919" s="121"/>
      <c r="V919" s="121"/>
    </row>
    <row r="920">
      <c r="A920" s="120"/>
      <c r="B920" s="123"/>
      <c r="C920" s="124"/>
      <c r="D920" s="120"/>
      <c r="E920" s="122"/>
      <c r="F920" s="120"/>
      <c r="G920" s="122"/>
      <c r="H920" s="122"/>
      <c r="I920" s="122"/>
      <c r="J920" s="120"/>
      <c r="K920" s="120"/>
      <c r="L920" s="120"/>
      <c r="M920" s="120"/>
      <c r="N920" s="121"/>
      <c r="O920" s="121"/>
      <c r="P920" s="121"/>
      <c r="Q920" s="121"/>
      <c r="R920" s="121"/>
      <c r="S920" s="121"/>
      <c r="T920" s="121"/>
      <c r="U920" s="121"/>
      <c r="V920" s="121"/>
    </row>
    <row r="921">
      <c r="A921" s="120"/>
      <c r="B921" s="123"/>
      <c r="C921" s="124"/>
      <c r="D921" s="120"/>
      <c r="E921" s="122"/>
      <c r="F921" s="120"/>
      <c r="G921" s="122"/>
      <c r="H921" s="122"/>
      <c r="I921" s="122"/>
      <c r="J921" s="120"/>
      <c r="K921" s="120"/>
      <c r="L921" s="120"/>
      <c r="M921" s="120"/>
      <c r="N921" s="121"/>
      <c r="O921" s="121"/>
      <c r="P921" s="121"/>
      <c r="Q921" s="121"/>
      <c r="R921" s="121"/>
      <c r="S921" s="121"/>
      <c r="T921" s="121"/>
      <c r="U921" s="121"/>
      <c r="V921" s="121"/>
    </row>
    <row r="922">
      <c r="A922" s="120"/>
      <c r="B922" s="123"/>
      <c r="C922" s="124"/>
      <c r="D922" s="120"/>
      <c r="E922" s="122"/>
      <c r="F922" s="120"/>
      <c r="G922" s="122"/>
      <c r="H922" s="122"/>
      <c r="I922" s="122"/>
      <c r="J922" s="120"/>
      <c r="K922" s="120"/>
      <c r="L922" s="120"/>
      <c r="M922" s="120"/>
      <c r="N922" s="121"/>
      <c r="O922" s="121"/>
      <c r="P922" s="121"/>
      <c r="Q922" s="121"/>
      <c r="R922" s="121"/>
      <c r="S922" s="121"/>
      <c r="T922" s="121"/>
      <c r="U922" s="121"/>
      <c r="V922" s="121"/>
    </row>
    <row r="923">
      <c r="A923" s="120"/>
      <c r="B923" s="123"/>
      <c r="C923" s="124"/>
      <c r="D923" s="120"/>
      <c r="E923" s="125"/>
      <c r="F923" s="120"/>
      <c r="G923" s="125"/>
      <c r="H923" s="125"/>
      <c r="I923" s="125"/>
      <c r="J923" s="120"/>
      <c r="K923" s="120"/>
      <c r="L923" s="120"/>
      <c r="M923" s="120"/>
      <c r="N923" s="121"/>
      <c r="O923" s="121"/>
      <c r="P923" s="121"/>
      <c r="Q923" s="121"/>
      <c r="R923" s="121"/>
      <c r="S923" s="121"/>
      <c r="T923" s="121"/>
      <c r="U923" s="121"/>
      <c r="V923" s="121"/>
    </row>
    <row r="924">
      <c r="A924" s="120"/>
      <c r="B924" s="123"/>
      <c r="C924" s="124"/>
      <c r="D924" s="120"/>
      <c r="E924" s="125"/>
      <c r="F924" s="120"/>
      <c r="G924" s="125"/>
      <c r="H924" s="125"/>
      <c r="I924" s="125"/>
      <c r="J924" s="120"/>
      <c r="K924" s="120"/>
      <c r="L924" s="120"/>
      <c r="M924" s="120"/>
      <c r="N924" s="121"/>
      <c r="O924" s="121"/>
      <c r="P924" s="121"/>
      <c r="Q924" s="121"/>
      <c r="R924" s="121"/>
      <c r="S924" s="121"/>
      <c r="T924" s="121"/>
      <c r="U924" s="121"/>
      <c r="V924" s="121"/>
    </row>
    <row r="925">
      <c r="A925" s="120"/>
      <c r="B925" s="123"/>
      <c r="C925" s="124"/>
      <c r="D925" s="120"/>
      <c r="E925" s="125"/>
      <c r="F925" s="120"/>
      <c r="G925" s="125"/>
      <c r="H925" s="125"/>
      <c r="I925" s="125"/>
      <c r="J925" s="120"/>
      <c r="K925" s="120"/>
      <c r="L925" s="120"/>
      <c r="M925" s="120"/>
      <c r="N925" s="121"/>
      <c r="O925" s="121"/>
      <c r="P925" s="121"/>
      <c r="Q925" s="121"/>
      <c r="R925" s="121"/>
      <c r="S925" s="121"/>
      <c r="T925" s="121"/>
      <c r="U925" s="121"/>
      <c r="V925" s="121"/>
    </row>
    <row r="926">
      <c r="A926" s="120"/>
      <c r="B926" s="123"/>
      <c r="C926" s="124"/>
      <c r="D926" s="120"/>
      <c r="E926" s="125"/>
      <c r="F926" s="120"/>
      <c r="G926" s="125"/>
      <c r="H926" s="125"/>
      <c r="I926" s="125"/>
      <c r="J926" s="120"/>
      <c r="K926" s="120"/>
      <c r="L926" s="120"/>
      <c r="M926" s="120"/>
      <c r="N926" s="121"/>
      <c r="O926" s="121"/>
      <c r="P926" s="121"/>
      <c r="Q926" s="121"/>
      <c r="R926" s="121"/>
      <c r="S926" s="121"/>
      <c r="T926" s="121"/>
      <c r="U926" s="121"/>
      <c r="V926" s="121"/>
    </row>
    <row r="927">
      <c r="A927" s="120"/>
      <c r="B927" s="123"/>
      <c r="C927" s="124"/>
      <c r="D927" s="120"/>
      <c r="E927" s="125"/>
      <c r="F927" s="120"/>
      <c r="G927" s="125"/>
      <c r="H927" s="125"/>
      <c r="I927" s="125"/>
      <c r="J927" s="120"/>
      <c r="K927" s="120"/>
      <c r="L927" s="120"/>
      <c r="M927" s="120"/>
      <c r="N927" s="121"/>
      <c r="O927" s="121"/>
      <c r="P927" s="121"/>
      <c r="Q927" s="121"/>
      <c r="R927" s="121"/>
      <c r="S927" s="121"/>
      <c r="T927" s="121"/>
      <c r="U927" s="121"/>
      <c r="V927" s="121"/>
    </row>
    <row r="928">
      <c r="A928" s="120"/>
      <c r="B928" s="123"/>
      <c r="C928" s="124"/>
      <c r="D928" s="120"/>
      <c r="E928" s="125"/>
      <c r="F928" s="120"/>
      <c r="G928" s="125"/>
      <c r="H928" s="125"/>
      <c r="I928" s="125"/>
      <c r="J928" s="120"/>
      <c r="K928" s="120"/>
      <c r="L928" s="120"/>
      <c r="M928" s="120"/>
      <c r="N928" s="121"/>
      <c r="O928" s="121"/>
      <c r="P928" s="121"/>
      <c r="Q928" s="121"/>
      <c r="R928" s="121"/>
      <c r="S928" s="121"/>
      <c r="T928" s="121"/>
      <c r="U928" s="121"/>
      <c r="V928" s="121"/>
    </row>
    <row r="929">
      <c r="A929" s="120"/>
      <c r="B929" s="123"/>
      <c r="C929" s="124"/>
      <c r="D929" s="120"/>
      <c r="E929" s="125"/>
      <c r="F929" s="120"/>
      <c r="G929" s="125"/>
      <c r="H929" s="125"/>
      <c r="I929" s="125"/>
      <c r="J929" s="120"/>
      <c r="K929" s="120"/>
      <c r="L929" s="120"/>
      <c r="M929" s="120"/>
      <c r="N929" s="121"/>
      <c r="O929" s="121"/>
      <c r="P929" s="121"/>
      <c r="Q929" s="121"/>
      <c r="R929" s="121"/>
      <c r="S929" s="121"/>
      <c r="T929" s="121"/>
      <c r="U929" s="121"/>
      <c r="V929" s="121"/>
    </row>
    <row r="930">
      <c r="A930" s="120"/>
      <c r="B930" s="123"/>
      <c r="C930" s="124"/>
      <c r="D930" s="120"/>
      <c r="E930" s="125"/>
      <c r="F930" s="120"/>
      <c r="G930" s="125"/>
      <c r="H930" s="125"/>
      <c r="I930" s="125"/>
      <c r="J930" s="120"/>
      <c r="K930" s="120"/>
      <c r="L930" s="120"/>
      <c r="M930" s="120"/>
      <c r="N930" s="121"/>
      <c r="O930" s="121"/>
      <c r="P930" s="121"/>
      <c r="Q930" s="121"/>
      <c r="R930" s="121"/>
      <c r="S930" s="121"/>
      <c r="T930" s="121"/>
      <c r="U930" s="121"/>
      <c r="V930" s="121"/>
    </row>
    <row r="931">
      <c r="A931" s="120"/>
      <c r="B931" s="123"/>
      <c r="C931" s="124"/>
      <c r="D931" s="120"/>
      <c r="E931" s="125"/>
      <c r="F931" s="120"/>
      <c r="G931" s="125"/>
      <c r="H931" s="125"/>
      <c r="I931" s="125"/>
      <c r="J931" s="120"/>
      <c r="K931" s="120"/>
      <c r="L931" s="120"/>
      <c r="M931" s="120"/>
      <c r="N931" s="121"/>
      <c r="O931" s="121"/>
      <c r="P931" s="121"/>
      <c r="Q931" s="121"/>
      <c r="R931" s="121"/>
      <c r="S931" s="121"/>
      <c r="T931" s="121"/>
      <c r="U931" s="121"/>
      <c r="V931" s="121"/>
    </row>
    <row r="932">
      <c r="A932" s="120"/>
      <c r="B932" s="123"/>
      <c r="C932" s="124"/>
      <c r="D932" s="120"/>
      <c r="E932" s="125"/>
      <c r="F932" s="120"/>
      <c r="G932" s="125"/>
      <c r="H932" s="125"/>
      <c r="I932" s="125"/>
      <c r="J932" s="120"/>
      <c r="K932" s="120"/>
      <c r="L932" s="120"/>
      <c r="M932" s="120"/>
      <c r="N932" s="121"/>
      <c r="O932" s="121"/>
      <c r="P932" s="121"/>
      <c r="Q932" s="121"/>
      <c r="R932" s="121"/>
      <c r="S932" s="121"/>
      <c r="T932" s="121"/>
      <c r="U932" s="121"/>
      <c r="V932" s="121"/>
    </row>
    <row r="933">
      <c r="A933" s="120"/>
      <c r="B933" s="123"/>
      <c r="C933" s="124"/>
      <c r="D933" s="120"/>
      <c r="E933" s="125"/>
      <c r="F933" s="120"/>
      <c r="G933" s="125"/>
      <c r="H933" s="125"/>
      <c r="I933" s="125"/>
      <c r="J933" s="120"/>
      <c r="K933" s="120"/>
      <c r="L933" s="120"/>
      <c r="M933" s="120"/>
      <c r="N933" s="121"/>
      <c r="O933" s="121"/>
      <c r="P933" s="121"/>
      <c r="Q933" s="121"/>
      <c r="R933" s="121"/>
      <c r="S933" s="121"/>
      <c r="T933" s="121"/>
      <c r="U933" s="121"/>
      <c r="V933" s="121"/>
    </row>
    <row r="934">
      <c r="A934" s="120"/>
      <c r="B934" s="123"/>
      <c r="C934" s="124"/>
      <c r="D934" s="120"/>
      <c r="E934" s="125"/>
      <c r="F934" s="120"/>
      <c r="G934" s="125"/>
      <c r="H934" s="125"/>
      <c r="I934" s="125"/>
      <c r="J934" s="120"/>
      <c r="K934" s="120"/>
      <c r="L934" s="120"/>
      <c r="M934" s="120"/>
      <c r="N934" s="121"/>
      <c r="O934" s="121"/>
      <c r="P934" s="121"/>
      <c r="Q934" s="121"/>
      <c r="R934" s="121"/>
      <c r="S934" s="121"/>
      <c r="T934" s="121"/>
      <c r="U934" s="121"/>
      <c r="V934" s="121"/>
    </row>
    <row r="935">
      <c r="A935" s="120"/>
      <c r="B935" s="123"/>
      <c r="C935" s="124"/>
      <c r="D935" s="120"/>
      <c r="E935" s="125"/>
      <c r="F935" s="120"/>
      <c r="G935" s="125"/>
      <c r="H935" s="125"/>
      <c r="I935" s="125"/>
      <c r="J935" s="120"/>
      <c r="K935" s="120"/>
      <c r="L935" s="120"/>
      <c r="M935" s="120"/>
      <c r="N935" s="121"/>
      <c r="O935" s="121"/>
      <c r="P935" s="121"/>
      <c r="Q935" s="121"/>
      <c r="R935" s="121"/>
      <c r="S935" s="121"/>
      <c r="T935" s="121"/>
      <c r="U935" s="121"/>
      <c r="V935" s="121"/>
    </row>
    <row r="936">
      <c r="A936" s="120"/>
      <c r="B936" s="123"/>
      <c r="C936" s="124"/>
      <c r="D936" s="120"/>
      <c r="E936" s="125"/>
      <c r="F936" s="120"/>
      <c r="G936" s="125"/>
      <c r="H936" s="125"/>
      <c r="I936" s="125"/>
      <c r="J936" s="120"/>
      <c r="K936" s="120"/>
      <c r="L936" s="120"/>
      <c r="M936" s="120"/>
      <c r="N936" s="121"/>
      <c r="O936" s="121"/>
      <c r="P936" s="121"/>
      <c r="Q936" s="121"/>
      <c r="R936" s="121"/>
      <c r="S936" s="121"/>
      <c r="T936" s="121"/>
      <c r="U936" s="121"/>
      <c r="V936" s="121"/>
    </row>
    <row r="937">
      <c r="A937" s="120"/>
      <c r="B937" s="123"/>
      <c r="C937" s="124"/>
      <c r="D937" s="120"/>
      <c r="E937" s="125"/>
      <c r="F937" s="120"/>
      <c r="G937" s="125"/>
      <c r="H937" s="125"/>
      <c r="I937" s="125"/>
      <c r="J937" s="120"/>
      <c r="K937" s="120"/>
      <c r="L937" s="120"/>
      <c r="M937" s="120"/>
      <c r="N937" s="121"/>
      <c r="O937" s="121"/>
      <c r="P937" s="121"/>
      <c r="Q937" s="121"/>
      <c r="R937" s="121"/>
      <c r="S937" s="121"/>
      <c r="T937" s="121"/>
      <c r="U937" s="121"/>
      <c r="V937" s="121"/>
    </row>
    <row r="938">
      <c r="A938" s="120"/>
      <c r="B938" s="123"/>
      <c r="C938" s="124"/>
      <c r="D938" s="120"/>
      <c r="E938" s="125"/>
      <c r="F938" s="120"/>
      <c r="G938" s="125"/>
      <c r="H938" s="125"/>
      <c r="I938" s="125"/>
      <c r="J938" s="120"/>
      <c r="K938" s="120"/>
      <c r="L938" s="120"/>
      <c r="M938" s="120"/>
      <c r="N938" s="121"/>
      <c r="O938" s="121"/>
      <c r="P938" s="121"/>
      <c r="Q938" s="121"/>
      <c r="R938" s="121"/>
      <c r="S938" s="121"/>
      <c r="T938" s="121"/>
      <c r="U938" s="121"/>
      <c r="V938" s="121"/>
    </row>
    <row r="939">
      <c r="A939" s="120"/>
      <c r="B939" s="123"/>
      <c r="C939" s="124"/>
      <c r="D939" s="120"/>
      <c r="E939" s="125"/>
      <c r="F939" s="120"/>
      <c r="G939" s="125"/>
      <c r="H939" s="125"/>
      <c r="I939" s="125"/>
      <c r="J939" s="120"/>
      <c r="K939" s="120"/>
      <c r="L939" s="120"/>
      <c r="M939" s="120"/>
      <c r="N939" s="121"/>
      <c r="O939" s="121"/>
      <c r="P939" s="121"/>
      <c r="Q939" s="121"/>
      <c r="R939" s="121"/>
      <c r="S939" s="121"/>
      <c r="T939" s="121"/>
      <c r="U939" s="121"/>
      <c r="V939" s="121"/>
    </row>
    <row r="940">
      <c r="A940" s="120"/>
      <c r="B940" s="123"/>
      <c r="C940" s="124"/>
      <c r="D940" s="120"/>
      <c r="E940" s="125"/>
      <c r="F940" s="120"/>
      <c r="G940" s="125"/>
      <c r="H940" s="125"/>
      <c r="I940" s="125"/>
      <c r="J940" s="120"/>
      <c r="K940" s="120"/>
      <c r="L940" s="120"/>
      <c r="M940" s="120"/>
      <c r="N940" s="121"/>
      <c r="O940" s="121"/>
      <c r="P940" s="121"/>
      <c r="Q940" s="121"/>
      <c r="R940" s="121"/>
      <c r="S940" s="121"/>
      <c r="T940" s="121"/>
      <c r="U940" s="121"/>
      <c r="V940" s="121"/>
    </row>
    <row r="941">
      <c r="A941" s="120"/>
      <c r="B941" s="123"/>
      <c r="C941" s="124"/>
      <c r="D941" s="120"/>
      <c r="E941" s="125"/>
      <c r="F941" s="120"/>
      <c r="G941" s="125"/>
      <c r="H941" s="125"/>
      <c r="I941" s="125"/>
      <c r="J941" s="120"/>
      <c r="K941" s="120"/>
      <c r="L941" s="120"/>
      <c r="M941" s="120"/>
      <c r="N941" s="121"/>
      <c r="O941" s="121"/>
      <c r="P941" s="121"/>
      <c r="Q941" s="121"/>
      <c r="R941" s="121"/>
      <c r="S941" s="121"/>
      <c r="T941" s="121"/>
      <c r="U941" s="121"/>
      <c r="V941" s="121"/>
    </row>
    <row r="942">
      <c r="A942" s="120"/>
      <c r="B942" s="123"/>
      <c r="C942" s="124"/>
      <c r="D942" s="120"/>
      <c r="E942" s="125"/>
      <c r="F942" s="120"/>
      <c r="G942" s="125"/>
      <c r="H942" s="125"/>
      <c r="I942" s="125"/>
      <c r="J942" s="120"/>
      <c r="K942" s="120"/>
      <c r="L942" s="120"/>
      <c r="M942" s="120"/>
      <c r="N942" s="121"/>
      <c r="O942" s="121"/>
      <c r="P942" s="121"/>
      <c r="Q942" s="121"/>
      <c r="R942" s="121"/>
      <c r="S942" s="121"/>
      <c r="T942" s="121"/>
      <c r="U942" s="121"/>
      <c r="V942" s="121"/>
    </row>
    <row r="943">
      <c r="A943" s="120"/>
      <c r="B943" s="123"/>
      <c r="C943" s="124"/>
      <c r="D943" s="120"/>
      <c r="E943" s="125"/>
      <c r="F943" s="120"/>
      <c r="G943" s="125"/>
      <c r="H943" s="125"/>
      <c r="I943" s="125"/>
      <c r="J943" s="120"/>
      <c r="K943" s="120"/>
      <c r="L943" s="120"/>
      <c r="M943" s="120"/>
      <c r="N943" s="121"/>
      <c r="O943" s="121"/>
      <c r="P943" s="121"/>
      <c r="Q943" s="121"/>
      <c r="R943" s="121"/>
      <c r="S943" s="121"/>
      <c r="T943" s="121"/>
      <c r="U943" s="121"/>
      <c r="V943" s="121"/>
    </row>
    <row r="944">
      <c r="A944" s="120"/>
      <c r="B944" s="123"/>
      <c r="C944" s="124"/>
      <c r="D944" s="120"/>
      <c r="E944" s="125"/>
      <c r="F944" s="120"/>
      <c r="G944" s="125"/>
      <c r="H944" s="125"/>
      <c r="I944" s="125"/>
      <c r="J944" s="120"/>
      <c r="K944" s="120"/>
      <c r="L944" s="120"/>
      <c r="M944" s="120"/>
      <c r="N944" s="121"/>
      <c r="O944" s="121"/>
      <c r="P944" s="121"/>
      <c r="Q944" s="121"/>
      <c r="R944" s="121"/>
      <c r="S944" s="121"/>
      <c r="T944" s="121"/>
      <c r="U944" s="121"/>
      <c r="V944" s="121"/>
    </row>
    <row r="945">
      <c r="A945" s="120"/>
      <c r="B945" s="123"/>
      <c r="C945" s="124"/>
      <c r="D945" s="120"/>
      <c r="E945" s="125"/>
      <c r="F945" s="120"/>
      <c r="G945" s="125"/>
      <c r="H945" s="125"/>
      <c r="I945" s="125"/>
      <c r="J945" s="120"/>
      <c r="K945" s="120"/>
      <c r="L945" s="120"/>
      <c r="M945" s="120"/>
      <c r="N945" s="121"/>
      <c r="O945" s="121"/>
      <c r="P945" s="121"/>
      <c r="Q945" s="121"/>
      <c r="R945" s="121"/>
      <c r="S945" s="121"/>
      <c r="T945" s="121"/>
      <c r="U945" s="121"/>
      <c r="V945" s="121"/>
    </row>
    <row r="946">
      <c r="A946" s="120"/>
      <c r="B946" s="123"/>
      <c r="C946" s="124"/>
      <c r="D946" s="120"/>
      <c r="E946" s="125"/>
      <c r="F946" s="120"/>
      <c r="G946" s="125"/>
      <c r="H946" s="125"/>
      <c r="I946" s="125"/>
      <c r="J946" s="120"/>
      <c r="K946" s="120"/>
      <c r="L946" s="120"/>
      <c r="M946" s="120"/>
      <c r="N946" s="121"/>
      <c r="O946" s="121"/>
      <c r="P946" s="121"/>
      <c r="Q946" s="121"/>
      <c r="R946" s="121"/>
      <c r="S946" s="121"/>
      <c r="T946" s="121"/>
      <c r="U946" s="121"/>
      <c r="V946" s="121"/>
    </row>
    <row r="947">
      <c r="A947" s="120"/>
      <c r="B947" s="123"/>
      <c r="C947" s="124"/>
      <c r="D947" s="120"/>
      <c r="E947" s="125"/>
      <c r="F947" s="120"/>
      <c r="G947" s="125"/>
      <c r="H947" s="125"/>
      <c r="I947" s="125"/>
      <c r="J947" s="120"/>
      <c r="K947" s="120"/>
      <c r="L947" s="120"/>
      <c r="M947" s="120"/>
      <c r="N947" s="121"/>
      <c r="O947" s="121"/>
      <c r="P947" s="121"/>
      <c r="Q947" s="121"/>
      <c r="R947" s="121"/>
      <c r="S947" s="121"/>
      <c r="T947" s="121"/>
      <c r="U947" s="121"/>
      <c r="V947" s="121"/>
    </row>
    <row r="948">
      <c r="A948" s="120"/>
      <c r="B948" s="123"/>
      <c r="C948" s="124"/>
      <c r="D948" s="120"/>
      <c r="E948" s="125"/>
      <c r="F948" s="120"/>
      <c r="G948" s="125"/>
      <c r="H948" s="125"/>
      <c r="I948" s="125"/>
      <c r="J948" s="120"/>
      <c r="K948" s="120"/>
      <c r="L948" s="120"/>
      <c r="M948" s="120"/>
      <c r="N948" s="121"/>
      <c r="O948" s="121"/>
      <c r="P948" s="121"/>
      <c r="Q948" s="121"/>
      <c r="R948" s="121"/>
      <c r="S948" s="121"/>
      <c r="T948" s="121"/>
      <c r="U948" s="121"/>
      <c r="V948" s="121"/>
    </row>
    <row r="949">
      <c r="A949" s="120"/>
      <c r="B949" s="123"/>
      <c r="C949" s="124"/>
      <c r="D949" s="120"/>
      <c r="E949" s="125"/>
      <c r="F949" s="120"/>
      <c r="G949" s="125"/>
      <c r="H949" s="125"/>
      <c r="I949" s="125"/>
      <c r="J949" s="120"/>
      <c r="K949" s="120"/>
      <c r="L949" s="120"/>
      <c r="M949" s="120"/>
      <c r="N949" s="121"/>
      <c r="O949" s="121"/>
      <c r="P949" s="121"/>
      <c r="Q949" s="121"/>
      <c r="R949" s="121"/>
      <c r="S949" s="121"/>
      <c r="T949" s="121"/>
      <c r="U949" s="121"/>
      <c r="V949" s="121"/>
    </row>
    <row r="950">
      <c r="A950" s="120"/>
      <c r="B950" s="123"/>
      <c r="C950" s="124"/>
      <c r="D950" s="120"/>
      <c r="E950" s="125"/>
      <c r="F950" s="120"/>
      <c r="G950" s="125"/>
      <c r="H950" s="125"/>
      <c r="I950" s="125"/>
      <c r="J950" s="120"/>
      <c r="K950" s="120"/>
      <c r="L950" s="120"/>
      <c r="M950" s="120"/>
      <c r="N950" s="121"/>
      <c r="O950" s="121"/>
      <c r="P950" s="121"/>
      <c r="Q950" s="121"/>
      <c r="R950" s="121"/>
      <c r="S950" s="121"/>
      <c r="T950" s="121"/>
      <c r="U950" s="121"/>
      <c r="V950" s="121"/>
    </row>
    <row r="951">
      <c r="A951" s="120"/>
      <c r="B951" s="123"/>
      <c r="C951" s="124"/>
      <c r="D951" s="120"/>
      <c r="E951" s="125"/>
      <c r="F951" s="120"/>
      <c r="G951" s="125"/>
      <c r="H951" s="125"/>
      <c r="I951" s="125"/>
      <c r="J951" s="120"/>
      <c r="K951" s="120"/>
      <c r="L951" s="120"/>
      <c r="M951" s="120"/>
      <c r="N951" s="121"/>
      <c r="O951" s="121"/>
      <c r="P951" s="121"/>
      <c r="Q951" s="121"/>
      <c r="R951" s="121"/>
      <c r="S951" s="121"/>
      <c r="T951" s="121"/>
      <c r="U951" s="121"/>
      <c r="V951" s="121"/>
    </row>
    <row r="952">
      <c r="A952" s="120"/>
      <c r="B952" s="123"/>
      <c r="C952" s="124"/>
      <c r="D952" s="120"/>
      <c r="E952" s="125"/>
      <c r="F952" s="120"/>
      <c r="G952" s="125"/>
      <c r="H952" s="125"/>
      <c r="I952" s="125"/>
      <c r="J952" s="120"/>
      <c r="K952" s="120"/>
      <c r="L952" s="120"/>
      <c r="M952" s="120"/>
      <c r="N952" s="121"/>
      <c r="O952" s="121"/>
      <c r="P952" s="121"/>
      <c r="Q952" s="121"/>
      <c r="R952" s="121"/>
      <c r="S952" s="121"/>
      <c r="T952" s="121"/>
      <c r="U952" s="121"/>
      <c r="V952" s="121"/>
    </row>
    <row r="953">
      <c r="A953" s="120"/>
      <c r="B953" s="123"/>
      <c r="C953" s="124"/>
      <c r="D953" s="120"/>
      <c r="E953" s="125"/>
      <c r="F953" s="120"/>
      <c r="G953" s="125"/>
      <c r="H953" s="125"/>
      <c r="I953" s="125"/>
      <c r="J953" s="120"/>
      <c r="K953" s="120"/>
      <c r="L953" s="120"/>
      <c r="M953" s="120"/>
      <c r="N953" s="121"/>
      <c r="O953" s="121"/>
      <c r="P953" s="121"/>
      <c r="Q953" s="121"/>
      <c r="R953" s="121"/>
      <c r="S953" s="121"/>
      <c r="T953" s="121"/>
      <c r="U953" s="121"/>
      <c r="V953" s="121"/>
    </row>
    <row r="954">
      <c r="A954" s="120"/>
      <c r="B954" s="123"/>
      <c r="C954" s="124"/>
      <c r="D954" s="120"/>
      <c r="E954" s="125"/>
      <c r="F954" s="120"/>
      <c r="G954" s="125"/>
      <c r="H954" s="125"/>
      <c r="I954" s="125"/>
      <c r="J954" s="120"/>
      <c r="K954" s="120"/>
      <c r="L954" s="120"/>
      <c r="M954" s="120"/>
      <c r="N954" s="121"/>
      <c r="O954" s="121"/>
      <c r="P954" s="121"/>
      <c r="Q954" s="121"/>
      <c r="R954" s="121"/>
      <c r="S954" s="121"/>
      <c r="T954" s="121"/>
      <c r="U954" s="121"/>
      <c r="V954" s="121"/>
    </row>
    <row r="955">
      <c r="A955" s="120"/>
      <c r="B955" s="123"/>
      <c r="C955" s="124"/>
      <c r="D955" s="120"/>
      <c r="E955" s="125"/>
      <c r="F955" s="120"/>
      <c r="G955" s="125"/>
      <c r="H955" s="125"/>
      <c r="I955" s="125"/>
      <c r="J955" s="120"/>
      <c r="K955" s="120"/>
      <c r="L955" s="120"/>
      <c r="M955" s="120"/>
      <c r="N955" s="121"/>
      <c r="O955" s="121"/>
      <c r="P955" s="121"/>
      <c r="Q955" s="121"/>
      <c r="R955" s="121"/>
      <c r="S955" s="121"/>
      <c r="T955" s="121"/>
      <c r="U955" s="121"/>
      <c r="V955" s="121"/>
    </row>
    <row r="956">
      <c r="A956" s="120"/>
      <c r="B956" s="123"/>
      <c r="C956" s="124"/>
      <c r="D956" s="120"/>
      <c r="E956" s="125"/>
      <c r="F956" s="120"/>
      <c r="G956" s="125"/>
      <c r="H956" s="125"/>
      <c r="I956" s="125"/>
      <c r="J956" s="120"/>
      <c r="K956" s="120"/>
      <c r="L956" s="120"/>
      <c r="M956" s="120"/>
      <c r="N956" s="121"/>
      <c r="O956" s="121"/>
      <c r="P956" s="121"/>
      <c r="Q956" s="121"/>
      <c r="R956" s="121"/>
      <c r="S956" s="121"/>
      <c r="T956" s="121"/>
      <c r="U956" s="121"/>
      <c r="V956" s="121"/>
    </row>
    <row r="957">
      <c r="A957" s="120"/>
      <c r="B957" s="123"/>
      <c r="C957" s="124"/>
      <c r="D957" s="120"/>
      <c r="E957" s="125"/>
      <c r="F957" s="120"/>
      <c r="G957" s="125"/>
      <c r="H957" s="125"/>
      <c r="I957" s="125"/>
      <c r="J957" s="120"/>
      <c r="K957" s="120"/>
      <c r="L957" s="120"/>
      <c r="M957" s="120"/>
      <c r="N957" s="121"/>
      <c r="O957" s="121"/>
      <c r="P957" s="121"/>
      <c r="Q957" s="121"/>
      <c r="R957" s="121"/>
      <c r="S957" s="121"/>
      <c r="T957" s="121"/>
      <c r="U957" s="121"/>
      <c r="V957" s="121"/>
    </row>
    <row r="958">
      <c r="A958" s="120"/>
      <c r="B958" s="123"/>
      <c r="C958" s="124"/>
      <c r="D958" s="120"/>
      <c r="E958" s="125"/>
      <c r="F958" s="120"/>
      <c r="G958" s="125"/>
      <c r="H958" s="125"/>
      <c r="I958" s="125"/>
      <c r="J958" s="120"/>
      <c r="K958" s="120"/>
      <c r="L958" s="120"/>
      <c r="M958" s="120"/>
      <c r="N958" s="121"/>
      <c r="O958" s="121"/>
      <c r="P958" s="121"/>
      <c r="Q958" s="121"/>
      <c r="R958" s="121"/>
      <c r="S958" s="121"/>
      <c r="T958" s="121"/>
      <c r="U958" s="121"/>
      <c r="V958" s="121"/>
    </row>
    <row r="959">
      <c r="A959" s="120"/>
      <c r="B959" s="123"/>
      <c r="C959" s="124"/>
      <c r="D959" s="120"/>
      <c r="E959" s="125"/>
      <c r="F959" s="120"/>
      <c r="G959" s="125"/>
      <c r="H959" s="125"/>
      <c r="I959" s="125"/>
      <c r="J959" s="120"/>
      <c r="K959" s="120"/>
      <c r="L959" s="120"/>
      <c r="M959" s="120"/>
      <c r="N959" s="121"/>
      <c r="O959" s="121"/>
      <c r="P959" s="121"/>
      <c r="Q959" s="121"/>
      <c r="R959" s="121"/>
      <c r="S959" s="121"/>
      <c r="T959" s="121"/>
      <c r="U959" s="121"/>
      <c r="V959" s="121"/>
    </row>
    <row r="960">
      <c r="A960" s="120"/>
      <c r="B960" s="123"/>
      <c r="C960" s="124"/>
      <c r="D960" s="120"/>
      <c r="E960" s="125"/>
      <c r="F960" s="120"/>
      <c r="G960" s="125"/>
      <c r="H960" s="125"/>
      <c r="I960" s="125"/>
      <c r="J960" s="120"/>
      <c r="K960" s="120"/>
      <c r="L960" s="120"/>
      <c r="M960" s="120"/>
      <c r="N960" s="121"/>
      <c r="O960" s="121"/>
      <c r="P960" s="121"/>
      <c r="Q960" s="121"/>
      <c r="R960" s="121"/>
      <c r="S960" s="121"/>
      <c r="T960" s="121"/>
      <c r="U960" s="121"/>
      <c r="V960" s="121"/>
    </row>
    <row r="961">
      <c r="A961" s="120"/>
      <c r="B961" s="123"/>
      <c r="C961" s="124"/>
      <c r="D961" s="120"/>
      <c r="E961" s="125"/>
      <c r="F961" s="120"/>
      <c r="G961" s="125"/>
      <c r="H961" s="125"/>
      <c r="I961" s="125"/>
      <c r="J961" s="120"/>
      <c r="K961" s="120"/>
      <c r="L961" s="120"/>
      <c r="M961" s="120"/>
      <c r="N961" s="121"/>
      <c r="O961" s="121"/>
      <c r="P961" s="121"/>
      <c r="Q961" s="121"/>
      <c r="R961" s="121"/>
      <c r="S961" s="121"/>
      <c r="T961" s="121"/>
      <c r="U961" s="121"/>
      <c r="V961" s="121"/>
    </row>
    <row r="962">
      <c r="A962" s="120"/>
      <c r="B962" s="123"/>
      <c r="C962" s="124"/>
      <c r="D962" s="120"/>
      <c r="E962" s="125"/>
      <c r="F962" s="120"/>
      <c r="G962" s="125"/>
      <c r="H962" s="125"/>
      <c r="I962" s="125"/>
      <c r="J962" s="120"/>
      <c r="K962" s="120"/>
      <c r="L962" s="120"/>
      <c r="M962" s="120"/>
      <c r="N962" s="121"/>
      <c r="O962" s="121"/>
      <c r="P962" s="121"/>
      <c r="Q962" s="121"/>
      <c r="R962" s="121"/>
      <c r="S962" s="121"/>
      <c r="T962" s="121"/>
      <c r="U962" s="121"/>
      <c r="V962" s="121"/>
    </row>
    <row r="963">
      <c r="A963" s="120"/>
      <c r="B963" s="123"/>
      <c r="C963" s="124"/>
      <c r="D963" s="120"/>
      <c r="E963" s="125"/>
      <c r="F963" s="120"/>
      <c r="G963" s="125"/>
      <c r="H963" s="125"/>
      <c r="I963" s="125"/>
      <c r="J963" s="120"/>
      <c r="K963" s="120"/>
      <c r="L963" s="120"/>
      <c r="M963" s="120"/>
      <c r="N963" s="121"/>
      <c r="O963" s="121"/>
      <c r="P963" s="121"/>
      <c r="Q963" s="121"/>
      <c r="R963" s="121"/>
      <c r="S963" s="121"/>
      <c r="T963" s="121"/>
      <c r="U963" s="121"/>
      <c r="V963" s="121"/>
    </row>
    <row r="964">
      <c r="A964" s="120"/>
      <c r="B964" s="123"/>
      <c r="C964" s="124"/>
      <c r="D964" s="120"/>
      <c r="E964" s="125"/>
      <c r="F964" s="120"/>
      <c r="G964" s="125"/>
      <c r="H964" s="125"/>
      <c r="I964" s="125"/>
      <c r="J964" s="120"/>
      <c r="K964" s="120"/>
      <c r="L964" s="120"/>
      <c r="M964" s="120"/>
      <c r="N964" s="121"/>
      <c r="O964" s="121"/>
      <c r="P964" s="121"/>
      <c r="Q964" s="121"/>
      <c r="R964" s="121"/>
      <c r="S964" s="121"/>
      <c r="T964" s="121"/>
      <c r="U964" s="121"/>
      <c r="V964" s="121"/>
    </row>
    <row r="965">
      <c r="A965" s="120"/>
      <c r="B965" s="123"/>
      <c r="C965" s="124"/>
      <c r="D965" s="120"/>
      <c r="E965" s="122"/>
      <c r="F965" s="120"/>
      <c r="G965" s="122"/>
      <c r="H965" s="122"/>
      <c r="I965" s="122"/>
      <c r="J965" s="120"/>
      <c r="K965" s="120"/>
      <c r="L965" s="120"/>
      <c r="M965" s="120"/>
      <c r="N965" s="121"/>
      <c r="O965" s="121"/>
      <c r="P965" s="121"/>
      <c r="Q965" s="121"/>
      <c r="R965" s="121"/>
      <c r="S965" s="121"/>
      <c r="T965" s="121"/>
      <c r="U965" s="121"/>
      <c r="V965" s="121"/>
    </row>
    <row r="966">
      <c r="A966" s="120"/>
      <c r="B966" s="123"/>
      <c r="C966" s="124"/>
      <c r="D966" s="120"/>
      <c r="E966" s="122"/>
      <c r="F966" s="120"/>
      <c r="G966" s="122"/>
      <c r="H966" s="122"/>
      <c r="I966" s="122"/>
      <c r="J966" s="120"/>
      <c r="K966" s="120"/>
      <c r="L966" s="120"/>
      <c r="M966" s="120"/>
      <c r="N966" s="121"/>
      <c r="O966" s="121"/>
      <c r="P966" s="121"/>
      <c r="Q966" s="121"/>
      <c r="R966" s="121"/>
      <c r="S966" s="121"/>
      <c r="T966" s="121"/>
      <c r="U966" s="121"/>
      <c r="V966" s="121"/>
    </row>
    <row r="967">
      <c r="A967" s="120"/>
      <c r="B967" s="123"/>
      <c r="C967" s="124"/>
      <c r="D967" s="120"/>
      <c r="E967" s="122"/>
      <c r="F967" s="120"/>
      <c r="G967" s="122"/>
      <c r="H967" s="122"/>
      <c r="I967" s="122"/>
      <c r="J967" s="120"/>
      <c r="K967" s="120"/>
      <c r="L967" s="120"/>
      <c r="M967" s="120"/>
      <c r="N967" s="121"/>
      <c r="O967" s="121"/>
      <c r="P967" s="121"/>
      <c r="Q967" s="121"/>
      <c r="R967" s="121"/>
      <c r="S967" s="121"/>
      <c r="T967" s="121"/>
      <c r="U967" s="121"/>
      <c r="V967" s="121"/>
    </row>
    <row r="968">
      <c r="A968" s="120"/>
      <c r="B968" s="123"/>
      <c r="C968" s="124"/>
      <c r="D968" s="120"/>
      <c r="E968" s="122"/>
      <c r="F968" s="120"/>
      <c r="G968" s="122"/>
      <c r="H968" s="122"/>
      <c r="I968" s="122"/>
      <c r="J968" s="120"/>
      <c r="K968" s="120"/>
      <c r="L968" s="120"/>
      <c r="M968" s="120"/>
      <c r="N968" s="121"/>
      <c r="O968" s="121"/>
      <c r="P968" s="121"/>
      <c r="Q968" s="121"/>
      <c r="R968" s="121"/>
      <c r="S968" s="121"/>
      <c r="T968" s="121"/>
      <c r="U968" s="121"/>
      <c r="V968" s="121"/>
    </row>
    <row r="969">
      <c r="A969" s="120"/>
      <c r="B969" s="123"/>
      <c r="C969" s="124"/>
      <c r="D969" s="120"/>
      <c r="E969" s="122"/>
      <c r="F969" s="120"/>
      <c r="G969" s="122"/>
      <c r="H969" s="122"/>
      <c r="I969" s="122"/>
      <c r="J969" s="120"/>
      <c r="K969" s="120"/>
      <c r="L969" s="120"/>
      <c r="M969" s="120"/>
      <c r="N969" s="121"/>
      <c r="O969" s="121"/>
      <c r="P969" s="121"/>
      <c r="Q969" s="121"/>
      <c r="R969" s="121"/>
      <c r="S969" s="121"/>
      <c r="T969" s="121"/>
      <c r="U969" s="121"/>
      <c r="V969" s="121"/>
    </row>
    <row r="970">
      <c r="A970" s="120"/>
      <c r="B970" s="123"/>
      <c r="C970" s="124"/>
      <c r="D970" s="120"/>
      <c r="E970" s="122"/>
      <c r="F970" s="120"/>
      <c r="G970" s="122"/>
      <c r="H970" s="122"/>
      <c r="I970" s="122"/>
      <c r="J970" s="120"/>
      <c r="K970" s="120"/>
      <c r="L970" s="120"/>
      <c r="M970" s="120"/>
      <c r="N970" s="121"/>
      <c r="O970" s="121"/>
      <c r="P970" s="121"/>
      <c r="Q970" s="121"/>
      <c r="R970" s="121"/>
      <c r="S970" s="121"/>
      <c r="T970" s="121"/>
      <c r="U970" s="121"/>
      <c r="V970" s="121"/>
    </row>
    <row r="971">
      <c r="A971" s="120"/>
      <c r="B971" s="123"/>
      <c r="C971" s="124"/>
      <c r="D971" s="120"/>
      <c r="E971" s="122"/>
      <c r="F971" s="120"/>
      <c r="G971" s="122"/>
      <c r="H971" s="122"/>
      <c r="I971" s="122"/>
      <c r="J971" s="120"/>
      <c r="K971" s="120"/>
      <c r="L971" s="120"/>
      <c r="M971" s="120"/>
      <c r="N971" s="121"/>
      <c r="O971" s="121"/>
      <c r="P971" s="121"/>
      <c r="Q971" s="121"/>
      <c r="R971" s="121"/>
      <c r="S971" s="121"/>
      <c r="T971" s="121"/>
      <c r="U971" s="121"/>
      <c r="V971" s="121"/>
    </row>
    <row r="972">
      <c r="A972" s="120"/>
      <c r="B972" s="123"/>
      <c r="C972" s="124"/>
      <c r="D972" s="120"/>
      <c r="E972" s="122"/>
      <c r="F972" s="120"/>
      <c r="G972" s="122"/>
      <c r="H972" s="122"/>
      <c r="I972" s="122"/>
      <c r="J972" s="120"/>
      <c r="K972" s="120"/>
      <c r="L972" s="120"/>
      <c r="M972" s="120"/>
      <c r="N972" s="121"/>
      <c r="O972" s="121"/>
      <c r="P972" s="121"/>
      <c r="Q972" s="121"/>
      <c r="R972" s="121"/>
      <c r="S972" s="121"/>
      <c r="T972" s="121"/>
      <c r="U972" s="121"/>
      <c r="V972" s="121"/>
    </row>
    <row r="973">
      <c r="A973" s="120"/>
      <c r="B973" s="123"/>
      <c r="C973" s="124"/>
      <c r="D973" s="120"/>
      <c r="E973" s="122"/>
      <c r="F973" s="120"/>
      <c r="G973" s="122"/>
      <c r="H973" s="122"/>
      <c r="I973" s="122"/>
      <c r="J973" s="120"/>
      <c r="K973" s="120"/>
      <c r="L973" s="120"/>
      <c r="M973" s="120"/>
      <c r="N973" s="121"/>
      <c r="O973" s="121"/>
      <c r="P973" s="121"/>
      <c r="Q973" s="121"/>
      <c r="R973" s="121"/>
      <c r="S973" s="121"/>
      <c r="T973" s="121"/>
      <c r="U973" s="121"/>
      <c r="V973" s="121"/>
    </row>
    <row r="974">
      <c r="A974" s="120"/>
      <c r="B974" s="123"/>
      <c r="C974" s="124"/>
      <c r="D974" s="120"/>
      <c r="E974" s="122"/>
      <c r="F974" s="120"/>
      <c r="G974" s="122"/>
      <c r="H974" s="122"/>
      <c r="I974" s="122"/>
      <c r="J974" s="120"/>
      <c r="K974" s="120"/>
      <c r="L974" s="120"/>
      <c r="M974" s="120"/>
      <c r="N974" s="121"/>
      <c r="O974" s="121"/>
      <c r="P974" s="121"/>
      <c r="Q974" s="121"/>
      <c r="R974" s="121"/>
      <c r="S974" s="121"/>
      <c r="T974" s="121"/>
      <c r="U974" s="121"/>
      <c r="V974" s="121"/>
    </row>
    <row r="975">
      <c r="A975" s="120"/>
      <c r="B975" s="123"/>
      <c r="C975" s="124"/>
      <c r="D975" s="120"/>
      <c r="E975" s="122"/>
      <c r="F975" s="120"/>
      <c r="G975" s="122"/>
      <c r="H975" s="122"/>
      <c r="I975" s="122"/>
      <c r="J975" s="120"/>
      <c r="K975" s="120"/>
      <c r="L975" s="120"/>
      <c r="M975" s="120"/>
      <c r="N975" s="121"/>
      <c r="O975" s="121"/>
      <c r="P975" s="121"/>
      <c r="Q975" s="121"/>
      <c r="R975" s="121"/>
      <c r="S975" s="121"/>
      <c r="T975" s="121"/>
      <c r="U975" s="121"/>
      <c r="V975" s="121"/>
    </row>
    <row r="976">
      <c r="A976" s="120"/>
      <c r="B976" s="123"/>
      <c r="C976" s="124"/>
      <c r="D976" s="120"/>
      <c r="E976" s="122"/>
      <c r="F976" s="120"/>
      <c r="G976" s="122"/>
      <c r="H976" s="122"/>
      <c r="I976" s="122"/>
      <c r="J976" s="120"/>
      <c r="K976" s="120"/>
      <c r="L976" s="120"/>
      <c r="M976" s="120"/>
      <c r="N976" s="121"/>
      <c r="O976" s="121"/>
      <c r="P976" s="121"/>
      <c r="Q976" s="121"/>
      <c r="R976" s="121"/>
      <c r="S976" s="121"/>
      <c r="T976" s="121"/>
      <c r="U976" s="121"/>
      <c r="V976" s="121"/>
    </row>
    <row r="977">
      <c r="A977" s="120"/>
      <c r="B977" s="123"/>
      <c r="C977" s="124"/>
      <c r="D977" s="120"/>
      <c r="E977" s="125"/>
      <c r="F977" s="120"/>
      <c r="G977" s="125"/>
      <c r="H977" s="125"/>
      <c r="I977" s="125"/>
      <c r="J977" s="120"/>
      <c r="K977" s="120"/>
      <c r="L977" s="120"/>
      <c r="M977" s="120"/>
      <c r="N977" s="121"/>
      <c r="O977" s="121"/>
      <c r="P977" s="121"/>
      <c r="Q977" s="121"/>
      <c r="R977" s="121"/>
      <c r="S977" s="121"/>
      <c r="T977" s="121"/>
      <c r="U977" s="121"/>
      <c r="V977" s="121"/>
    </row>
    <row r="978">
      <c r="A978" s="120"/>
      <c r="B978" s="123"/>
      <c r="C978" s="124"/>
      <c r="D978" s="120"/>
      <c r="E978" s="125"/>
      <c r="F978" s="120"/>
      <c r="G978" s="125"/>
      <c r="H978" s="125"/>
      <c r="I978" s="125"/>
      <c r="J978" s="120"/>
      <c r="K978" s="120"/>
      <c r="L978" s="120"/>
      <c r="M978" s="120"/>
      <c r="N978" s="121"/>
      <c r="O978" s="121"/>
      <c r="P978" s="121"/>
      <c r="Q978" s="121"/>
      <c r="R978" s="121"/>
      <c r="S978" s="121"/>
      <c r="T978" s="121"/>
      <c r="U978" s="121"/>
      <c r="V978" s="121"/>
    </row>
    <row r="979">
      <c r="A979" s="121"/>
      <c r="B979" s="121"/>
      <c r="C979" s="134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</row>
    <row r="980">
      <c r="A980" s="121"/>
      <c r="B980" s="121"/>
      <c r="C980" s="134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</row>
  </sheetData>
  <autoFilter ref="$A$1:$V$980">
    <sortState ref="A1:V980">
      <sortCondition ref="A1:A980"/>
      <sortCondition descending="1" ref="B1:B98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71"/>
    <col customWidth="1" min="3" max="3" width="17.29"/>
    <col customWidth="1" min="4" max="4" width="3.14"/>
    <col customWidth="1" min="5" max="5" width="45.29"/>
    <col customWidth="1" min="6" max="6" width="19.43"/>
    <col customWidth="1" min="7" max="8" width="10.71"/>
    <col customWidth="1" min="9" max="9" width="14.57"/>
    <col customWidth="1" min="10" max="10" width="11.14"/>
    <col customWidth="1" min="11" max="11" width="58.14"/>
  </cols>
  <sheetData>
    <row r="1">
      <c r="A1" s="1" t="s">
        <v>53</v>
      </c>
      <c r="B1" s="2"/>
      <c r="C1" s="3"/>
      <c r="G1" s="25"/>
      <c r="I1" s="26"/>
      <c r="K1" s="23"/>
    </row>
    <row r="2">
      <c r="A2" s="6" t="s">
        <v>7</v>
      </c>
      <c r="B2" s="3"/>
      <c r="C2" s="7">
        <f>counta(FY20_DATA!$I$2:$I982)</f>
        <v>364</v>
      </c>
      <c r="G2" s="29"/>
      <c r="I2" s="26"/>
      <c r="K2" s="23"/>
    </row>
    <row r="3">
      <c r="A3" s="12"/>
      <c r="B3" s="13" t="s">
        <v>2</v>
      </c>
      <c r="C3" s="13" t="s">
        <v>13</v>
      </c>
      <c r="G3" s="29"/>
      <c r="I3" s="30"/>
      <c r="K3" s="23"/>
    </row>
    <row r="4">
      <c r="A4" s="17" t="s">
        <v>16</v>
      </c>
      <c r="B4" s="18">
        <f>countif(FY21_DATA!$I$2:$I982,"&lt;06:01:00")</f>
        <v>11</v>
      </c>
      <c r="C4" s="19">
        <f t="shared" ref="C4:C8" si="1">B4/$C$2</f>
        <v>0.03021978022</v>
      </c>
      <c r="G4" s="29"/>
      <c r="K4" s="23"/>
    </row>
    <row r="5">
      <c r="A5" s="17" t="s">
        <v>22</v>
      </c>
      <c r="B5" s="18">
        <f>countif(FY21_DATA!$I$2:$I982,"&lt;06:30:59 AM")</f>
        <v>17</v>
      </c>
      <c r="C5" s="19">
        <f t="shared" si="1"/>
        <v>0.0467032967</v>
      </c>
      <c r="G5" s="29"/>
      <c r="K5" s="23"/>
    </row>
    <row r="6">
      <c r="A6" s="17" t="s">
        <v>25</v>
      </c>
      <c r="B6" s="18">
        <f>countif(FY21_DATA!$I$2:$I982,"&lt;07:01:00")</f>
        <v>22</v>
      </c>
      <c r="C6" s="19">
        <f t="shared" si="1"/>
        <v>0.06043956044</v>
      </c>
      <c r="G6" s="29"/>
      <c r="K6" s="23"/>
    </row>
    <row r="7">
      <c r="A7" s="17" t="s">
        <v>28</v>
      </c>
      <c r="B7" s="18">
        <f>countif(FY21_DATA!$I$2:$I982,"&gt;07:00:59")</f>
        <v>7</v>
      </c>
      <c r="C7" s="19">
        <f t="shared" si="1"/>
        <v>0.01923076923</v>
      </c>
      <c r="G7" s="22"/>
      <c r="K7" s="23"/>
    </row>
    <row r="8">
      <c r="A8" s="17" t="s">
        <v>61</v>
      </c>
      <c r="B8" s="18">
        <f>countif(FY21_DATA!$I$2:$I982,"&gt;08:00:59")</f>
        <v>5</v>
      </c>
      <c r="C8" s="19">
        <f t="shared" si="1"/>
        <v>0.01373626374</v>
      </c>
      <c r="G8" s="22"/>
      <c r="K8" s="23"/>
    </row>
    <row r="9">
      <c r="G9" s="29"/>
      <c r="K9" s="23"/>
    </row>
    <row r="10">
      <c r="A10" s="1" t="s">
        <v>64</v>
      </c>
      <c r="B10" s="2"/>
      <c r="C10" s="3"/>
      <c r="G10" s="22"/>
      <c r="K10" s="23"/>
    </row>
    <row r="11">
      <c r="A11" s="6" t="s">
        <v>7</v>
      </c>
      <c r="B11" s="3"/>
      <c r="C11" s="7">
        <f>counta(FY20_DATA!I2:I29)</f>
        <v>28</v>
      </c>
      <c r="G11" s="22"/>
      <c r="K11" s="23"/>
    </row>
    <row r="12">
      <c r="A12" s="12"/>
      <c r="B12" s="13" t="s">
        <v>2</v>
      </c>
      <c r="C12" s="13" t="s">
        <v>13</v>
      </c>
      <c r="K12" s="23"/>
    </row>
    <row r="13">
      <c r="A13" s="17" t="s">
        <v>16</v>
      </c>
      <c r="B13" s="18">
        <f>countif(FY21_DATA!I2:I29,"&lt;06:01:00")</f>
        <v>11</v>
      </c>
      <c r="C13" s="19">
        <f>B13/C11</f>
        <v>0.3928571429</v>
      </c>
      <c r="E13" s="27"/>
      <c r="F13" s="28"/>
      <c r="G13" s="29"/>
      <c r="K13" s="23"/>
    </row>
    <row r="14">
      <c r="A14" s="17" t="s">
        <v>22</v>
      </c>
      <c r="B14" s="18">
        <f>countif(FY21_DATA!I2:I29,"&lt;06:31:00")</f>
        <v>17</v>
      </c>
      <c r="C14" s="19">
        <f>B14/C11</f>
        <v>0.6071428571</v>
      </c>
      <c r="E14" s="27"/>
      <c r="F14" s="28"/>
      <c r="G14" s="29"/>
      <c r="K14" s="23"/>
    </row>
    <row r="15">
      <c r="A15" s="17" t="s">
        <v>25</v>
      </c>
      <c r="B15" s="18">
        <f>countif(FY21_DATA!I2:I29,"&lt;07:01:00")</f>
        <v>22</v>
      </c>
      <c r="C15" s="19">
        <f>B15/C11</f>
        <v>0.7857142857</v>
      </c>
      <c r="E15" s="27"/>
      <c r="F15" s="28"/>
      <c r="G15" s="29"/>
      <c r="K15" s="23"/>
    </row>
    <row r="16">
      <c r="A16" s="17" t="s">
        <v>28</v>
      </c>
      <c r="B16" s="18">
        <f>countif(FY21_DATA!I2:I29,"&gt;07:00:59")</f>
        <v>6</v>
      </c>
      <c r="C16" s="19">
        <f>B16/C11</f>
        <v>0.2142857143</v>
      </c>
      <c r="E16" s="27"/>
      <c r="F16" s="28"/>
      <c r="G16" s="29"/>
      <c r="K16" s="23"/>
    </row>
    <row r="17">
      <c r="A17" s="17" t="s">
        <v>61</v>
      </c>
      <c r="B17" s="18">
        <f>countif(FY21_DATA!I3:I29,"&gt;08:00:59")</f>
        <v>5</v>
      </c>
      <c r="C17" s="19">
        <f>B17/$C$2</f>
        <v>0.01373626374</v>
      </c>
      <c r="E17" s="27"/>
      <c r="F17" s="28"/>
      <c r="G17" s="29"/>
      <c r="K17" s="23"/>
    </row>
    <row r="18">
      <c r="E18" s="27"/>
      <c r="F18" s="28"/>
      <c r="K18" s="23"/>
    </row>
    <row r="19">
      <c r="A19" s="1" t="s">
        <v>67</v>
      </c>
      <c r="B19" s="2"/>
      <c r="C19" s="3"/>
      <c r="E19" s="27"/>
      <c r="F19" s="28"/>
      <c r="K19" s="23"/>
    </row>
    <row r="20">
      <c r="A20" s="6" t="s">
        <v>7</v>
      </c>
      <c r="B20" s="3"/>
      <c r="C20" s="7">
        <f>counta(FY20_DATA!I30:I57)</f>
        <v>28</v>
      </c>
      <c r="E20" s="27"/>
      <c r="F20" s="28"/>
      <c r="K20" s="23"/>
    </row>
    <row r="21">
      <c r="A21" s="12"/>
      <c r="B21" s="13" t="s">
        <v>2</v>
      </c>
      <c r="C21" s="13" t="s">
        <v>13</v>
      </c>
      <c r="E21" s="27"/>
      <c r="F21" s="28"/>
    </row>
    <row r="22">
      <c r="A22" s="17" t="s">
        <v>16</v>
      </c>
      <c r="B22" s="18">
        <f>countif(FY21_DATA!I30:I57,"&lt;06:01:00")</f>
        <v>0</v>
      </c>
      <c r="C22" s="19">
        <f>B22/C20</f>
        <v>0</v>
      </c>
      <c r="E22" s="31"/>
      <c r="F22" s="32"/>
    </row>
    <row r="23">
      <c r="A23" s="17" t="s">
        <v>22</v>
      </c>
      <c r="B23" s="18">
        <f>countif(FY21_DATA!I30:I57,"&lt;06:31:00")</f>
        <v>0</v>
      </c>
      <c r="C23" s="19">
        <f>B23/C20</f>
        <v>0</v>
      </c>
      <c r="E23" s="31"/>
      <c r="F23" s="32"/>
    </row>
    <row r="24">
      <c r="A24" s="17" t="s">
        <v>25</v>
      </c>
      <c r="B24" s="18">
        <f>countif(FY21_DATA!I30:I57,"&lt;07:01:00")</f>
        <v>0</v>
      </c>
      <c r="C24" s="19">
        <f>B24/C20</f>
        <v>0</v>
      </c>
      <c r="E24" s="31"/>
      <c r="F24" s="32"/>
    </row>
    <row r="25">
      <c r="A25" s="17" t="s">
        <v>28</v>
      </c>
      <c r="B25" s="18">
        <f>countif(FY21_DATA!I30:I57,"&gt;07:00:59")</f>
        <v>1</v>
      </c>
      <c r="C25" s="19">
        <f>B25/C20</f>
        <v>0.03571428571</v>
      </c>
      <c r="E25" s="31"/>
      <c r="F25" s="32"/>
    </row>
    <row r="26">
      <c r="A26" s="17" t="s">
        <v>61</v>
      </c>
      <c r="B26" s="18">
        <f>countif(FY21_DATA!I30:I57,"&gt;08:00:59")</f>
        <v>0</v>
      </c>
      <c r="C26" s="19">
        <f>B26/C20</f>
        <v>0</v>
      </c>
      <c r="E26" s="31"/>
      <c r="F26" s="32"/>
      <c r="K26" s="23"/>
    </row>
    <row r="27">
      <c r="E27" s="31"/>
      <c r="F27" s="32"/>
      <c r="K27" s="23"/>
    </row>
    <row r="28">
      <c r="A28" s="1" t="s">
        <v>68</v>
      </c>
      <c r="B28" s="2"/>
      <c r="C28" s="3"/>
      <c r="E28" s="31"/>
      <c r="F28" s="32"/>
      <c r="K28" s="23"/>
    </row>
    <row r="29">
      <c r="A29" s="6" t="s">
        <v>7</v>
      </c>
      <c r="B29" s="3"/>
      <c r="C29" s="7">
        <f>counta(FY19_DATA!I58:I85)</f>
        <v>28</v>
      </c>
      <c r="F29" s="22"/>
      <c r="K29" s="23"/>
    </row>
    <row r="30">
      <c r="A30" s="12"/>
      <c r="B30" s="13" t="s">
        <v>2</v>
      </c>
      <c r="C30" s="13" t="s">
        <v>13</v>
      </c>
      <c r="F30" s="22"/>
      <c r="K30" s="23"/>
    </row>
    <row r="31">
      <c r="A31" s="17" t="s">
        <v>16</v>
      </c>
      <c r="B31" s="18">
        <f>countif(FY21_DATA!I58:I85,"&lt;06:01:00")</f>
        <v>0</v>
      </c>
      <c r="C31" s="19">
        <f>B31/C29</f>
        <v>0</v>
      </c>
      <c r="F31" s="22"/>
      <c r="K31" s="23"/>
    </row>
    <row r="32">
      <c r="A32" s="17" t="s">
        <v>22</v>
      </c>
      <c r="B32" s="18">
        <f>countif(FY21_DATA!I58:I85,"&lt;06:31:00")</f>
        <v>0</v>
      </c>
      <c r="C32" s="19">
        <f>B32/C29</f>
        <v>0</v>
      </c>
      <c r="F32" s="22"/>
      <c r="K32" s="23"/>
    </row>
    <row r="33">
      <c r="A33" s="17" t="s">
        <v>25</v>
      </c>
      <c r="B33" s="18">
        <f>countif(FY21_DATA!I58:I85,"&lt;07:01:00")</f>
        <v>0</v>
      </c>
      <c r="C33" s="19">
        <f>B33/C29</f>
        <v>0</v>
      </c>
      <c r="F33" s="22"/>
      <c r="K33" s="23"/>
    </row>
    <row r="34">
      <c r="A34" s="17" t="s">
        <v>28</v>
      </c>
      <c r="B34" s="18">
        <f>countif(FY21_DATA!I58:I85,"&gt;07:00:59")</f>
        <v>0</v>
      </c>
      <c r="C34" s="19">
        <f>B34/C29</f>
        <v>0</v>
      </c>
      <c r="F34" s="22"/>
      <c r="K34" s="23"/>
    </row>
    <row r="35">
      <c r="A35" s="17" t="s">
        <v>61</v>
      </c>
      <c r="B35" s="18">
        <f>countif(FY21_DATA!I58:I85,"&gt;08:00:59")</f>
        <v>0</v>
      </c>
      <c r="C35" s="19">
        <f>B35/C29</f>
        <v>0</v>
      </c>
      <c r="F35" s="22"/>
      <c r="K35" s="23"/>
    </row>
    <row r="36">
      <c r="F36" s="22"/>
      <c r="K36" s="23"/>
    </row>
    <row r="37">
      <c r="A37" s="1" t="s">
        <v>69</v>
      </c>
      <c r="B37" s="2"/>
      <c r="C37" s="3"/>
      <c r="F37" s="22"/>
      <c r="K37" s="23"/>
    </row>
    <row r="38">
      <c r="A38" s="6" t="s">
        <v>7</v>
      </c>
      <c r="B38" s="3"/>
      <c r="C38" s="7">
        <f>counta(FY19_DATA!I86:I113)</f>
        <v>28</v>
      </c>
      <c r="F38" s="22"/>
      <c r="K38" s="23"/>
    </row>
    <row r="39">
      <c r="A39" s="12"/>
      <c r="B39" s="13" t="s">
        <v>2</v>
      </c>
      <c r="C39" s="13" t="s">
        <v>13</v>
      </c>
      <c r="F39" s="22"/>
      <c r="K39" s="23"/>
    </row>
    <row r="40">
      <c r="A40" s="17" t="s">
        <v>16</v>
      </c>
      <c r="B40" s="18">
        <f>countif(FY21_DATA!I86:I113,"&lt;06:01:00")</f>
        <v>0</v>
      </c>
      <c r="C40" s="19">
        <f>B40/C38</f>
        <v>0</v>
      </c>
      <c r="F40" s="22"/>
      <c r="K40" s="23"/>
    </row>
    <row r="41">
      <c r="A41" s="17" t="s">
        <v>22</v>
      </c>
      <c r="B41" s="18">
        <f>countif(FY21_DATA!I86:I113,"&lt;06:31:00")</f>
        <v>0</v>
      </c>
      <c r="C41" s="19">
        <f>B41/C38</f>
        <v>0</v>
      </c>
      <c r="F41" s="22"/>
      <c r="K41" s="23"/>
    </row>
    <row r="42">
      <c r="A42" s="17" t="s">
        <v>25</v>
      </c>
      <c r="B42" s="18">
        <f>countif(FY21_DATA!I86:I113,"&lt;07:01:00")</f>
        <v>0</v>
      </c>
      <c r="C42" s="19">
        <f>B42/C38</f>
        <v>0</v>
      </c>
      <c r="F42" s="22"/>
      <c r="K42" s="23"/>
    </row>
    <row r="43">
      <c r="A43" s="17" t="s">
        <v>28</v>
      </c>
      <c r="B43" s="18">
        <f>countif(FY21_DATA!I86:I113,"&gt;07:00:59")</f>
        <v>0</v>
      </c>
      <c r="C43" s="19">
        <f>B43/C38</f>
        <v>0</v>
      </c>
      <c r="F43" s="22"/>
      <c r="K43" s="23"/>
    </row>
    <row r="44">
      <c r="A44" s="17" t="s">
        <v>61</v>
      </c>
      <c r="B44" s="18">
        <f>countif(FY21_DATA!I86:I113,"&gt;08:00:59")</f>
        <v>0</v>
      </c>
      <c r="C44" s="19">
        <f>B44/C38</f>
        <v>0</v>
      </c>
      <c r="F44" s="22"/>
      <c r="K44" s="23"/>
    </row>
    <row r="45">
      <c r="F45" s="22"/>
      <c r="K45" s="23"/>
    </row>
    <row r="46">
      <c r="A46" s="1" t="s">
        <v>70</v>
      </c>
      <c r="B46" s="2"/>
      <c r="C46" s="3"/>
      <c r="F46" s="22"/>
      <c r="K46" s="23"/>
    </row>
    <row r="47">
      <c r="A47" s="6" t="s">
        <v>7</v>
      </c>
      <c r="B47" s="3"/>
      <c r="C47" s="7">
        <f>counta(FY19_DATA!I114:I141)</f>
        <v>28</v>
      </c>
      <c r="F47" s="22"/>
      <c r="K47" s="23"/>
    </row>
    <row r="48">
      <c r="A48" s="12"/>
      <c r="B48" s="13" t="s">
        <v>2</v>
      </c>
      <c r="C48" s="13" t="s">
        <v>13</v>
      </c>
      <c r="F48" s="22"/>
      <c r="K48" s="23"/>
    </row>
    <row r="49">
      <c r="A49" s="17" t="s">
        <v>16</v>
      </c>
      <c r="B49" s="18">
        <f>countif(FY21_DATA!I114:I141,"&lt;06:01:00")</f>
        <v>0</v>
      </c>
      <c r="C49" s="19">
        <f>B49/C47</f>
        <v>0</v>
      </c>
      <c r="F49" s="22"/>
      <c r="K49" s="23"/>
    </row>
    <row r="50">
      <c r="A50" s="17" t="s">
        <v>22</v>
      </c>
      <c r="B50" s="18">
        <f>countif(FY21_DATA!I114:I141,"&lt;06:31:00")</f>
        <v>0</v>
      </c>
      <c r="C50" s="19">
        <f>B50/C47</f>
        <v>0</v>
      </c>
      <c r="F50" s="22"/>
      <c r="K50" s="23"/>
    </row>
    <row r="51">
      <c r="A51" s="17" t="s">
        <v>25</v>
      </c>
      <c r="B51" s="18">
        <f>countif(FY21_DATA!I114:I141,"&lt;07:01:00")</f>
        <v>0</v>
      </c>
      <c r="C51" s="19">
        <f>B51/C47</f>
        <v>0</v>
      </c>
      <c r="F51" s="22"/>
      <c r="K51" s="23"/>
    </row>
    <row r="52">
      <c r="A52" s="17" t="s">
        <v>28</v>
      </c>
      <c r="B52" s="18">
        <f>countif(FY21_DATA!I114:I141,"&gt;07:00:59")</f>
        <v>0</v>
      </c>
      <c r="C52" s="19">
        <f>B52/C47</f>
        <v>0</v>
      </c>
      <c r="F52" s="22"/>
      <c r="K52" s="23"/>
    </row>
    <row r="53">
      <c r="A53" s="17" t="s">
        <v>61</v>
      </c>
      <c r="B53" s="18">
        <f>countif(FY21_DATA!I114:I141,"&gt;08:00:59")</f>
        <v>0</v>
      </c>
      <c r="C53" s="19">
        <f>B53/C47</f>
        <v>0</v>
      </c>
      <c r="F53" s="22"/>
      <c r="K53" s="23"/>
    </row>
    <row r="54">
      <c r="F54" s="22"/>
      <c r="K54" s="23"/>
    </row>
    <row r="55">
      <c r="A55" s="1" t="s">
        <v>71</v>
      </c>
      <c r="B55" s="2"/>
      <c r="C55" s="3"/>
      <c r="F55" s="22"/>
      <c r="K55" s="23"/>
    </row>
    <row r="56">
      <c r="A56" s="6" t="s">
        <v>7</v>
      </c>
      <c r="B56" s="3"/>
      <c r="C56" s="7">
        <f>counta(FY19_DATA!I142:I169)</f>
        <v>28</v>
      </c>
      <c r="F56" s="22"/>
      <c r="K56" s="23"/>
    </row>
    <row r="57">
      <c r="A57" s="12"/>
      <c r="B57" s="13" t="s">
        <v>2</v>
      </c>
      <c r="C57" s="13" t="s">
        <v>13</v>
      </c>
      <c r="F57" s="22"/>
      <c r="K57" s="23"/>
    </row>
    <row r="58">
      <c r="A58" s="17" t="s">
        <v>16</v>
      </c>
      <c r="B58" s="18">
        <f>countif(FY21_DATA!I142:I169,"&lt;06:01:00")</f>
        <v>0</v>
      </c>
      <c r="C58" s="19">
        <f>B58/C56</f>
        <v>0</v>
      </c>
      <c r="F58" s="22"/>
      <c r="K58" s="23"/>
    </row>
    <row r="59">
      <c r="A59" s="17" t="s">
        <v>22</v>
      </c>
      <c r="B59" s="18">
        <f>countif(FY21_DATA!I142:I169,"&lt;06:31:00")</f>
        <v>0</v>
      </c>
      <c r="C59" s="19">
        <f>B59/C56</f>
        <v>0</v>
      </c>
      <c r="F59" s="22"/>
      <c r="K59" s="23"/>
    </row>
    <row r="60">
      <c r="A60" s="17" t="s">
        <v>25</v>
      </c>
      <c r="B60" s="18">
        <f>countif(FY21_DATA!I142:I169,"&lt;07:01:00")</f>
        <v>0</v>
      </c>
      <c r="C60" s="19">
        <f>B60/C56</f>
        <v>0</v>
      </c>
      <c r="F60" s="22"/>
      <c r="K60" s="23"/>
    </row>
    <row r="61">
      <c r="A61" s="17" t="s">
        <v>28</v>
      </c>
      <c r="B61" s="18">
        <f>countif(FY21_DATA!I142:I169,"&gt;07:00:59")</f>
        <v>0</v>
      </c>
      <c r="C61" s="19">
        <f>B61/C56</f>
        <v>0</v>
      </c>
      <c r="F61" s="22"/>
      <c r="K61" s="23"/>
    </row>
    <row r="62">
      <c r="A62" s="17" t="s">
        <v>61</v>
      </c>
      <c r="B62" s="18">
        <f>countif(FY21_DATA!I142:I169,"&gt;08:00:59")</f>
        <v>0</v>
      </c>
      <c r="C62" s="19">
        <f>B62/C56</f>
        <v>0</v>
      </c>
      <c r="F62" s="22"/>
      <c r="K62" s="23"/>
    </row>
    <row r="63">
      <c r="F63" s="22"/>
      <c r="K63" s="23"/>
    </row>
    <row r="64">
      <c r="A64" s="1" t="s">
        <v>72</v>
      </c>
      <c r="B64" s="2"/>
      <c r="C64" s="3"/>
      <c r="F64" s="22"/>
      <c r="K64" s="23"/>
    </row>
    <row r="65">
      <c r="A65" s="6" t="s">
        <v>7</v>
      </c>
      <c r="B65" s="3"/>
      <c r="C65" s="7">
        <f>counta(FY19_DATA!I170:I197)</f>
        <v>28</v>
      </c>
      <c r="F65" s="22"/>
      <c r="K65" s="23"/>
    </row>
    <row r="66">
      <c r="A66" s="12"/>
      <c r="B66" s="13" t="s">
        <v>2</v>
      </c>
      <c r="C66" s="13" t="s">
        <v>13</v>
      </c>
      <c r="F66" s="22"/>
      <c r="K66" s="23"/>
    </row>
    <row r="67">
      <c r="A67" s="17" t="s">
        <v>16</v>
      </c>
      <c r="B67" s="18">
        <f>countif(FY21_DATA!I170:I197,"&lt;06:01:00")</f>
        <v>0</v>
      </c>
      <c r="C67" s="19">
        <f>B67/C65</f>
        <v>0</v>
      </c>
      <c r="F67" s="22"/>
      <c r="K67" s="23"/>
    </row>
    <row r="68">
      <c r="A68" s="17" t="s">
        <v>22</v>
      </c>
      <c r="B68" s="18">
        <f>countif(FY21_DATA!I170:I197,"&lt;06:31:00")</f>
        <v>0</v>
      </c>
      <c r="C68" s="19">
        <f>B68/C65</f>
        <v>0</v>
      </c>
      <c r="F68" s="22"/>
      <c r="K68" s="23"/>
    </row>
    <row r="69">
      <c r="A69" s="17" t="s">
        <v>25</v>
      </c>
      <c r="B69" s="18">
        <f>countif(FY21_DATA!I170:I197,"&lt;07:01:00")</f>
        <v>0</v>
      </c>
      <c r="C69" s="19">
        <f>B69/C65</f>
        <v>0</v>
      </c>
      <c r="F69" s="22"/>
      <c r="K69" s="23"/>
    </row>
    <row r="70">
      <c r="A70" s="17" t="s">
        <v>28</v>
      </c>
      <c r="B70" s="18">
        <f>countif(FY21_DATA!I151:I178,"&gt;07:00:59")</f>
        <v>0</v>
      </c>
      <c r="C70" s="19">
        <f>B70/C65</f>
        <v>0</v>
      </c>
      <c r="F70" s="22"/>
      <c r="K70" s="23"/>
    </row>
    <row r="71">
      <c r="A71" s="17" t="s">
        <v>61</v>
      </c>
      <c r="B71" s="18">
        <f>countif(FY21_DATA!I170:I197,"&gt;08:00:59")</f>
        <v>0</v>
      </c>
      <c r="C71" s="19">
        <f>B71/C65</f>
        <v>0</v>
      </c>
      <c r="F71" s="22"/>
      <c r="K71" s="23"/>
    </row>
    <row r="72">
      <c r="F72" s="22"/>
      <c r="K72" s="23"/>
    </row>
    <row r="73">
      <c r="A73" s="1" t="s">
        <v>73</v>
      </c>
      <c r="B73" s="2"/>
      <c r="C73" s="3"/>
      <c r="F73" s="22"/>
      <c r="K73" s="23"/>
    </row>
    <row r="74">
      <c r="A74" s="6" t="s">
        <v>7</v>
      </c>
      <c r="B74" s="3"/>
      <c r="C74" s="7">
        <f>counta(FY19_DATA!I198:I225)</f>
        <v>28</v>
      </c>
      <c r="F74" s="22"/>
      <c r="K74" s="23"/>
    </row>
    <row r="75">
      <c r="A75" s="12"/>
      <c r="B75" s="13" t="s">
        <v>2</v>
      </c>
      <c r="C75" s="13" t="s">
        <v>13</v>
      </c>
      <c r="F75" s="22"/>
      <c r="K75" s="23"/>
    </row>
    <row r="76">
      <c r="A76" s="17" t="s">
        <v>16</v>
      </c>
      <c r="B76" s="18">
        <f>countif(FY21_DATA!I198:I225,"&lt;06:01:00")</f>
        <v>0</v>
      </c>
      <c r="C76" s="19">
        <f>B76/C74</f>
        <v>0</v>
      </c>
      <c r="F76" s="22"/>
      <c r="K76" s="23"/>
    </row>
    <row r="77">
      <c r="A77" s="17" t="s">
        <v>22</v>
      </c>
      <c r="B77" s="18">
        <f>countif(FY21_DATA!I198:I225,"&lt;06:31:00")</f>
        <v>0</v>
      </c>
      <c r="C77" s="19">
        <f>B77/C74</f>
        <v>0</v>
      </c>
      <c r="F77" s="22"/>
      <c r="K77" s="23"/>
    </row>
    <row r="78">
      <c r="A78" s="17" t="s">
        <v>25</v>
      </c>
      <c r="B78" s="18">
        <f>countif(FY21_DATA!I198:I225,"&lt;07:01:00")</f>
        <v>0</v>
      </c>
      <c r="C78" s="19">
        <f>B78/C74</f>
        <v>0</v>
      </c>
      <c r="F78" s="22"/>
      <c r="K78" s="23"/>
    </row>
    <row r="79">
      <c r="A79" s="17" t="s">
        <v>28</v>
      </c>
      <c r="B79" s="18">
        <f>countif(FY21_DATA!I198:I225,"&gt;07:00:59")</f>
        <v>0</v>
      </c>
      <c r="C79" s="19">
        <f>B79/C74</f>
        <v>0</v>
      </c>
      <c r="F79" s="22"/>
      <c r="K79" s="23"/>
    </row>
    <row r="80">
      <c r="A80" s="17" t="s">
        <v>61</v>
      </c>
      <c r="B80" s="18">
        <f>countif(FY21_DATA!I198:I225,"&gt;08:00:59")</f>
        <v>0</v>
      </c>
      <c r="C80" s="19">
        <f>B80/C74</f>
        <v>0</v>
      </c>
      <c r="F80" s="22"/>
      <c r="K80" s="23"/>
    </row>
    <row r="81">
      <c r="F81" s="22"/>
      <c r="K81" s="23"/>
    </row>
    <row r="82">
      <c r="A82" s="1" t="s">
        <v>74</v>
      </c>
      <c r="B82" s="2"/>
      <c r="C82" s="3"/>
      <c r="F82" s="22"/>
      <c r="K82" s="23"/>
    </row>
    <row r="83">
      <c r="A83" s="6" t="s">
        <v>7</v>
      </c>
      <c r="B83" s="3"/>
      <c r="C83" s="7">
        <f>counta(FY19_DATA!I226:I253)</f>
        <v>28</v>
      </c>
      <c r="F83" s="22"/>
      <c r="K83" s="23"/>
    </row>
    <row r="84">
      <c r="A84" s="12"/>
      <c r="B84" s="13" t="s">
        <v>2</v>
      </c>
      <c r="C84" s="13" t="s">
        <v>13</v>
      </c>
      <c r="F84" s="22"/>
      <c r="K84" s="23"/>
    </row>
    <row r="85">
      <c r="A85" s="17" t="s">
        <v>16</v>
      </c>
      <c r="B85" s="18">
        <f>countif(FY21_DATA!I226:I253,"&lt;06:01:00")</f>
        <v>0</v>
      </c>
      <c r="C85" s="19">
        <f>B85/C83</f>
        <v>0</v>
      </c>
      <c r="F85" s="22"/>
      <c r="K85" s="23"/>
    </row>
    <row r="86">
      <c r="A86" s="17" t="s">
        <v>22</v>
      </c>
      <c r="B86" s="18">
        <f>countif(FY21_DATA!I226:I253,"&lt;06:31:00")</f>
        <v>0</v>
      </c>
      <c r="C86" s="19">
        <f>B86/C83</f>
        <v>0</v>
      </c>
      <c r="F86" s="22"/>
      <c r="K86" s="23"/>
    </row>
    <row r="87">
      <c r="A87" s="17" t="s">
        <v>25</v>
      </c>
      <c r="B87" s="18">
        <f>countif(FY21_DATA!I226:HI253,"&lt;07:01:00")</f>
        <v>0</v>
      </c>
      <c r="C87" s="19">
        <f>B87/C83</f>
        <v>0</v>
      </c>
      <c r="F87" s="22"/>
      <c r="K87" s="23"/>
    </row>
    <row r="88">
      <c r="A88" s="17" t="s">
        <v>28</v>
      </c>
      <c r="B88" s="18">
        <f>countif(FY21_DATA!I226:I253,"&gt;07:00:59")</f>
        <v>0</v>
      </c>
      <c r="C88" s="19">
        <f>B88/C83</f>
        <v>0</v>
      </c>
      <c r="F88" s="22"/>
      <c r="K88" s="23"/>
    </row>
    <row r="89">
      <c r="A89" s="17" t="s">
        <v>61</v>
      </c>
      <c r="B89" s="18">
        <f>countif(FY21_DATA!I226:I253,"&gt;08:00:59")</f>
        <v>0</v>
      </c>
      <c r="C89" s="19">
        <f>B89/C83</f>
        <v>0</v>
      </c>
      <c r="F89" s="22"/>
      <c r="K89" s="23"/>
    </row>
    <row r="90">
      <c r="F90" s="22"/>
      <c r="K90" s="23"/>
    </row>
    <row r="91">
      <c r="A91" s="1" t="s">
        <v>75</v>
      </c>
      <c r="B91" s="2"/>
      <c r="C91" s="3"/>
      <c r="F91" s="22"/>
      <c r="K91" s="23"/>
    </row>
    <row r="92">
      <c r="A92" s="6" t="s">
        <v>7</v>
      </c>
      <c r="B92" s="3"/>
      <c r="C92" s="7">
        <f>counta(FY19_DATA!I254:I281)</f>
        <v>28</v>
      </c>
      <c r="F92" s="22"/>
      <c r="K92" s="23"/>
    </row>
    <row r="93">
      <c r="A93" s="12"/>
      <c r="B93" s="13" t="s">
        <v>2</v>
      </c>
      <c r="C93" s="13" t="s">
        <v>13</v>
      </c>
      <c r="F93" s="22"/>
      <c r="K93" s="23"/>
    </row>
    <row r="94">
      <c r="A94" s="17" t="s">
        <v>16</v>
      </c>
      <c r="B94" s="18">
        <f>countif(FY21_DATA!I254:I281,"&lt;06:01:00")</f>
        <v>0</v>
      </c>
      <c r="C94" s="19">
        <f>B94/C92</f>
        <v>0</v>
      </c>
      <c r="F94" s="22"/>
      <c r="K94" s="23"/>
    </row>
    <row r="95">
      <c r="A95" s="17" t="s">
        <v>22</v>
      </c>
      <c r="B95" s="18">
        <f>countif(FY21_DATA!I254:I281,"&lt;06:31:00")</f>
        <v>0</v>
      </c>
      <c r="C95" s="19">
        <f>B95/C92</f>
        <v>0</v>
      </c>
      <c r="F95" s="22"/>
      <c r="K95" s="23"/>
    </row>
    <row r="96">
      <c r="A96" s="17" t="s">
        <v>25</v>
      </c>
      <c r="B96" s="18">
        <f>countif(FY21_DATA!I254:I281,"&lt;07:01:00")</f>
        <v>0</v>
      </c>
      <c r="C96" s="19">
        <f>B96/C92</f>
        <v>0</v>
      </c>
      <c r="F96" s="22"/>
      <c r="K96" s="23"/>
    </row>
    <row r="97">
      <c r="A97" s="17" t="s">
        <v>28</v>
      </c>
      <c r="B97" s="18">
        <f>countif(FY21_DATA!I254:I281,"&gt;07:00:59")</f>
        <v>0</v>
      </c>
      <c r="C97" s="19">
        <f>B97/C92</f>
        <v>0</v>
      </c>
      <c r="F97" s="22"/>
      <c r="K97" s="23"/>
    </row>
    <row r="98">
      <c r="A98" s="17" t="s">
        <v>61</v>
      </c>
      <c r="B98" s="18">
        <f>countif(FY21_DATA!I254:I281,"&gt;08:00:59")</f>
        <v>0</v>
      </c>
      <c r="C98" s="19">
        <f>B98/C92</f>
        <v>0</v>
      </c>
      <c r="F98" s="22"/>
      <c r="K98" s="23"/>
    </row>
    <row r="99">
      <c r="F99" s="22"/>
      <c r="K99" s="23"/>
    </row>
    <row r="100">
      <c r="A100" s="1" t="s">
        <v>76</v>
      </c>
      <c r="B100" s="2"/>
      <c r="C100" s="3"/>
      <c r="F100" s="22"/>
      <c r="K100" s="23"/>
    </row>
    <row r="101">
      <c r="A101" s="6" t="s">
        <v>7</v>
      </c>
      <c r="B101" s="3"/>
      <c r="C101" s="7">
        <f>counta(FY19_DATA!I282:I309)</f>
        <v>28</v>
      </c>
      <c r="F101" s="22"/>
      <c r="K101" s="23"/>
    </row>
    <row r="102">
      <c r="A102" s="12"/>
      <c r="B102" s="13" t="s">
        <v>2</v>
      </c>
      <c r="C102" s="13" t="s">
        <v>13</v>
      </c>
      <c r="F102" s="22"/>
      <c r="K102" s="23"/>
    </row>
    <row r="103">
      <c r="A103" s="17" t="s">
        <v>16</v>
      </c>
      <c r="B103" s="18">
        <f>countif(FY21_DATA!I282:I309,"&lt;06:01:00")</f>
        <v>0</v>
      </c>
      <c r="C103" s="19">
        <f>B103/C101</f>
        <v>0</v>
      </c>
      <c r="F103" s="22"/>
      <c r="K103" s="23"/>
    </row>
    <row r="104">
      <c r="A104" s="17" t="s">
        <v>22</v>
      </c>
      <c r="B104" s="18">
        <f>countif(FY21_DATA!I282:I309,"&lt;06:31:00")</f>
        <v>0</v>
      </c>
      <c r="C104" s="19">
        <f>B104/C101</f>
        <v>0</v>
      </c>
      <c r="F104" s="22"/>
      <c r="K104" s="23"/>
    </row>
    <row r="105">
      <c r="A105" s="17" t="s">
        <v>25</v>
      </c>
      <c r="B105" s="18">
        <f>countif(FY21_DATA!I282:I309,"&lt;07:01:00")</f>
        <v>0</v>
      </c>
      <c r="C105" s="19">
        <f>B105/C101</f>
        <v>0</v>
      </c>
      <c r="F105" s="22"/>
      <c r="K105" s="23"/>
    </row>
    <row r="106">
      <c r="A106" s="17" t="s">
        <v>28</v>
      </c>
      <c r="B106" s="18">
        <f>countif(FY21_DATA!I282:I309,"&gt;07:00:59")</f>
        <v>0</v>
      </c>
      <c r="C106" s="19">
        <f>B106/C101</f>
        <v>0</v>
      </c>
      <c r="F106" s="22"/>
      <c r="K106" s="23"/>
    </row>
    <row r="107">
      <c r="A107" s="17" t="s">
        <v>61</v>
      </c>
      <c r="B107" s="18">
        <f>countif(FY21_DATA!I282:I309,"&gt;08:00:59")</f>
        <v>0</v>
      </c>
      <c r="C107" s="19">
        <f>B107/C101</f>
        <v>0</v>
      </c>
      <c r="F107" s="22"/>
      <c r="K107" s="23"/>
    </row>
    <row r="108">
      <c r="F108" s="22"/>
      <c r="K108" s="23"/>
    </row>
    <row r="109">
      <c r="A109" s="1" t="s">
        <v>77</v>
      </c>
      <c r="B109" s="2"/>
      <c r="C109" s="3"/>
      <c r="F109" s="22"/>
      <c r="K109" s="23"/>
    </row>
    <row r="110">
      <c r="A110" s="6" t="s">
        <v>7</v>
      </c>
      <c r="B110" s="3"/>
      <c r="C110" s="7">
        <f>counta(FY19_DATA!I310:I337)</f>
        <v>28</v>
      </c>
      <c r="F110" s="22"/>
      <c r="K110" s="23"/>
    </row>
    <row r="111">
      <c r="A111" s="12"/>
      <c r="B111" s="13" t="s">
        <v>2</v>
      </c>
      <c r="C111" s="13" t="s">
        <v>13</v>
      </c>
      <c r="F111" s="22"/>
      <c r="K111" s="23"/>
    </row>
    <row r="112">
      <c r="A112" s="17" t="s">
        <v>16</v>
      </c>
      <c r="B112" s="18">
        <f>countif(FY21_DATA!I310:I337,"&lt;06:01:00")</f>
        <v>0</v>
      </c>
      <c r="C112" s="19">
        <f>B112/C110</f>
        <v>0</v>
      </c>
      <c r="F112" s="22"/>
      <c r="K112" s="23"/>
    </row>
    <row r="113">
      <c r="A113" s="17" t="s">
        <v>22</v>
      </c>
      <c r="B113" s="18">
        <f>countif(FY21_DATA!I310:I337,"&lt;06:31:00")</f>
        <v>0</v>
      </c>
      <c r="C113" s="19">
        <f>B113/C110</f>
        <v>0</v>
      </c>
      <c r="F113" s="22"/>
      <c r="K113" s="23"/>
    </row>
    <row r="114">
      <c r="A114" s="17" t="s">
        <v>25</v>
      </c>
      <c r="B114" s="18">
        <f>countif(FY21_DATA!I310:I337,"&lt;07:01:00")</f>
        <v>0</v>
      </c>
      <c r="C114" s="19">
        <f>B114/C110</f>
        <v>0</v>
      </c>
      <c r="F114" s="22"/>
      <c r="K114" s="23"/>
    </row>
    <row r="115">
      <c r="A115" s="17" t="s">
        <v>28</v>
      </c>
      <c r="B115" s="18">
        <f>countif(FY21_DATA!I310:I337,"&gt;07:00:59")</f>
        <v>0</v>
      </c>
      <c r="C115" s="19">
        <f>B115/C110</f>
        <v>0</v>
      </c>
      <c r="F115" s="22"/>
      <c r="K115" s="23"/>
    </row>
    <row r="116">
      <c r="A116" s="17" t="s">
        <v>61</v>
      </c>
      <c r="B116" s="18">
        <f>countif(FY21_DATA!I310:I337,"&gt;08:00:59")</f>
        <v>0</v>
      </c>
      <c r="C116" s="19">
        <f>B116/C110</f>
        <v>0</v>
      </c>
      <c r="F116" s="22"/>
      <c r="K116" s="23"/>
    </row>
    <row r="117">
      <c r="F117" s="22"/>
      <c r="K117" s="23"/>
    </row>
    <row r="118">
      <c r="A118" s="1" t="s">
        <v>78</v>
      </c>
      <c r="B118" s="2"/>
      <c r="C118" s="3"/>
      <c r="F118" s="22"/>
      <c r="K118" s="23"/>
    </row>
    <row r="119">
      <c r="A119" s="6" t="s">
        <v>7</v>
      </c>
      <c r="B119" s="3"/>
      <c r="C119" s="7">
        <f>counta(FY19_DATA!I338:I365)</f>
        <v>28</v>
      </c>
      <c r="F119" s="22"/>
      <c r="K119" s="23"/>
    </row>
    <row r="120">
      <c r="A120" s="12"/>
      <c r="B120" s="13" t="s">
        <v>2</v>
      </c>
      <c r="C120" s="13" t="s">
        <v>13</v>
      </c>
      <c r="F120" s="22"/>
      <c r="K120" s="23"/>
    </row>
    <row r="121">
      <c r="A121" s="17" t="s">
        <v>16</v>
      </c>
      <c r="B121" s="18">
        <f>countif(FY21_DATA!I338:I365,"&lt;06:01:00")</f>
        <v>0</v>
      </c>
      <c r="C121" s="19">
        <f>B121/C119</f>
        <v>0</v>
      </c>
      <c r="F121" s="22"/>
      <c r="K121" s="23"/>
    </row>
    <row r="122">
      <c r="A122" s="17" t="s">
        <v>22</v>
      </c>
      <c r="B122" s="18">
        <f>countif(FY21_DATA!I338:I365,"&lt;06:31:00")</f>
        <v>0</v>
      </c>
      <c r="C122" s="19">
        <f>B122/C119</f>
        <v>0</v>
      </c>
      <c r="F122" s="22"/>
      <c r="K122" s="23"/>
    </row>
    <row r="123">
      <c r="A123" s="17" t="s">
        <v>25</v>
      </c>
      <c r="B123" s="18">
        <f>countif(FY21_DATA!I338:I365,"&lt;07:01:00")</f>
        <v>0</v>
      </c>
      <c r="C123" s="19">
        <f>B123/C119</f>
        <v>0</v>
      </c>
      <c r="F123" s="22"/>
      <c r="K123" s="23"/>
    </row>
    <row r="124">
      <c r="A124" s="17" t="s">
        <v>28</v>
      </c>
      <c r="B124" s="18">
        <f>countif(FY21_DATA!I338:I365,"&gt;07:00:59")</f>
        <v>0</v>
      </c>
      <c r="C124" s="19">
        <f>B124/C119</f>
        <v>0</v>
      </c>
      <c r="F124" s="22"/>
      <c r="K124" s="23"/>
    </row>
    <row r="125">
      <c r="A125" s="17" t="s">
        <v>61</v>
      </c>
      <c r="B125" s="18">
        <f>countif(FY21_DATA!I319:I346,"&gt;08:00:59")</f>
        <v>0</v>
      </c>
      <c r="C125" s="19">
        <f>B125/C119</f>
        <v>0</v>
      </c>
      <c r="F125" s="22"/>
      <c r="K125" s="23"/>
    </row>
    <row r="126">
      <c r="F126" s="22"/>
      <c r="K126" s="23"/>
    </row>
    <row r="127">
      <c r="F127" s="22"/>
      <c r="K127" s="23"/>
    </row>
    <row r="128">
      <c r="F128" s="22"/>
      <c r="K128" s="23"/>
    </row>
    <row r="129">
      <c r="F129" s="22"/>
      <c r="K129" s="23"/>
    </row>
    <row r="130">
      <c r="F130" s="22"/>
      <c r="K130" s="23"/>
    </row>
    <row r="131">
      <c r="F131" s="22"/>
      <c r="K131" s="23"/>
    </row>
    <row r="132">
      <c r="F132" s="22"/>
      <c r="K132" s="23"/>
    </row>
    <row r="133">
      <c r="F133" s="22"/>
      <c r="K133" s="23"/>
    </row>
    <row r="134">
      <c r="F134" s="22"/>
      <c r="K134" s="23"/>
    </row>
    <row r="135">
      <c r="F135" s="22"/>
      <c r="K135" s="23"/>
    </row>
    <row r="136">
      <c r="F136" s="22"/>
      <c r="K136" s="23"/>
    </row>
    <row r="137">
      <c r="F137" s="22"/>
      <c r="K137" s="23"/>
    </row>
    <row r="138">
      <c r="F138" s="22"/>
      <c r="K138" s="23"/>
    </row>
    <row r="139">
      <c r="F139" s="22"/>
      <c r="K139" s="23"/>
    </row>
    <row r="140">
      <c r="F140" s="22"/>
      <c r="K140" s="23"/>
    </row>
    <row r="141">
      <c r="F141" s="22"/>
      <c r="K141" s="23"/>
    </row>
    <row r="142">
      <c r="F142" s="22"/>
      <c r="K142" s="23"/>
    </row>
    <row r="143">
      <c r="F143" s="22"/>
      <c r="K143" s="23"/>
    </row>
    <row r="144">
      <c r="F144" s="22"/>
      <c r="K144" s="23"/>
    </row>
    <row r="145">
      <c r="F145" s="22"/>
      <c r="K145" s="23"/>
    </row>
    <row r="146">
      <c r="F146" s="22"/>
      <c r="K146" s="23"/>
    </row>
    <row r="147">
      <c r="F147" s="22"/>
      <c r="K147" s="23"/>
    </row>
    <row r="148">
      <c r="F148" s="22"/>
      <c r="K148" s="23"/>
    </row>
    <row r="149">
      <c r="F149" s="22"/>
      <c r="K149" s="23"/>
    </row>
    <row r="150">
      <c r="F150" s="22"/>
      <c r="K150" s="23"/>
    </row>
    <row r="151">
      <c r="F151" s="22"/>
      <c r="K151" s="23"/>
    </row>
    <row r="152">
      <c r="F152" s="22"/>
      <c r="K152" s="23"/>
    </row>
    <row r="153">
      <c r="F153" s="22"/>
      <c r="K153" s="23"/>
    </row>
    <row r="154">
      <c r="F154" s="22"/>
      <c r="K154" s="23"/>
    </row>
    <row r="155">
      <c r="F155" s="22"/>
      <c r="K155" s="23"/>
    </row>
    <row r="156">
      <c r="F156" s="22"/>
      <c r="K156" s="23"/>
    </row>
    <row r="157">
      <c r="F157" s="22"/>
      <c r="K157" s="23"/>
    </row>
    <row r="158">
      <c r="F158" s="22"/>
      <c r="K158" s="23"/>
    </row>
    <row r="159">
      <c r="F159" s="22"/>
      <c r="K159" s="23"/>
    </row>
    <row r="160">
      <c r="F160" s="22"/>
      <c r="K160" s="23"/>
    </row>
    <row r="161">
      <c r="F161" s="22"/>
      <c r="K161" s="23"/>
    </row>
    <row r="162">
      <c r="F162" s="22"/>
      <c r="K162" s="23"/>
    </row>
    <row r="163">
      <c r="F163" s="22"/>
      <c r="K163" s="23"/>
    </row>
    <row r="164">
      <c r="F164" s="22"/>
      <c r="K164" s="23"/>
    </row>
    <row r="165">
      <c r="F165" s="22"/>
      <c r="K165" s="23"/>
    </row>
    <row r="166">
      <c r="F166" s="22"/>
      <c r="K166" s="23"/>
    </row>
    <row r="167">
      <c r="F167" s="22"/>
      <c r="K167" s="23"/>
    </row>
    <row r="168">
      <c r="F168" s="22"/>
      <c r="K168" s="23"/>
    </row>
    <row r="169">
      <c r="F169" s="22"/>
      <c r="K169" s="23"/>
    </row>
    <row r="170">
      <c r="F170" s="22"/>
      <c r="K170" s="23"/>
    </row>
    <row r="171">
      <c r="F171" s="22"/>
      <c r="K171" s="23"/>
    </row>
    <row r="172">
      <c r="F172" s="22"/>
      <c r="K172" s="23"/>
    </row>
    <row r="173">
      <c r="F173" s="22"/>
      <c r="K173" s="23"/>
    </row>
    <row r="174">
      <c r="F174" s="22"/>
      <c r="K174" s="23"/>
    </row>
    <row r="175">
      <c r="F175" s="22"/>
      <c r="K175" s="23"/>
    </row>
    <row r="176">
      <c r="F176" s="22"/>
      <c r="K176" s="23"/>
    </row>
    <row r="177">
      <c r="F177" s="22"/>
      <c r="K177" s="23"/>
    </row>
    <row r="178">
      <c r="F178" s="22"/>
      <c r="K178" s="23"/>
    </row>
    <row r="179">
      <c r="F179" s="22"/>
      <c r="K179" s="23"/>
    </row>
    <row r="180">
      <c r="F180" s="22"/>
      <c r="K180" s="23"/>
    </row>
    <row r="181">
      <c r="F181" s="22"/>
      <c r="K181" s="23"/>
    </row>
    <row r="182">
      <c r="F182" s="22"/>
      <c r="K182" s="23"/>
    </row>
    <row r="183">
      <c r="F183" s="22"/>
      <c r="K183" s="23"/>
    </row>
    <row r="184">
      <c r="F184" s="22"/>
      <c r="K184" s="23"/>
    </row>
    <row r="185">
      <c r="F185" s="22"/>
      <c r="K185" s="23"/>
    </row>
    <row r="186">
      <c r="F186" s="22"/>
      <c r="K186" s="23"/>
    </row>
    <row r="187">
      <c r="F187" s="22"/>
      <c r="K187" s="23"/>
    </row>
    <row r="188">
      <c r="F188" s="22"/>
      <c r="K188" s="23"/>
    </row>
    <row r="189">
      <c r="F189" s="22"/>
      <c r="K189" s="23"/>
    </row>
    <row r="190">
      <c r="F190" s="22"/>
      <c r="K190" s="23"/>
    </row>
    <row r="191">
      <c r="F191" s="22"/>
      <c r="K191" s="23"/>
    </row>
    <row r="192">
      <c r="F192" s="22"/>
      <c r="K192" s="23"/>
    </row>
    <row r="193">
      <c r="F193" s="22"/>
      <c r="K193" s="23"/>
    </row>
    <row r="194">
      <c r="F194" s="22"/>
      <c r="K194" s="23"/>
    </row>
    <row r="195">
      <c r="F195" s="22"/>
      <c r="K195" s="23"/>
    </row>
    <row r="196">
      <c r="F196" s="22"/>
      <c r="K196" s="23"/>
    </row>
    <row r="197">
      <c r="F197" s="22"/>
      <c r="K197" s="23"/>
    </row>
    <row r="198">
      <c r="F198" s="22"/>
      <c r="K198" s="23"/>
    </row>
    <row r="199">
      <c r="F199" s="22"/>
      <c r="K199" s="23"/>
    </row>
    <row r="200">
      <c r="F200" s="22"/>
      <c r="K200" s="23"/>
    </row>
    <row r="201">
      <c r="F201" s="22"/>
      <c r="K201" s="23"/>
    </row>
    <row r="202">
      <c r="F202" s="22"/>
      <c r="K202" s="23"/>
    </row>
    <row r="203">
      <c r="F203" s="22"/>
      <c r="K203" s="23"/>
    </row>
    <row r="204">
      <c r="F204" s="22"/>
      <c r="K204" s="23"/>
    </row>
    <row r="205">
      <c r="F205" s="22"/>
      <c r="K205" s="23"/>
    </row>
    <row r="206">
      <c r="F206" s="22"/>
      <c r="K206" s="23"/>
    </row>
    <row r="207">
      <c r="F207" s="22"/>
      <c r="K207" s="23"/>
    </row>
    <row r="208">
      <c r="F208" s="22"/>
      <c r="K208" s="23"/>
    </row>
    <row r="209">
      <c r="F209" s="22"/>
      <c r="K209" s="23"/>
    </row>
    <row r="210">
      <c r="F210" s="22"/>
      <c r="K210" s="23"/>
    </row>
    <row r="211">
      <c r="F211" s="22"/>
      <c r="K211" s="23"/>
    </row>
    <row r="212">
      <c r="F212" s="22"/>
      <c r="K212" s="23"/>
    </row>
    <row r="213">
      <c r="F213" s="22"/>
      <c r="K213" s="23"/>
    </row>
    <row r="214">
      <c r="F214" s="22"/>
      <c r="K214" s="23"/>
    </row>
    <row r="215">
      <c r="F215" s="22"/>
      <c r="K215" s="23"/>
    </row>
    <row r="216">
      <c r="F216" s="22"/>
      <c r="K216" s="23"/>
    </row>
    <row r="217">
      <c r="F217" s="22"/>
      <c r="K217" s="23"/>
    </row>
    <row r="218">
      <c r="F218" s="22"/>
      <c r="K218" s="23"/>
    </row>
    <row r="219">
      <c r="F219" s="22"/>
      <c r="K219" s="23"/>
    </row>
    <row r="220">
      <c r="F220" s="22"/>
      <c r="K220" s="23"/>
    </row>
    <row r="221">
      <c r="F221" s="22"/>
      <c r="K221" s="23"/>
    </row>
    <row r="222">
      <c r="F222" s="22"/>
      <c r="K222" s="23"/>
    </row>
    <row r="223">
      <c r="F223" s="22"/>
      <c r="K223" s="23"/>
    </row>
    <row r="224">
      <c r="F224" s="22"/>
      <c r="K224" s="23"/>
    </row>
    <row r="225">
      <c r="F225" s="22"/>
      <c r="K225" s="23"/>
    </row>
    <row r="226">
      <c r="F226" s="22"/>
      <c r="K226" s="23"/>
    </row>
    <row r="227">
      <c r="F227" s="22"/>
      <c r="K227" s="23"/>
    </row>
    <row r="228">
      <c r="F228" s="22"/>
      <c r="K228" s="23"/>
    </row>
    <row r="229">
      <c r="F229" s="22"/>
      <c r="K229" s="23"/>
    </row>
    <row r="230">
      <c r="F230" s="22"/>
      <c r="K230" s="23"/>
    </row>
    <row r="231">
      <c r="F231" s="22"/>
      <c r="K231" s="23"/>
    </row>
    <row r="232">
      <c r="F232" s="22"/>
      <c r="K232" s="23"/>
    </row>
    <row r="233">
      <c r="F233" s="22"/>
      <c r="K233" s="23"/>
    </row>
    <row r="234">
      <c r="F234" s="22"/>
      <c r="K234" s="23"/>
    </row>
    <row r="235">
      <c r="F235" s="22"/>
      <c r="K235" s="23"/>
    </row>
    <row r="236">
      <c r="F236" s="22"/>
      <c r="K236" s="23"/>
    </row>
    <row r="237">
      <c r="F237" s="22"/>
      <c r="K237" s="23"/>
    </row>
    <row r="238">
      <c r="F238" s="22"/>
      <c r="K238" s="23"/>
    </row>
    <row r="239">
      <c r="F239" s="22"/>
      <c r="K239" s="23"/>
    </row>
    <row r="240">
      <c r="F240" s="22"/>
      <c r="K240" s="23"/>
    </row>
    <row r="241">
      <c r="F241" s="22"/>
      <c r="K241" s="23"/>
    </row>
    <row r="242">
      <c r="F242" s="22"/>
      <c r="K242" s="23"/>
    </row>
    <row r="243">
      <c r="F243" s="22"/>
      <c r="K243" s="23"/>
    </row>
    <row r="244">
      <c r="F244" s="22"/>
      <c r="K244" s="23"/>
    </row>
    <row r="245">
      <c r="F245" s="22"/>
      <c r="K245" s="23"/>
    </row>
    <row r="246">
      <c r="F246" s="22"/>
      <c r="K246" s="23"/>
    </row>
    <row r="247">
      <c r="F247" s="22"/>
      <c r="K247" s="23"/>
    </row>
    <row r="248">
      <c r="F248" s="22"/>
      <c r="K248" s="23"/>
    </row>
    <row r="249">
      <c r="F249" s="22"/>
      <c r="K249" s="23"/>
    </row>
    <row r="250">
      <c r="F250" s="22"/>
      <c r="K250" s="23"/>
    </row>
    <row r="251">
      <c r="F251" s="22"/>
      <c r="K251" s="23"/>
    </row>
    <row r="252">
      <c r="F252" s="22"/>
      <c r="K252" s="23"/>
    </row>
    <row r="253">
      <c r="F253" s="22"/>
      <c r="K253" s="23"/>
    </row>
    <row r="254">
      <c r="F254" s="22"/>
      <c r="K254" s="23"/>
    </row>
    <row r="255">
      <c r="F255" s="22"/>
      <c r="K255" s="23"/>
    </row>
    <row r="256">
      <c r="F256" s="22"/>
      <c r="K256" s="23"/>
    </row>
    <row r="257">
      <c r="F257" s="22"/>
      <c r="K257" s="23"/>
    </row>
    <row r="258">
      <c r="F258" s="22"/>
      <c r="K258" s="23"/>
    </row>
    <row r="259">
      <c r="F259" s="22"/>
      <c r="K259" s="23"/>
    </row>
    <row r="260">
      <c r="F260" s="22"/>
      <c r="K260" s="23"/>
    </row>
    <row r="261">
      <c r="F261" s="22"/>
      <c r="K261" s="23"/>
    </row>
    <row r="262">
      <c r="F262" s="22"/>
      <c r="K262" s="23"/>
    </row>
    <row r="263">
      <c r="F263" s="22"/>
      <c r="K263" s="23"/>
    </row>
    <row r="264">
      <c r="F264" s="22"/>
      <c r="K264" s="23"/>
    </row>
    <row r="265">
      <c r="F265" s="22"/>
      <c r="K265" s="23"/>
    </row>
    <row r="266">
      <c r="F266" s="22"/>
      <c r="K266" s="23"/>
    </row>
    <row r="267">
      <c r="F267" s="22"/>
      <c r="K267" s="23"/>
    </row>
    <row r="268">
      <c r="F268" s="22"/>
      <c r="K268" s="23"/>
    </row>
    <row r="269">
      <c r="F269" s="22"/>
      <c r="K269" s="23"/>
    </row>
    <row r="270">
      <c r="F270" s="22"/>
      <c r="K270" s="23"/>
    </row>
    <row r="271">
      <c r="F271" s="22"/>
      <c r="K271" s="23"/>
    </row>
    <row r="272">
      <c r="F272" s="22"/>
      <c r="K272" s="23"/>
    </row>
    <row r="273">
      <c r="F273" s="22"/>
      <c r="K273" s="23"/>
    </row>
    <row r="274">
      <c r="F274" s="22"/>
      <c r="K274" s="23"/>
    </row>
    <row r="275">
      <c r="F275" s="22"/>
      <c r="K275" s="23"/>
    </row>
    <row r="276">
      <c r="F276" s="22"/>
      <c r="K276" s="23"/>
    </row>
    <row r="277">
      <c r="F277" s="22"/>
      <c r="K277" s="23"/>
    </row>
    <row r="278">
      <c r="F278" s="22"/>
      <c r="K278" s="23"/>
    </row>
    <row r="279">
      <c r="F279" s="22"/>
      <c r="K279" s="23"/>
    </row>
    <row r="280">
      <c r="F280" s="22"/>
      <c r="K280" s="23"/>
    </row>
    <row r="281">
      <c r="F281" s="22"/>
      <c r="K281" s="23"/>
    </row>
    <row r="282">
      <c r="F282" s="22"/>
      <c r="K282" s="23"/>
    </row>
    <row r="283">
      <c r="F283" s="22"/>
      <c r="K283" s="23"/>
    </row>
    <row r="284">
      <c r="F284" s="22"/>
      <c r="K284" s="23"/>
    </row>
    <row r="285">
      <c r="F285" s="22"/>
      <c r="K285" s="23"/>
    </row>
    <row r="286">
      <c r="F286" s="22"/>
      <c r="K286" s="23"/>
    </row>
    <row r="287">
      <c r="F287" s="22"/>
      <c r="K287" s="23"/>
    </row>
    <row r="288">
      <c r="F288" s="22"/>
      <c r="K288" s="23"/>
    </row>
    <row r="289">
      <c r="F289" s="22"/>
      <c r="K289" s="23"/>
    </row>
    <row r="290">
      <c r="F290" s="22"/>
      <c r="K290" s="23"/>
    </row>
    <row r="291">
      <c r="F291" s="22"/>
      <c r="K291" s="23"/>
    </row>
    <row r="292">
      <c r="F292" s="22"/>
      <c r="K292" s="23"/>
    </row>
    <row r="293">
      <c r="F293" s="22"/>
      <c r="K293" s="23"/>
    </row>
    <row r="294">
      <c r="F294" s="22"/>
      <c r="K294" s="23"/>
    </row>
    <row r="295">
      <c r="F295" s="22"/>
      <c r="K295" s="23"/>
    </row>
    <row r="296">
      <c r="F296" s="22"/>
      <c r="K296" s="23"/>
    </row>
    <row r="297">
      <c r="F297" s="22"/>
      <c r="K297" s="23"/>
    </row>
    <row r="298">
      <c r="F298" s="22"/>
      <c r="K298" s="23"/>
    </row>
    <row r="299">
      <c r="F299" s="22"/>
      <c r="K299" s="23"/>
    </row>
    <row r="300">
      <c r="F300" s="22"/>
      <c r="K300" s="23"/>
    </row>
    <row r="301">
      <c r="F301" s="22"/>
      <c r="K301" s="23"/>
    </row>
    <row r="302">
      <c r="F302" s="22"/>
      <c r="K302" s="23"/>
    </row>
    <row r="303">
      <c r="F303" s="22"/>
      <c r="K303" s="23"/>
    </row>
    <row r="304">
      <c r="F304" s="22"/>
      <c r="K304" s="23"/>
    </row>
    <row r="305">
      <c r="F305" s="22"/>
      <c r="K305" s="23"/>
    </row>
    <row r="306">
      <c r="F306" s="22"/>
      <c r="K306" s="23"/>
    </row>
    <row r="307">
      <c r="F307" s="22"/>
      <c r="K307" s="23"/>
    </row>
    <row r="308">
      <c r="F308" s="22"/>
      <c r="K308" s="23"/>
    </row>
    <row r="309">
      <c r="F309" s="22"/>
      <c r="K309" s="23"/>
    </row>
    <row r="310">
      <c r="F310" s="22"/>
      <c r="K310" s="23"/>
    </row>
    <row r="311">
      <c r="F311" s="22"/>
      <c r="K311" s="23"/>
    </row>
    <row r="312">
      <c r="F312" s="22"/>
      <c r="K312" s="23"/>
    </row>
    <row r="313">
      <c r="F313" s="22"/>
      <c r="K313" s="23"/>
    </row>
    <row r="314">
      <c r="F314" s="22"/>
      <c r="K314" s="23"/>
    </row>
    <row r="315">
      <c r="F315" s="22"/>
      <c r="K315" s="23"/>
    </row>
    <row r="316">
      <c r="F316" s="22"/>
      <c r="K316" s="23"/>
    </row>
    <row r="317">
      <c r="F317" s="22"/>
      <c r="K317" s="23"/>
    </row>
    <row r="318">
      <c r="F318" s="22"/>
      <c r="K318" s="23"/>
    </row>
    <row r="319">
      <c r="F319" s="22"/>
      <c r="K319" s="23"/>
    </row>
    <row r="320">
      <c r="F320" s="22"/>
      <c r="K320" s="23"/>
    </row>
    <row r="321">
      <c r="F321" s="22"/>
      <c r="K321" s="23"/>
    </row>
    <row r="322">
      <c r="F322" s="22"/>
      <c r="K322" s="23"/>
    </row>
    <row r="323">
      <c r="F323" s="22"/>
      <c r="K323" s="23"/>
    </row>
    <row r="324">
      <c r="F324" s="22"/>
      <c r="K324" s="23"/>
    </row>
    <row r="325">
      <c r="F325" s="22"/>
      <c r="K325" s="23"/>
    </row>
    <row r="326">
      <c r="F326" s="22"/>
      <c r="K326" s="23"/>
    </row>
    <row r="327">
      <c r="F327" s="22"/>
      <c r="K327" s="23"/>
    </row>
    <row r="328">
      <c r="F328" s="22"/>
      <c r="K328" s="23"/>
    </row>
    <row r="329">
      <c r="F329" s="22"/>
      <c r="K329" s="23"/>
    </row>
    <row r="330">
      <c r="F330" s="22"/>
      <c r="K330" s="23"/>
    </row>
    <row r="331">
      <c r="F331" s="22"/>
      <c r="K331" s="23"/>
    </row>
    <row r="332">
      <c r="F332" s="22"/>
      <c r="K332" s="23"/>
    </row>
    <row r="333">
      <c r="F333" s="22"/>
      <c r="K333" s="23"/>
    </row>
    <row r="334">
      <c r="F334" s="22"/>
      <c r="K334" s="23"/>
    </row>
    <row r="335">
      <c r="F335" s="22"/>
      <c r="K335" s="23"/>
    </row>
    <row r="336">
      <c r="F336" s="22"/>
      <c r="K336" s="23"/>
    </row>
    <row r="337">
      <c r="F337" s="22"/>
      <c r="K337" s="23"/>
    </row>
    <row r="338">
      <c r="F338" s="22"/>
      <c r="K338" s="23"/>
    </row>
    <row r="339">
      <c r="F339" s="22"/>
      <c r="K339" s="23"/>
    </row>
    <row r="340">
      <c r="F340" s="22"/>
      <c r="K340" s="23"/>
    </row>
    <row r="341">
      <c r="F341" s="22"/>
      <c r="K341" s="23"/>
    </row>
    <row r="342">
      <c r="F342" s="22"/>
      <c r="K342" s="23"/>
    </row>
    <row r="343">
      <c r="F343" s="22"/>
      <c r="K343" s="23"/>
    </row>
    <row r="344">
      <c r="F344" s="22"/>
      <c r="K344" s="23"/>
    </row>
    <row r="345">
      <c r="F345" s="22"/>
      <c r="K345" s="23"/>
    </row>
    <row r="346">
      <c r="F346" s="22"/>
      <c r="K346" s="23"/>
    </row>
    <row r="347">
      <c r="F347" s="22"/>
      <c r="K347" s="23"/>
    </row>
    <row r="348">
      <c r="F348" s="22"/>
      <c r="K348" s="23"/>
    </row>
    <row r="349">
      <c r="F349" s="22"/>
      <c r="K349" s="23"/>
    </row>
    <row r="350">
      <c r="F350" s="22"/>
      <c r="K350" s="23"/>
    </row>
    <row r="351">
      <c r="F351" s="22"/>
      <c r="K351" s="23"/>
    </row>
    <row r="352">
      <c r="F352" s="22"/>
      <c r="K352" s="23"/>
    </row>
    <row r="353">
      <c r="F353" s="22"/>
      <c r="K353" s="23"/>
    </row>
    <row r="354">
      <c r="F354" s="22"/>
      <c r="K354" s="23"/>
    </row>
    <row r="355">
      <c r="F355" s="22"/>
      <c r="K355" s="23"/>
    </row>
    <row r="356">
      <c r="F356" s="22"/>
      <c r="K356" s="23"/>
    </row>
    <row r="357">
      <c r="F357" s="22"/>
      <c r="K357" s="23"/>
    </row>
    <row r="358">
      <c r="F358" s="22"/>
      <c r="K358" s="23"/>
    </row>
    <row r="359">
      <c r="F359" s="22"/>
      <c r="K359" s="23"/>
    </row>
    <row r="360">
      <c r="F360" s="22"/>
      <c r="K360" s="23"/>
    </row>
    <row r="361">
      <c r="F361" s="22"/>
      <c r="K361" s="23"/>
    </row>
    <row r="362">
      <c r="F362" s="22"/>
      <c r="K362" s="23"/>
    </row>
    <row r="363">
      <c r="F363" s="22"/>
      <c r="K363" s="23"/>
    </row>
    <row r="364">
      <c r="F364" s="22"/>
      <c r="K364" s="23"/>
    </row>
    <row r="365">
      <c r="F365" s="22"/>
      <c r="K365" s="23"/>
    </row>
    <row r="366">
      <c r="F366" s="22"/>
      <c r="K366" s="23"/>
    </row>
    <row r="367">
      <c r="F367" s="22"/>
      <c r="K367" s="23"/>
    </row>
    <row r="368">
      <c r="F368" s="22"/>
      <c r="K368" s="23"/>
    </row>
    <row r="369">
      <c r="F369" s="22"/>
      <c r="K369" s="23"/>
    </row>
    <row r="370">
      <c r="F370" s="22"/>
      <c r="K370" s="23"/>
    </row>
    <row r="371">
      <c r="F371" s="22"/>
      <c r="K371" s="23"/>
    </row>
    <row r="372">
      <c r="F372" s="22"/>
      <c r="K372" s="23"/>
    </row>
    <row r="373">
      <c r="F373" s="22"/>
      <c r="K373" s="23"/>
    </row>
    <row r="374">
      <c r="F374" s="22"/>
      <c r="K374" s="23"/>
    </row>
    <row r="375">
      <c r="F375" s="22"/>
      <c r="K375" s="23"/>
    </row>
    <row r="376">
      <c r="F376" s="22"/>
      <c r="K376" s="23"/>
    </row>
    <row r="377">
      <c r="F377" s="22"/>
      <c r="K377" s="23"/>
    </row>
    <row r="378">
      <c r="F378" s="22"/>
      <c r="K378" s="23"/>
    </row>
    <row r="379">
      <c r="F379" s="22"/>
      <c r="K379" s="23"/>
    </row>
    <row r="380">
      <c r="F380" s="22"/>
      <c r="K380" s="23"/>
    </row>
    <row r="381">
      <c r="F381" s="22"/>
      <c r="K381" s="23"/>
    </row>
    <row r="382">
      <c r="F382" s="22"/>
      <c r="K382" s="23"/>
    </row>
    <row r="383">
      <c r="F383" s="22"/>
      <c r="K383" s="23"/>
    </row>
    <row r="384">
      <c r="F384" s="22"/>
      <c r="K384" s="23"/>
    </row>
    <row r="385">
      <c r="F385" s="22"/>
      <c r="K385" s="23"/>
    </row>
    <row r="386">
      <c r="F386" s="22"/>
      <c r="K386" s="23"/>
    </row>
    <row r="387">
      <c r="F387" s="22"/>
      <c r="K387" s="23"/>
    </row>
    <row r="388">
      <c r="F388" s="22"/>
      <c r="K388" s="23"/>
    </row>
    <row r="389">
      <c r="F389" s="22"/>
      <c r="K389" s="23"/>
    </row>
    <row r="390">
      <c r="F390" s="22"/>
      <c r="K390" s="23"/>
    </row>
    <row r="391">
      <c r="F391" s="22"/>
      <c r="K391" s="23"/>
    </row>
    <row r="392">
      <c r="F392" s="22"/>
      <c r="K392" s="23"/>
    </row>
    <row r="393">
      <c r="F393" s="22"/>
      <c r="K393" s="23"/>
    </row>
    <row r="394">
      <c r="F394" s="22"/>
      <c r="K394" s="23"/>
    </row>
    <row r="395">
      <c r="F395" s="22"/>
      <c r="K395" s="23"/>
    </row>
    <row r="396">
      <c r="F396" s="22"/>
      <c r="K396" s="23"/>
    </row>
    <row r="397">
      <c r="F397" s="22"/>
      <c r="K397" s="23"/>
    </row>
    <row r="398">
      <c r="F398" s="22"/>
      <c r="K398" s="23"/>
    </row>
    <row r="399">
      <c r="F399" s="22"/>
      <c r="K399" s="23"/>
    </row>
    <row r="400">
      <c r="F400" s="22"/>
      <c r="K400" s="23"/>
    </row>
    <row r="401">
      <c r="F401" s="22"/>
      <c r="K401" s="23"/>
    </row>
    <row r="402">
      <c r="F402" s="22"/>
      <c r="K402" s="23"/>
    </row>
    <row r="403">
      <c r="F403" s="22"/>
      <c r="K403" s="23"/>
    </row>
    <row r="404">
      <c r="F404" s="22"/>
      <c r="K404" s="23"/>
    </row>
    <row r="405">
      <c r="F405" s="22"/>
      <c r="K405" s="23"/>
    </row>
    <row r="406">
      <c r="F406" s="22"/>
      <c r="K406" s="23"/>
    </row>
    <row r="407">
      <c r="F407" s="22"/>
      <c r="K407" s="23"/>
    </row>
    <row r="408">
      <c r="F408" s="22"/>
      <c r="K408" s="23"/>
    </row>
    <row r="409">
      <c r="F409" s="22"/>
      <c r="K409" s="23"/>
    </row>
    <row r="410">
      <c r="F410" s="22"/>
      <c r="K410" s="23"/>
    </row>
    <row r="411">
      <c r="F411" s="22"/>
      <c r="K411" s="23"/>
    </row>
    <row r="412">
      <c r="F412" s="22"/>
      <c r="K412" s="23"/>
    </row>
    <row r="413">
      <c r="F413" s="22"/>
      <c r="K413" s="23"/>
    </row>
    <row r="414">
      <c r="F414" s="22"/>
      <c r="K414" s="23"/>
    </row>
    <row r="415">
      <c r="F415" s="22"/>
      <c r="K415" s="23"/>
    </row>
    <row r="416">
      <c r="F416" s="22"/>
      <c r="K416" s="23"/>
    </row>
    <row r="417">
      <c r="F417" s="22"/>
      <c r="K417" s="23"/>
    </row>
    <row r="418">
      <c r="F418" s="22"/>
      <c r="K418" s="23"/>
    </row>
    <row r="419">
      <c r="F419" s="22"/>
      <c r="K419" s="23"/>
    </row>
    <row r="420">
      <c r="F420" s="22"/>
      <c r="K420" s="23"/>
    </row>
    <row r="421">
      <c r="F421" s="22"/>
      <c r="K421" s="23"/>
    </row>
    <row r="422">
      <c r="F422" s="22"/>
      <c r="K422" s="23"/>
    </row>
    <row r="423">
      <c r="F423" s="22"/>
      <c r="K423" s="23"/>
    </row>
    <row r="424">
      <c r="F424" s="22"/>
      <c r="K424" s="23"/>
    </row>
    <row r="425">
      <c r="F425" s="22"/>
      <c r="K425" s="23"/>
    </row>
    <row r="426">
      <c r="F426" s="22"/>
      <c r="K426" s="23"/>
    </row>
    <row r="427">
      <c r="F427" s="22"/>
      <c r="K427" s="23"/>
    </row>
    <row r="428">
      <c r="F428" s="22"/>
      <c r="K428" s="23"/>
    </row>
    <row r="429">
      <c r="F429" s="22"/>
      <c r="K429" s="23"/>
    </row>
    <row r="430">
      <c r="F430" s="22"/>
      <c r="K430" s="23"/>
    </row>
    <row r="431">
      <c r="F431" s="22"/>
      <c r="K431" s="23"/>
    </row>
    <row r="432">
      <c r="F432" s="22"/>
      <c r="K432" s="23"/>
    </row>
    <row r="433">
      <c r="F433" s="22"/>
      <c r="K433" s="23"/>
    </row>
    <row r="434">
      <c r="F434" s="22"/>
      <c r="K434" s="23"/>
    </row>
    <row r="435">
      <c r="F435" s="22"/>
      <c r="K435" s="23"/>
    </row>
    <row r="436">
      <c r="F436" s="22"/>
      <c r="K436" s="23"/>
    </row>
    <row r="437">
      <c r="F437" s="22"/>
      <c r="K437" s="23"/>
    </row>
    <row r="438">
      <c r="F438" s="22"/>
      <c r="K438" s="23"/>
    </row>
    <row r="439">
      <c r="F439" s="22"/>
      <c r="K439" s="23"/>
    </row>
    <row r="440">
      <c r="F440" s="22"/>
      <c r="K440" s="23"/>
    </row>
    <row r="441">
      <c r="F441" s="22"/>
      <c r="K441" s="23"/>
    </row>
    <row r="442">
      <c r="F442" s="22"/>
      <c r="K442" s="23"/>
    </row>
    <row r="443">
      <c r="F443" s="22"/>
      <c r="K443" s="23"/>
    </row>
    <row r="444">
      <c r="F444" s="22"/>
      <c r="K444" s="23"/>
    </row>
    <row r="445">
      <c r="F445" s="22"/>
      <c r="K445" s="23"/>
    </row>
    <row r="446">
      <c r="F446" s="22"/>
      <c r="K446" s="23"/>
    </row>
    <row r="447">
      <c r="F447" s="22"/>
      <c r="K447" s="23"/>
    </row>
    <row r="448">
      <c r="F448" s="22"/>
      <c r="K448" s="23"/>
    </row>
    <row r="449">
      <c r="F449" s="22"/>
      <c r="K449" s="23"/>
    </row>
    <row r="450">
      <c r="F450" s="22"/>
      <c r="K450" s="23"/>
    </row>
    <row r="451">
      <c r="F451" s="22"/>
      <c r="K451" s="23"/>
    </row>
    <row r="452">
      <c r="F452" s="22"/>
      <c r="K452" s="23"/>
    </row>
    <row r="453">
      <c r="F453" s="22"/>
      <c r="K453" s="23"/>
    </row>
    <row r="454">
      <c r="F454" s="22"/>
      <c r="K454" s="23"/>
    </row>
    <row r="455">
      <c r="F455" s="22"/>
      <c r="K455" s="23"/>
    </row>
    <row r="456">
      <c r="F456" s="22"/>
      <c r="K456" s="23"/>
    </row>
    <row r="457">
      <c r="F457" s="22"/>
      <c r="K457" s="23"/>
    </row>
    <row r="458">
      <c r="F458" s="22"/>
      <c r="K458" s="23"/>
    </row>
    <row r="459">
      <c r="F459" s="22"/>
      <c r="K459" s="23"/>
    </row>
    <row r="460">
      <c r="F460" s="22"/>
      <c r="K460" s="23"/>
    </row>
    <row r="461">
      <c r="F461" s="22"/>
      <c r="K461" s="23"/>
    </row>
    <row r="462">
      <c r="F462" s="22"/>
      <c r="K462" s="23"/>
    </row>
    <row r="463">
      <c r="F463" s="22"/>
      <c r="K463" s="23"/>
    </row>
    <row r="464">
      <c r="F464" s="22"/>
      <c r="K464" s="23"/>
    </row>
    <row r="465">
      <c r="F465" s="22"/>
      <c r="K465" s="23"/>
    </row>
    <row r="466">
      <c r="F466" s="22"/>
      <c r="K466" s="23"/>
    </row>
    <row r="467">
      <c r="F467" s="22"/>
      <c r="K467" s="23"/>
    </row>
    <row r="468">
      <c r="F468" s="22"/>
      <c r="K468" s="23"/>
    </row>
    <row r="469">
      <c r="F469" s="22"/>
      <c r="K469" s="23"/>
    </row>
    <row r="470">
      <c r="F470" s="22"/>
      <c r="K470" s="23"/>
    </row>
    <row r="471">
      <c r="F471" s="22"/>
      <c r="K471" s="23"/>
    </row>
    <row r="472">
      <c r="F472" s="22"/>
      <c r="K472" s="23"/>
    </row>
    <row r="473">
      <c r="F473" s="22"/>
      <c r="K473" s="23"/>
    </row>
    <row r="474">
      <c r="F474" s="22"/>
      <c r="K474" s="23"/>
    </row>
    <row r="475">
      <c r="F475" s="22"/>
      <c r="K475" s="23"/>
    </row>
    <row r="476">
      <c r="F476" s="22"/>
      <c r="K476" s="23"/>
    </row>
    <row r="477">
      <c r="F477" s="22"/>
      <c r="K477" s="23"/>
    </row>
    <row r="478">
      <c r="F478" s="22"/>
      <c r="K478" s="23"/>
    </row>
    <row r="479">
      <c r="F479" s="22"/>
      <c r="K479" s="23"/>
    </row>
    <row r="480">
      <c r="F480" s="22"/>
      <c r="K480" s="23"/>
    </row>
    <row r="481">
      <c r="F481" s="22"/>
      <c r="K481" s="23"/>
    </row>
    <row r="482">
      <c r="F482" s="22"/>
      <c r="K482" s="23"/>
    </row>
    <row r="483">
      <c r="F483" s="22"/>
      <c r="K483" s="23"/>
    </row>
    <row r="484">
      <c r="F484" s="22"/>
      <c r="K484" s="23"/>
    </row>
    <row r="485">
      <c r="F485" s="22"/>
      <c r="K485" s="23"/>
    </row>
    <row r="486">
      <c r="F486" s="22"/>
      <c r="K486" s="23"/>
    </row>
    <row r="487">
      <c r="F487" s="22"/>
      <c r="K487" s="23"/>
    </row>
    <row r="488">
      <c r="F488" s="22"/>
      <c r="K488" s="23"/>
    </row>
    <row r="489">
      <c r="F489" s="22"/>
      <c r="K489" s="23"/>
    </row>
    <row r="490">
      <c r="F490" s="22"/>
      <c r="K490" s="23"/>
    </row>
    <row r="491">
      <c r="F491" s="22"/>
      <c r="K491" s="23"/>
    </row>
    <row r="492">
      <c r="F492" s="22"/>
      <c r="K492" s="23"/>
    </row>
    <row r="493">
      <c r="F493" s="22"/>
      <c r="K493" s="23"/>
    </row>
    <row r="494">
      <c r="F494" s="22"/>
      <c r="K494" s="23"/>
    </row>
    <row r="495">
      <c r="F495" s="22"/>
      <c r="K495" s="23"/>
    </row>
    <row r="496">
      <c r="F496" s="22"/>
      <c r="K496" s="23"/>
    </row>
    <row r="497">
      <c r="F497" s="22"/>
      <c r="K497" s="23"/>
    </row>
    <row r="498">
      <c r="F498" s="22"/>
      <c r="K498" s="23"/>
    </row>
    <row r="499">
      <c r="F499" s="22"/>
      <c r="K499" s="23"/>
    </row>
    <row r="500">
      <c r="F500" s="22"/>
      <c r="K500" s="23"/>
    </row>
    <row r="501">
      <c r="F501" s="22"/>
      <c r="K501" s="23"/>
    </row>
    <row r="502">
      <c r="F502" s="22"/>
      <c r="K502" s="23"/>
    </row>
    <row r="503">
      <c r="F503" s="22"/>
      <c r="K503" s="23"/>
    </row>
    <row r="504">
      <c r="F504" s="22"/>
      <c r="K504" s="23"/>
    </row>
    <row r="505">
      <c r="F505" s="22"/>
      <c r="K505" s="23"/>
    </row>
    <row r="506">
      <c r="F506" s="22"/>
      <c r="K506" s="23"/>
    </row>
    <row r="507">
      <c r="F507" s="22"/>
      <c r="K507" s="23"/>
    </row>
    <row r="508">
      <c r="F508" s="22"/>
      <c r="K508" s="23"/>
    </row>
    <row r="509">
      <c r="F509" s="22"/>
      <c r="K509" s="23"/>
    </row>
    <row r="510">
      <c r="F510" s="22"/>
      <c r="K510" s="23"/>
    </row>
    <row r="511">
      <c r="F511" s="22"/>
      <c r="K511" s="23"/>
    </row>
    <row r="512">
      <c r="F512" s="22"/>
      <c r="K512" s="23"/>
    </row>
    <row r="513">
      <c r="F513" s="22"/>
      <c r="K513" s="23"/>
    </row>
    <row r="514">
      <c r="F514" s="22"/>
      <c r="K514" s="23"/>
    </row>
    <row r="515">
      <c r="F515" s="22"/>
      <c r="K515" s="23"/>
    </row>
    <row r="516">
      <c r="F516" s="22"/>
      <c r="K516" s="23"/>
    </row>
    <row r="517">
      <c r="F517" s="22"/>
      <c r="K517" s="23"/>
    </row>
    <row r="518">
      <c r="F518" s="22"/>
      <c r="K518" s="23"/>
    </row>
    <row r="519">
      <c r="F519" s="22"/>
      <c r="K519" s="23"/>
    </row>
    <row r="520">
      <c r="F520" s="22"/>
      <c r="K520" s="23"/>
    </row>
    <row r="521">
      <c r="F521" s="22"/>
      <c r="K521" s="23"/>
    </row>
    <row r="522">
      <c r="F522" s="22"/>
      <c r="K522" s="23"/>
    </row>
    <row r="523">
      <c r="F523" s="22"/>
      <c r="K523" s="23"/>
    </row>
    <row r="524">
      <c r="F524" s="22"/>
      <c r="K524" s="23"/>
    </row>
    <row r="525">
      <c r="F525" s="22"/>
      <c r="K525" s="23"/>
    </row>
    <row r="526">
      <c r="F526" s="22"/>
      <c r="K526" s="23"/>
    </row>
    <row r="527">
      <c r="F527" s="22"/>
      <c r="K527" s="23"/>
    </row>
    <row r="528">
      <c r="F528" s="22"/>
      <c r="K528" s="23"/>
    </row>
    <row r="529">
      <c r="F529" s="22"/>
      <c r="K529" s="23"/>
    </row>
    <row r="530">
      <c r="F530" s="22"/>
      <c r="K530" s="23"/>
    </row>
    <row r="531">
      <c r="F531" s="22"/>
      <c r="K531" s="23"/>
    </row>
    <row r="532">
      <c r="F532" s="22"/>
      <c r="K532" s="23"/>
    </row>
    <row r="533">
      <c r="F533" s="22"/>
      <c r="K533" s="23"/>
    </row>
    <row r="534">
      <c r="F534" s="22"/>
      <c r="K534" s="23"/>
    </row>
    <row r="535">
      <c r="F535" s="22"/>
      <c r="K535" s="23"/>
    </row>
    <row r="536">
      <c r="F536" s="22"/>
      <c r="K536" s="23"/>
    </row>
    <row r="537">
      <c r="F537" s="22"/>
      <c r="K537" s="23"/>
    </row>
    <row r="538">
      <c r="F538" s="22"/>
      <c r="K538" s="23"/>
    </row>
    <row r="539">
      <c r="F539" s="22"/>
      <c r="K539" s="23"/>
    </row>
    <row r="540">
      <c r="F540" s="22"/>
      <c r="K540" s="23"/>
    </row>
    <row r="541">
      <c r="F541" s="22"/>
      <c r="K541" s="23"/>
    </row>
    <row r="542">
      <c r="F542" s="22"/>
      <c r="K542" s="23"/>
    </row>
    <row r="543">
      <c r="F543" s="22"/>
      <c r="K543" s="23"/>
    </row>
    <row r="544">
      <c r="F544" s="22"/>
      <c r="K544" s="23"/>
    </row>
    <row r="545">
      <c r="F545" s="22"/>
      <c r="K545" s="23"/>
    </row>
    <row r="546">
      <c r="F546" s="22"/>
      <c r="K546" s="23"/>
    </row>
    <row r="547">
      <c r="F547" s="22"/>
      <c r="K547" s="23"/>
    </row>
    <row r="548">
      <c r="F548" s="22"/>
      <c r="K548" s="23"/>
    </row>
    <row r="549">
      <c r="F549" s="22"/>
      <c r="K549" s="23"/>
    </row>
    <row r="550">
      <c r="F550" s="22"/>
      <c r="K550" s="23"/>
    </row>
    <row r="551">
      <c r="F551" s="22"/>
      <c r="K551" s="23"/>
    </row>
    <row r="552">
      <c r="F552" s="22"/>
      <c r="K552" s="23"/>
    </row>
    <row r="553">
      <c r="F553" s="22"/>
      <c r="K553" s="23"/>
    </row>
    <row r="554">
      <c r="F554" s="22"/>
      <c r="K554" s="23"/>
    </row>
    <row r="555">
      <c r="F555" s="22"/>
      <c r="K555" s="23"/>
    </row>
    <row r="556">
      <c r="F556" s="22"/>
      <c r="K556" s="23"/>
    </row>
    <row r="557">
      <c r="F557" s="22"/>
      <c r="K557" s="23"/>
    </row>
    <row r="558">
      <c r="F558" s="22"/>
      <c r="K558" s="23"/>
    </row>
    <row r="559">
      <c r="F559" s="22"/>
      <c r="K559" s="23"/>
    </row>
    <row r="560">
      <c r="F560" s="22"/>
      <c r="K560" s="23"/>
    </row>
    <row r="561">
      <c r="F561" s="22"/>
      <c r="K561" s="23"/>
    </row>
    <row r="562">
      <c r="F562" s="22"/>
      <c r="K562" s="23"/>
    </row>
    <row r="563">
      <c r="F563" s="22"/>
      <c r="K563" s="23"/>
    </row>
    <row r="564">
      <c r="F564" s="22"/>
      <c r="K564" s="23"/>
    </row>
    <row r="565">
      <c r="F565" s="22"/>
      <c r="K565" s="23"/>
    </row>
    <row r="566">
      <c r="F566" s="22"/>
      <c r="K566" s="23"/>
    </row>
    <row r="567">
      <c r="F567" s="22"/>
      <c r="K567" s="23"/>
    </row>
    <row r="568">
      <c r="F568" s="22"/>
      <c r="K568" s="23"/>
    </row>
    <row r="569">
      <c r="F569" s="22"/>
      <c r="K569" s="23"/>
    </row>
    <row r="570">
      <c r="F570" s="22"/>
      <c r="K570" s="23"/>
    </row>
    <row r="571">
      <c r="F571" s="22"/>
      <c r="K571" s="23"/>
    </row>
    <row r="572">
      <c r="F572" s="22"/>
      <c r="K572" s="23"/>
    </row>
    <row r="573">
      <c r="F573" s="22"/>
      <c r="K573" s="23"/>
    </row>
    <row r="574">
      <c r="F574" s="22"/>
      <c r="K574" s="23"/>
    </row>
    <row r="575">
      <c r="F575" s="22"/>
      <c r="K575" s="23"/>
    </row>
    <row r="576">
      <c r="F576" s="22"/>
      <c r="K576" s="23"/>
    </row>
    <row r="577">
      <c r="F577" s="22"/>
      <c r="K577" s="23"/>
    </row>
    <row r="578">
      <c r="F578" s="22"/>
      <c r="K578" s="23"/>
    </row>
    <row r="579">
      <c r="F579" s="22"/>
      <c r="K579" s="23"/>
    </row>
    <row r="580">
      <c r="F580" s="22"/>
      <c r="K580" s="23"/>
    </row>
    <row r="581">
      <c r="F581" s="22"/>
      <c r="K581" s="23"/>
    </row>
    <row r="582">
      <c r="F582" s="22"/>
      <c r="K582" s="23"/>
    </row>
    <row r="583">
      <c r="F583" s="22"/>
      <c r="K583" s="23"/>
    </row>
    <row r="584">
      <c r="F584" s="22"/>
      <c r="K584" s="23"/>
    </row>
    <row r="585">
      <c r="F585" s="22"/>
      <c r="K585" s="23"/>
    </row>
    <row r="586">
      <c r="F586" s="22"/>
      <c r="K586" s="23"/>
    </row>
    <row r="587">
      <c r="F587" s="22"/>
      <c r="K587" s="23"/>
    </row>
    <row r="588">
      <c r="F588" s="22"/>
      <c r="K588" s="23"/>
    </row>
    <row r="589">
      <c r="F589" s="22"/>
      <c r="K589" s="23"/>
    </row>
    <row r="590">
      <c r="F590" s="22"/>
      <c r="K590" s="23"/>
    </row>
    <row r="591">
      <c r="F591" s="22"/>
      <c r="K591" s="23"/>
    </row>
    <row r="592">
      <c r="F592" s="22"/>
      <c r="K592" s="23"/>
    </row>
    <row r="593">
      <c r="F593" s="22"/>
      <c r="K593" s="23"/>
    </row>
    <row r="594">
      <c r="F594" s="22"/>
      <c r="K594" s="23"/>
    </row>
    <row r="595">
      <c r="F595" s="22"/>
      <c r="K595" s="23"/>
    </row>
    <row r="596">
      <c r="F596" s="22"/>
      <c r="K596" s="23"/>
    </row>
    <row r="597">
      <c r="F597" s="22"/>
      <c r="K597" s="23"/>
    </row>
    <row r="598">
      <c r="F598" s="22"/>
      <c r="K598" s="23"/>
    </row>
    <row r="599">
      <c r="F599" s="22"/>
      <c r="K599" s="23"/>
    </row>
    <row r="600">
      <c r="F600" s="22"/>
      <c r="K600" s="23"/>
    </row>
    <row r="601">
      <c r="F601" s="22"/>
      <c r="K601" s="23"/>
    </row>
    <row r="602">
      <c r="F602" s="22"/>
      <c r="K602" s="23"/>
    </row>
    <row r="603">
      <c r="F603" s="22"/>
      <c r="K603" s="23"/>
    </row>
    <row r="604">
      <c r="F604" s="22"/>
      <c r="K604" s="23"/>
    </row>
    <row r="605">
      <c r="F605" s="22"/>
      <c r="K605" s="23"/>
    </row>
    <row r="606">
      <c r="F606" s="22"/>
      <c r="K606" s="23"/>
    </row>
    <row r="607">
      <c r="F607" s="22"/>
      <c r="K607" s="23"/>
    </row>
    <row r="608">
      <c r="F608" s="22"/>
      <c r="K608" s="23"/>
    </row>
    <row r="609">
      <c r="F609" s="22"/>
      <c r="K609" s="23"/>
    </row>
    <row r="610">
      <c r="F610" s="22"/>
      <c r="K610" s="23"/>
    </row>
    <row r="611">
      <c r="F611" s="22"/>
      <c r="K611" s="23"/>
    </row>
    <row r="612">
      <c r="F612" s="22"/>
      <c r="K612" s="23"/>
    </row>
    <row r="613">
      <c r="F613" s="22"/>
      <c r="K613" s="23"/>
    </row>
    <row r="614">
      <c r="F614" s="22"/>
      <c r="K614" s="23"/>
    </row>
    <row r="615">
      <c r="F615" s="22"/>
      <c r="K615" s="23"/>
    </row>
    <row r="616">
      <c r="F616" s="22"/>
      <c r="K616" s="23"/>
    </row>
    <row r="617">
      <c r="F617" s="22"/>
      <c r="K617" s="23"/>
    </row>
    <row r="618">
      <c r="F618" s="22"/>
      <c r="K618" s="23"/>
    </row>
    <row r="619">
      <c r="F619" s="22"/>
      <c r="K619" s="23"/>
    </row>
    <row r="620">
      <c r="F620" s="22"/>
      <c r="K620" s="23"/>
    </row>
    <row r="621">
      <c r="F621" s="22"/>
      <c r="K621" s="23"/>
    </row>
    <row r="622">
      <c r="F622" s="22"/>
      <c r="K622" s="23"/>
    </row>
    <row r="623">
      <c r="F623" s="22"/>
      <c r="K623" s="23"/>
    </row>
    <row r="624">
      <c r="F624" s="22"/>
      <c r="K624" s="23"/>
    </row>
    <row r="625">
      <c r="F625" s="22"/>
      <c r="K625" s="23"/>
    </row>
    <row r="626">
      <c r="F626" s="22"/>
      <c r="K626" s="23"/>
    </row>
    <row r="627">
      <c r="F627" s="22"/>
      <c r="K627" s="23"/>
    </row>
    <row r="628">
      <c r="F628" s="22"/>
      <c r="K628" s="23"/>
    </row>
    <row r="629">
      <c r="F629" s="22"/>
      <c r="K629" s="23"/>
    </row>
    <row r="630">
      <c r="F630" s="22"/>
      <c r="K630" s="23"/>
    </row>
    <row r="631">
      <c r="F631" s="22"/>
      <c r="K631" s="23"/>
    </row>
    <row r="632">
      <c r="F632" s="22"/>
      <c r="K632" s="23"/>
    </row>
    <row r="633">
      <c r="F633" s="22"/>
      <c r="K633" s="23"/>
    </row>
    <row r="634">
      <c r="F634" s="22"/>
      <c r="K634" s="23"/>
    </row>
    <row r="635">
      <c r="F635" s="22"/>
      <c r="K635" s="23"/>
    </row>
    <row r="636">
      <c r="F636" s="22"/>
      <c r="K636" s="23"/>
    </row>
    <row r="637">
      <c r="F637" s="22"/>
      <c r="K637" s="23"/>
    </row>
    <row r="638">
      <c r="F638" s="22"/>
      <c r="K638" s="23"/>
    </row>
    <row r="639">
      <c r="F639" s="22"/>
      <c r="K639" s="23"/>
    </row>
    <row r="640">
      <c r="F640" s="22"/>
      <c r="K640" s="23"/>
    </row>
    <row r="641">
      <c r="F641" s="22"/>
      <c r="K641" s="23"/>
    </row>
    <row r="642">
      <c r="F642" s="22"/>
      <c r="K642" s="23"/>
    </row>
    <row r="643">
      <c r="F643" s="22"/>
      <c r="K643" s="23"/>
    </row>
    <row r="644">
      <c r="F644" s="22"/>
      <c r="K644" s="23"/>
    </row>
    <row r="645">
      <c r="F645" s="22"/>
      <c r="K645" s="23"/>
    </row>
    <row r="646">
      <c r="F646" s="22"/>
      <c r="K646" s="23"/>
    </row>
    <row r="647">
      <c r="F647" s="22"/>
      <c r="K647" s="23"/>
    </row>
    <row r="648">
      <c r="F648" s="22"/>
      <c r="K648" s="23"/>
    </row>
    <row r="649">
      <c r="F649" s="22"/>
      <c r="K649" s="23"/>
    </row>
    <row r="650">
      <c r="F650" s="22"/>
      <c r="K650" s="23"/>
    </row>
    <row r="651">
      <c r="F651" s="22"/>
      <c r="K651" s="23"/>
    </row>
    <row r="652">
      <c r="F652" s="22"/>
      <c r="K652" s="23"/>
    </row>
    <row r="653">
      <c r="F653" s="22"/>
      <c r="K653" s="23"/>
    </row>
    <row r="654">
      <c r="F654" s="22"/>
      <c r="K654" s="23"/>
    </row>
    <row r="655">
      <c r="F655" s="22"/>
      <c r="K655" s="23"/>
    </row>
    <row r="656">
      <c r="F656" s="22"/>
      <c r="K656" s="23"/>
    </row>
    <row r="657">
      <c r="F657" s="22"/>
      <c r="K657" s="23"/>
    </row>
    <row r="658">
      <c r="F658" s="22"/>
      <c r="K658" s="23"/>
    </row>
    <row r="659">
      <c r="F659" s="22"/>
      <c r="K659" s="23"/>
    </row>
    <row r="660">
      <c r="F660" s="22"/>
      <c r="K660" s="23"/>
    </row>
    <row r="661">
      <c r="F661" s="22"/>
      <c r="K661" s="23"/>
    </row>
    <row r="662">
      <c r="F662" s="22"/>
      <c r="K662" s="23"/>
    </row>
    <row r="663">
      <c r="F663" s="22"/>
      <c r="K663" s="23"/>
    </row>
    <row r="664">
      <c r="F664" s="22"/>
      <c r="K664" s="23"/>
    </row>
    <row r="665">
      <c r="F665" s="22"/>
      <c r="K665" s="23"/>
    </row>
    <row r="666">
      <c r="F666" s="22"/>
      <c r="K666" s="23"/>
    </row>
    <row r="667">
      <c r="F667" s="22"/>
      <c r="K667" s="23"/>
    </row>
    <row r="668">
      <c r="F668" s="22"/>
      <c r="K668" s="23"/>
    </row>
    <row r="669">
      <c r="F669" s="22"/>
      <c r="K669" s="23"/>
    </row>
    <row r="670">
      <c r="F670" s="22"/>
      <c r="K670" s="23"/>
    </row>
    <row r="671">
      <c r="F671" s="22"/>
      <c r="K671" s="23"/>
    </row>
    <row r="672">
      <c r="F672" s="22"/>
      <c r="K672" s="23"/>
    </row>
    <row r="673">
      <c r="F673" s="22"/>
      <c r="K673" s="23"/>
    </row>
    <row r="674">
      <c r="F674" s="22"/>
      <c r="K674" s="23"/>
    </row>
    <row r="675">
      <c r="F675" s="22"/>
      <c r="K675" s="23"/>
    </row>
    <row r="676">
      <c r="F676" s="22"/>
      <c r="K676" s="23"/>
    </row>
    <row r="677">
      <c r="F677" s="22"/>
      <c r="K677" s="23"/>
    </row>
    <row r="678">
      <c r="F678" s="22"/>
      <c r="K678" s="23"/>
    </row>
    <row r="679">
      <c r="F679" s="22"/>
      <c r="K679" s="23"/>
    </row>
    <row r="680">
      <c r="F680" s="22"/>
      <c r="K680" s="23"/>
    </row>
    <row r="681">
      <c r="F681" s="22"/>
      <c r="K681" s="23"/>
    </row>
    <row r="682">
      <c r="F682" s="22"/>
      <c r="K682" s="23"/>
    </row>
    <row r="683">
      <c r="F683" s="22"/>
      <c r="K683" s="23"/>
    </row>
    <row r="684">
      <c r="F684" s="22"/>
      <c r="K684" s="23"/>
    </row>
    <row r="685">
      <c r="F685" s="22"/>
      <c r="K685" s="23"/>
    </row>
    <row r="686">
      <c r="F686" s="22"/>
      <c r="K686" s="23"/>
    </row>
    <row r="687">
      <c r="F687" s="22"/>
      <c r="K687" s="23"/>
    </row>
    <row r="688">
      <c r="F688" s="22"/>
      <c r="K688" s="23"/>
    </row>
    <row r="689">
      <c r="F689" s="22"/>
      <c r="K689" s="23"/>
    </row>
    <row r="690">
      <c r="F690" s="22"/>
      <c r="K690" s="23"/>
    </row>
    <row r="691">
      <c r="F691" s="22"/>
      <c r="K691" s="23"/>
    </row>
    <row r="692">
      <c r="F692" s="22"/>
      <c r="K692" s="23"/>
    </row>
    <row r="693">
      <c r="F693" s="22"/>
      <c r="K693" s="23"/>
    </row>
    <row r="694">
      <c r="F694" s="22"/>
      <c r="K694" s="23"/>
    </row>
    <row r="695">
      <c r="F695" s="22"/>
      <c r="K695" s="23"/>
    </row>
    <row r="696">
      <c r="F696" s="22"/>
      <c r="K696" s="23"/>
    </row>
    <row r="697">
      <c r="F697" s="22"/>
      <c r="K697" s="23"/>
    </row>
    <row r="698">
      <c r="F698" s="22"/>
      <c r="K698" s="23"/>
    </row>
    <row r="699">
      <c r="F699" s="22"/>
      <c r="K699" s="23"/>
    </row>
    <row r="700">
      <c r="F700" s="22"/>
      <c r="K700" s="23"/>
    </row>
    <row r="701">
      <c r="F701" s="22"/>
      <c r="K701" s="23"/>
    </row>
    <row r="702">
      <c r="F702" s="22"/>
      <c r="K702" s="23"/>
    </row>
    <row r="703">
      <c r="F703" s="22"/>
      <c r="K703" s="23"/>
    </row>
    <row r="704">
      <c r="F704" s="22"/>
      <c r="K704" s="23"/>
    </row>
    <row r="705">
      <c r="F705" s="22"/>
      <c r="K705" s="23"/>
    </row>
    <row r="706">
      <c r="F706" s="22"/>
      <c r="K706" s="23"/>
    </row>
    <row r="707">
      <c r="F707" s="22"/>
      <c r="K707" s="23"/>
    </row>
    <row r="708">
      <c r="F708" s="22"/>
      <c r="K708" s="23"/>
    </row>
    <row r="709">
      <c r="F709" s="22"/>
      <c r="K709" s="23"/>
    </row>
    <row r="710">
      <c r="F710" s="22"/>
      <c r="K710" s="23"/>
    </row>
    <row r="711">
      <c r="F711" s="22"/>
      <c r="K711" s="23"/>
    </row>
    <row r="712">
      <c r="F712" s="22"/>
      <c r="K712" s="23"/>
    </row>
    <row r="713">
      <c r="F713" s="22"/>
      <c r="K713" s="23"/>
    </row>
    <row r="714">
      <c r="F714" s="22"/>
      <c r="K714" s="23"/>
    </row>
    <row r="715">
      <c r="F715" s="22"/>
      <c r="K715" s="23"/>
    </row>
    <row r="716">
      <c r="F716" s="22"/>
      <c r="K716" s="23"/>
    </row>
    <row r="717">
      <c r="F717" s="22"/>
      <c r="K717" s="23"/>
    </row>
    <row r="718">
      <c r="F718" s="22"/>
      <c r="K718" s="23"/>
    </row>
    <row r="719">
      <c r="F719" s="22"/>
      <c r="K719" s="23"/>
    </row>
    <row r="720">
      <c r="F720" s="22"/>
      <c r="K720" s="23"/>
    </row>
    <row r="721">
      <c r="F721" s="22"/>
      <c r="K721" s="23"/>
    </row>
    <row r="722">
      <c r="F722" s="22"/>
      <c r="K722" s="23"/>
    </row>
    <row r="723">
      <c r="F723" s="22"/>
      <c r="K723" s="23"/>
    </row>
    <row r="724">
      <c r="F724" s="22"/>
      <c r="K724" s="23"/>
    </row>
    <row r="725">
      <c r="F725" s="22"/>
      <c r="K725" s="23"/>
    </row>
    <row r="726">
      <c r="F726" s="22"/>
      <c r="K726" s="23"/>
    </row>
    <row r="727">
      <c r="F727" s="22"/>
      <c r="K727" s="23"/>
    </row>
    <row r="728">
      <c r="F728" s="22"/>
      <c r="K728" s="23"/>
    </row>
    <row r="729">
      <c r="F729" s="22"/>
      <c r="K729" s="23"/>
    </row>
    <row r="730">
      <c r="F730" s="22"/>
      <c r="K730" s="23"/>
    </row>
    <row r="731">
      <c r="F731" s="22"/>
      <c r="K731" s="23"/>
    </row>
    <row r="732">
      <c r="F732" s="22"/>
      <c r="K732" s="23"/>
    </row>
    <row r="733">
      <c r="F733" s="22"/>
      <c r="K733" s="23"/>
    </row>
    <row r="734">
      <c r="F734" s="22"/>
      <c r="K734" s="23"/>
    </row>
    <row r="735">
      <c r="F735" s="22"/>
      <c r="K735" s="23"/>
    </row>
    <row r="736">
      <c r="F736" s="22"/>
      <c r="K736" s="23"/>
    </row>
    <row r="737">
      <c r="F737" s="22"/>
      <c r="K737" s="23"/>
    </row>
    <row r="738">
      <c r="F738" s="22"/>
      <c r="K738" s="23"/>
    </row>
    <row r="739">
      <c r="F739" s="22"/>
      <c r="K739" s="23"/>
    </row>
    <row r="740">
      <c r="F740" s="22"/>
      <c r="K740" s="23"/>
    </row>
    <row r="741">
      <c r="F741" s="22"/>
      <c r="K741" s="23"/>
    </row>
    <row r="742">
      <c r="F742" s="22"/>
      <c r="K742" s="23"/>
    </row>
    <row r="743">
      <c r="F743" s="22"/>
      <c r="K743" s="23"/>
    </row>
    <row r="744">
      <c r="F744" s="22"/>
      <c r="K744" s="23"/>
    </row>
    <row r="745">
      <c r="F745" s="22"/>
      <c r="K745" s="23"/>
    </row>
    <row r="746">
      <c r="F746" s="22"/>
      <c r="K746" s="23"/>
    </row>
    <row r="747">
      <c r="F747" s="22"/>
      <c r="K747" s="23"/>
    </row>
    <row r="748">
      <c r="F748" s="22"/>
      <c r="K748" s="23"/>
    </row>
    <row r="749">
      <c r="F749" s="22"/>
      <c r="K749" s="23"/>
    </row>
    <row r="750">
      <c r="F750" s="22"/>
      <c r="K750" s="23"/>
    </row>
    <row r="751">
      <c r="F751" s="22"/>
      <c r="K751" s="23"/>
    </row>
    <row r="752">
      <c r="F752" s="22"/>
      <c r="K752" s="23"/>
    </row>
    <row r="753">
      <c r="F753" s="22"/>
      <c r="K753" s="23"/>
    </row>
    <row r="754">
      <c r="F754" s="22"/>
      <c r="K754" s="23"/>
    </row>
    <row r="755">
      <c r="F755" s="22"/>
      <c r="K755" s="23"/>
    </row>
    <row r="756">
      <c r="F756" s="22"/>
      <c r="K756" s="23"/>
    </row>
    <row r="757">
      <c r="F757" s="22"/>
      <c r="K757" s="23"/>
    </row>
    <row r="758">
      <c r="F758" s="22"/>
      <c r="K758" s="23"/>
    </row>
    <row r="759">
      <c r="F759" s="22"/>
      <c r="K759" s="23"/>
    </row>
    <row r="760">
      <c r="F760" s="22"/>
      <c r="K760" s="23"/>
    </row>
    <row r="761">
      <c r="F761" s="22"/>
      <c r="K761" s="23"/>
    </row>
    <row r="762">
      <c r="F762" s="22"/>
      <c r="K762" s="23"/>
    </row>
    <row r="763">
      <c r="F763" s="22"/>
      <c r="K763" s="23"/>
    </row>
    <row r="764">
      <c r="F764" s="22"/>
      <c r="K764" s="23"/>
    </row>
    <row r="765">
      <c r="F765" s="22"/>
      <c r="K765" s="23"/>
    </row>
    <row r="766">
      <c r="F766" s="22"/>
      <c r="K766" s="23"/>
    </row>
    <row r="767">
      <c r="F767" s="22"/>
      <c r="K767" s="23"/>
    </row>
    <row r="768">
      <c r="F768" s="22"/>
      <c r="K768" s="23"/>
    </row>
    <row r="769">
      <c r="F769" s="22"/>
      <c r="K769" s="23"/>
    </row>
    <row r="770">
      <c r="F770" s="22"/>
      <c r="K770" s="23"/>
    </row>
    <row r="771">
      <c r="F771" s="22"/>
      <c r="K771" s="23"/>
    </row>
    <row r="772">
      <c r="F772" s="22"/>
      <c r="K772" s="23"/>
    </row>
    <row r="773">
      <c r="F773" s="22"/>
      <c r="K773" s="23"/>
    </row>
    <row r="774">
      <c r="F774" s="22"/>
      <c r="K774" s="23"/>
    </row>
    <row r="775">
      <c r="F775" s="22"/>
      <c r="K775" s="23"/>
    </row>
    <row r="776">
      <c r="F776" s="22"/>
      <c r="K776" s="23"/>
    </row>
    <row r="777">
      <c r="F777" s="22"/>
      <c r="K777" s="23"/>
    </row>
    <row r="778">
      <c r="F778" s="22"/>
      <c r="K778" s="23"/>
    </row>
    <row r="779">
      <c r="F779" s="22"/>
      <c r="K779" s="23"/>
    </row>
    <row r="780">
      <c r="F780" s="22"/>
      <c r="K780" s="23"/>
    </row>
    <row r="781">
      <c r="F781" s="22"/>
      <c r="K781" s="23"/>
    </row>
    <row r="782">
      <c r="F782" s="22"/>
      <c r="K782" s="23"/>
    </row>
    <row r="783">
      <c r="F783" s="22"/>
      <c r="K783" s="23"/>
    </row>
    <row r="784">
      <c r="F784" s="22"/>
      <c r="K784" s="23"/>
    </row>
    <row r="785">
      <c r="F785" s="22"/>
      <c r="K785" s="23"/>
    </row>
    <row r="786">
      <c r="F786" s="22"/>
      <c r="K786" s="23"/>
    </row>
    <row r="787">
      <c r="F787" s="22"/>
      <c r="K787" s="23"/>
    </row>
    <row r="788">
      <c r="F788" s="22"/>
      <c r="K788" s="23"/>
    </row>
    <row r="789">
      <c r="F789" s="22"/>
      <c r="K789" s="23"/>
    </row>
    <row r="790">
      <c r="F790" s="22"/>
      <c r="K790" s="23"/>
    </row>
    <row r="791">
      <c r="F791" s="22"/>
      <c r="K791" s="23"/>
    </row>
    <row r="792">
      <c r="F792" s="22"/>
      <c r="K792" s="23"/>
    </row>
    <row r="793">
      <c r="F793" s="22"/>
      <c r="K793" s="23"/>
    </row>
    <row r="794">
      <c r="F794" s="22"/>
      <c r="K794" s="23"/>
    </row>
    <row r="795">
      <c r="F795" s="22"/>
      <c r="K795" s="23"/>
    </row>
    <row r="796">
      <c r="F796" s="22"/>
      <c r="K796" s="23"/>
    </row>
    <row r="797">
      <c r="F797" s="22"/>
      <c r="K797" s="23"/>
    </row>
    <row r="798">
      <c r="F798" s="22"/>
      <c r="K798" s="23"/>
    </row>
    <row r="799">
      <c r="F799" s="22"/>
      <c r="K799" s="23"/>
    </row>
    <row r="800">
      <c r="F800" s="22"/>
      <c r="K800" s="23"/>
    </row>
    <row r="801">
      <c r="F801" s="22"/>
      <c r="K801" s="23"/>
    </row>
    <row r="802">
      <c r="F802" s="22"/>
      <c r="K802" s="23"/>
    </row>
    <row r="803">
      <c r="F803" s="22"/>
      <c r="K803" s="23"/>
    </row>
    <row r="804">
      <c r="F804" s="22"/>
      <c r="K804" s="23"/>
    </row>
    <row r="805">
      <c r="F805" s="22"/>
      <c r="K805" s="23"/>
    </row>
    <row r="806">
      <c r="F806" s="22"/>
      <c r="K806" s="23"/>
    </row>
    <row r="807">
      <c r="F807" s="22"/>
      <c r="K807" s="23"/>
    </row>
    <row r="808">
      <c r="F808" s="22"/>
      <c r="K808" s="23"/>
    </row>
    <row r="809">
      <c r="F809" s="22"/>
      <c r="K809" s="23"/>
    </row>
    <row r="810">
      <c r="F810" s="22"/>
      <c r="K810" s="23"/>
    </row>
    <row r="811">
      <c r="F811" s="22"/>
      <c r="K811" s="23"/>
    </row>
    <row r="812">
      <c r="F812" s="22"/>
      <c r="K812" s="23"/>
    </row>
    <row r="813">
      <c r="F813" s="22"/>
      <c r="K813" s="23"/>
    </row>
    <row r="814">
      <c r="F814" s="22"/>
      <c r="K814" s="23"/>
    </row>
    <row r="815">
      <c r="F815" s="22"/>
      <c r="K815" s="23"/>
    </row>
    <row r="816">
      <c r="F816" s="22"/>
      <c r="K816" s="23"/>
    </row>
    <row r="817">
      <c r="F817" s="22"/>
      <c r="K817" s="23"/>
    </row>
    <row r="818">
      <c r="F818" s="22"/>
      <c r="K818" s="23"/>
    </row>
    <row r="819">
      <c r="F819" s="22"/>
      <c r="K819" s="23"/>
    </row>
    <row r="820">
      <c r="F820" s="22"/>
      <c r="K820" s="23"/>
    </row>
    <row r="821">
      <c r="F821" s="22"/>
      <c r="K821" s="23"/>
    </row>
    <row r="822">
      <c r="F822" s="22"/>
      <c r="K822" s="23"/>
    </row>
    <row r="823">
      <c r="F823" s="22"/>
      <c r="K823" s="23"/>
    </row>
    <row r="824">
      <c r="F824" s="22"/>
      <c r="K824" s="23"/>
    </row>
    <row r="825">
      <c r="F825" s="22"/>
      <c r="K825" s="23"/>
    </row>
    <row r="826">
      <c r="F826" s="22"/>
      <c r="K826" s="23"/>
    </row>
    <row r="827">
      <c r="F827" s="22"/>
      <c r="K827" s="23"/>
    </row>
    <row r="828">
      <c r="F828" s="22"/>
      <c r="K828" s="23"/>
    </row>
    <row r="829">
      <c r="F829" s="22"/>
      <c r="K829" s="23"/>
    </row>
    <row r="830">
      <c r="F830" s="22"/>
      <c r="K830" s="23"/>
    </row>
    <row r="831">
      <c r="F831" s="22"/>
      <c r="K831" s="23"/>
    </row>
    <row r="832">
      <c r="F832" s="22"/>
      <c r="K832" s="23"/>
    </row>
    <row r="833">
      <c r="F833" s="22"/>
      <c r="K833" s="23"/>
    </row>
    <row r="834">
      <c r="F834" s="22"/>
      <c r="K834" s="23"/>
    </row>
    <row r="835">
      <c r="F835" s="22"/>
      <c r="K835" s="23"/>
    </row>
    <row r="836">
      <c r="F836" s="22"/>
      <c r="K836" s="23"/>
    </row>
    <row r="837">
      <c r="F837" s="22"/>
      <c r="K837" s="23"/>
    </row>
    <row r="838">
      <c r="F838" s="22"/>
      <c r="K838" s="23"/>
    </row>
    <row r="839">
      <c r="F839" s="22"/>
      <c r="K839" s="23"/>
    </row>
    <row r="840">
      <c r="F840" s="22"/>
      <c r="K840" s="23"/>
    </row>
    <row r="841">
      <c r="F841" s="22"/>
      <c r="K841" s="23"/>
    </row>
    <row r="842">
      <c r="F842" s="22"/>
      <c r="K842" s="23"/>
    </row>
    <row r="843">
      <c r="F843" s="22"/>
      <c r="K843" s="23"/>
    </row>
    <row r="844">
      <c r="F844" s="22"/>
      <c r="K844" s="23"/>
    </row>
    <row r="845">
      <c r="F845" s="22"/>
      <c r="K845" s="23"/>
    </row>
    <row r="846">
      <c r="F846" s="22"/>
      <c r="K846" s="23"/>
    </row>
    <row r="847">
      <c r="F847" s="22"/>
      <c r="K847" s="23"/>
    </row>
    <row r="848">
      <c r="F848" s="22"/>
      <c r="K848" s="23"/>
    </row>
    <row r="849">
      <c r="F849" s="22"/>
      <c r="K849" s="23"/>
    </row>
    <row r="850">
      <c r="F850" s="22"/>
      <c r="K850" s="23"/>
    </row>
    <row r="851">
      <c r="F851" s="22"/>
      <c r="K851" s="23"/>
    </row>
    <row r="852">
      <c r="F852" s="22"/>
      <c r="K852" s="23"/>
    </row>
    <row r="853">
      <c r="F853" s="22"/>
      <c r="K853" s="23"/>
    </row>
    <row r="854">
      <c r="F854" s="22"/>
      <c r="K854" s="23"/>
    </row>
    <row r="855">
      <c r="F855" s="22"/>
      <c r="K855" s="23"/>
    </row>
    <row r="856">
      <c r="F856" s="22"/>
      <c r="K856" s="23"/>
    </row>
    <row r="857">
      <c r="F857" s="22"/>
      <c r="K857" s="23"/>
    </row>
    <row r="858">
      <c r="F858" s="22"/>
      <c r="K858" s="23"/>
    </row>
    <row r="859">
      <c r="F859" s="22"/>
      <c r="K859" s="23"/>
    </row>
    <row r="860">
      <c r="F860" s="22"/>
      <c r="K860" s="23"/>
    </row>
    <row r="861">
      <c r="F861" s="22"/>
      <c r="K861" s="23"/>
    </row>
    <row r="862">
      <c r="F862" s="22"/>
      <c r="K862" s="23"/>
    </row>
    <row r="863">
      <c r="F863" s="22"/>
      <c r="K863" s="23"/>
    </row>
    <row r="864">
      <c r="F864" s="22"/>
      <c r="K864" s="23"/>
    </row>
    <row r="865">
      <c r="F865" s="22"/>
      <c r="K865" s="23"/>
    </row>
    <row r="866">
      <c r="F866" s="22"/>
      <c r="K866" s="23"/>
    </row>
    <row r="867">
      <c r="F867" s="22"/>
      <c r="K867" s="23"/>
    </row>
    <row r="868">
      <c r="F868" s="22"/>
      <c r="K868" s="23"/>
    </row>
    <row r="869">
      <c r="F869" s="22"/>
      <c r="K869" s="23"/>
    </row>
    <row r="870">
      <c r="F870" s="22"/>
      <c r="K870" s="23"/>
    </row>
    <row r="871">
      <c r="F871" s="22"/>
      <c r="K871" s="23"/>
    </row>
    <row r="872">
      <c r="F872" s="22"/>
      <c r="K872" s="23"/>
    </row>
    <row r="873">
      <c r="F873" s="22"/>
      <c r="K873" s="23"/>
    </row>
    <row r="874">
      <c r="F874" s="22"/>
      <c r="K874" s="23"/>
    </row>
    <row r="875">
      <c r="F875" s="22"/>
      <c r="K875" s="23"/>
    </row>
    <row r="876">
      <c r="F876" s="22"/>
      <c r="K876" s="23"/>
    </row>
    <row r="877">
      <c r="F877" s="22"/>
      <c r="K877" s="23"/>
    </row>
    <row r="878">
      <c r="F878" s="22"/>
      <c r="K878" s="23"/>
    </row>
    <row r="879">
      <c r="F879" s="22"/>
      <c r="K879" s="23"/>
    </row>
    <row r="880">
      <c r="F880" s="22"/>
      <c r="K880" s="23"/>
    </row>
    <row r="881">
      <c r="F881" s="22"/>
      <c r="K881" s="23"/>
    </row>
    <row r="882">
      <c r="F882" s="22"/>
      <c r="K882" s="23"/>
    </row>
    <row r="883">
      <c r="F883" s="22"/>
      <c r="K883" s="23"/>
    </row>
    <row r="884">
      <c r="F884" s="22"/>
      <c r="K884" s="23"/>
    </row>
    <row r="885">
      <c r="F885" s="22"/>
      <c r="K885" s="23"/>
    </row>
    <row r="886">
      <c r="F886" s="22"/>
      <c r="K886" s="23"/>
    </row>
    <row r="887">
      <c r="F887" s="22"/>
      <c r="K887" s="23"/>
    </row>
    <row r="888">
      <c r="F888" s="22"/>
      <c r="K888" s="23"/>
    </row>
    <row r="889">
      <c r="F889" s="22"/>
      <c r="K889" s="23"/>
    </row>
    <row r="890">
      <c r="F890" s="22"/>
      <c r="K890" s="23"/>
    </row>
    <row r="891">
      <c r="F891" s="22"/>
      <c r="K891" s="23"/>
    </row>
    <row r="892">
      <c r="F892" s="22"/>
      <c r="K892" s="23"/>
    </row>
    <row r="893">
      <c r="F893" s="22"/>
      <c r="K893" s="23"/>
    </row>
    <row r="894">
      <c r="F894" s="22"/>
      <c r="K894" s="23"/>
    </row>
    <row r="895">
      <c r="F895" s="22"/>
      <c r="K895" s="23"/>
    </row>
    <row r="896">
      <c r="F896" s="22"/>
      <c r="K896" s="23"/>
    </row>
    <row r="897">
      <c r="F897" s="22"/>
      <c r="K897" s="23"/>
    </row>
    <row r="898">
      <c r="F898" s="22"/>
      <c r="K898" s="23"/>
    </row>
    <row r="899">
      <c r="F899" s="22"/>
      <c r="K899" s="23"/>
    </row>
    <row r="900">
      <c r="F900" s="22"/>
      <c r="K900" s="23"/>
    </row>
    <row r="901">
      <c r="F901" s="22"/>
      <c r="K901" s="23"/>
    </row>
    <row r="902">
      <c r="F902" s="22"/>
      <c r="K902" s="23"/>
    </row>
    <row r="903">
      <c r="F903" s="22"/>
      <c r="K903" s="23"/>
    </row>
    <row r="904">
      <c r="F904" s="22"/>
      <c r="K904" s="23"/>
    </row>
    <row r="905">
      <c r="F905" s="22"/>
      <c r="K905" s="23"/>
    </row>
    <row r="906">
      <c r="F906" s="22"/>
      <c r="K906" s="23"/>
    </row>
    <row r="907">
      <c r="F907" s="22"/>
      <c r="K907" s="23"/>
    </row>
    <row r="908">
      <c r="F908" s="22"/>
      <c r="K908" s="23"/>
    </row>
    <row r="909">
      <c r="F909" s="22"/>
      <c r="K909" s="23"/>
    </row>
    <row r="910">
      <c r="F910" s="22"/>
      <c r="K910" s="23"/>
    </row>
    <row r="911">
      <c r="F911" s="22"/>
      <c r="K911" s="23"/>
    </row>
    <row r="912">
      <c r="F912" s="22"/>
      <c r="K912" s="23"/>
    </row>
    <row r="913">
      <c r="F913" s="22"/>
      <c r="K913" s="23"/>
    </row>
    <row r="914">
      <c r="F914" s="22"/>
      <c r="K914" s="23"/>
    </row>
    <row r="915">
      <c r="F915" s="22"/>
      <c r="K915" s="23"/>
    </row>
    <row r="916">
      <c r="F916" s="22"/>
      <c r="K916" s="23"/>
    </row>
    <row r="917">
      <c r="F917" s="22"/>
      <c r="K917" s="23"/>
    </row>
    <row r="918">
      <c r="F918" s="22"/>
      <c r="K918" s="23"/>
    </row>
    <row r="919">
      <c r="F919" s="22"/>
      <c r="K919" s="23"/>
    </row>
    <row r="920">
      <c r="F920" s="22"/>
      <c r="K920" s="23"/>
    </row>
    <row r="921">
      <c r="F921" s="22"/>
      <c r="K921" s="23"/>
    </row>
    <row r="922">
      <c r="F922" s="22"/>
      <c r="K922" s="23"/>
    </row>
    <row r="923">
      <c r="F923" s="22"/>
      <c r="K923" s="23"/>
    </row>
    <row r="924">
      <c r="F924" s="22"/>
      <c r="K924" s="23"/>
    </row>
    <row r="925">
      <c r="F925" s="22"/>
      <c r="K925" s="23"/>
    </row>
    <row r="926">
      <c r="F926" s="22"/>
      <c r="K926" s="23"/>
    </row>
    <row r="927">
      <c r="F927" s="22"/>
      <c r="K927" s="23"/>
    </row>
    <row r="928">
      <c r="F928" s="22"/>
      <c r="K928" s="23"/>
    </row>
    <row r="929">
      <c r="F929" s="22"/>
      <c r="K929" s="23"/>
    </row>
    <row r="930">
      <c r="F930" s="22"/>
      <c r="K930" s="23"/>
    </row>
    <row r="931">
      <c r="F931" s="22"/>
      <c r="K931" s="23"/>
    </row>
    <row r="932">
      <c r="F932" s="22"/>
      <c r="K932" s="23"/>
    </row>
    <row r="933">
      <c r="F933" s="22"/>
      <c r="K933" s="23"/>
    </row>
    <row r="934">
      <c r="F934" s="22"/>
      <c r="K934" s="23"/>
    </row>
    <row r="935">
      <c r="F935" s="22"/>
      <c r="K935" s="23"/>
    </row>
    <row r="936">
      <c r="F936" s="22"/>
      <c r="K936" s="23"/>
    </row>
    <row r="937">
      <c r="F937" s="22"/>
      <c r="K937" s="23"/>
    </row>
    <row r="938">
      <c r="F938" s="22"/>
      <c r="K938" s="23"/>
    </row>
    <row r="939">
      <c r="F939" s="22"/>
      <c r="K939" s="23"/>
    </row>
    <row r="940">
      <c r="F940" s="22"/>
      <c r="K940" s="23"/>
    </row>
    <row r="941">
      <c r="F941" s="22"/>
      <c r="K941" s="23"/>
    </row>
    <row r="942">
      <c r="F942" s="22"/>
      <c r="K942" s="23"/>
    </row>
    <row r="943">
      <c r="F943" s="22"/>
      <c r="K943" s="23"/>
    </row>
    <row r="944">
      <c r="F944" s="22"/>
      <c r="K944" s="23"/>
    </row>
    <row r="945">
      <c r="F945" s="22"/>
      <c r="K945" s="23"/>
    </row>
    <row r="946">
      <c r="F946" s="22"/>
      <c r="K946" s="23"/>
    </row>
    <row r="947">
      <c r="F947" s="22"/>
      <c r="K947" s="23"/>
    </row>
    <row r="948">
      <c r="F948" s="22"/>
      <c r="K948" s="23"/>
    </row>
    <row r="949">
      <c r="F949" s="22"/>
      <c r="K949" s="23"/>
    </row>
    <row r="950">
      <c r="F950" s="22"/>
      <c r="K950" s="23"/>
    </row>
    <row r="951">
      <c r="F951" s="22"/>
      <c r="K951" s="23"/>
    </row>
    <row r="952">
      <c r="F952" s="22"/>
      <c r="K952" s="23"/>
    </row>
    <row r="953">
      <c r="F953" s="22"/>
      <c r="K953" s="23"/>
    </row>
    <row r="954">
      <c r="F954" s="22"/>
      <c r="K954" s="23"/>
    </row>
    <row r="955">
      <c r="F955" s="22"/>
      <c r="K955" s="23"/>
    </row>
    <row r="956">
      <c r="F956" s="22"/>
      <c r="K956" s="23"/>
    </row>
    <row r="957">
      <c r="F957" s="22"/>
      <c r="K957" s="23"/>
    </row>
    <row r="958">
      <c r="F958" s="22"/>
      <c r="K958" s="23"/>
    </row>
    <row r="959">
      <c r="F959" s="22"/>
      <c r="K959" s="23"/>
    </row>
    <row r="960">
      <c r="F960" s="22"/>
      <c r="K960" s="23"/>
    </row>
    <row r="961">
      <c r="F961" s="22"/>
      <c r="K961" s="23"/>
    </row>
    <row r="962">
      <c r="F962" s="22"/>
      <c r="K962" s="23"/>
    </row>
    <row r="963">
      <c r="F963" s="22"/>
      <c r="K963" s="23"/>
    </row>
    <row r="964">
      <c r="F964" s="22"/>
      <c r="K964" s="23"/>
    </row>
    <row r="965">
      <c r="F965" s="22"/>
      <c r="K965" s="23"/>
    </row>
    <row r="966">
      <c r="F966" s="22"/>
      <c r="K966" s="23"/>
    </row>
    <row r="967">
      <c r="F967" s="22"/>
      <c r="K967" s="23"/>
    </row>
    <row r="968">
      <c r="F968" s="22"/>
      <c r="K968" s="23"/>
    </row>
    <row r="969">
      <c r="F969" s="22"/>
      <c r="K969" s="23"/>
    </row>
    <row r="970">
      <c r="F970" s="22"/>
      <c r="K970" s="23"/>
    </row>
    <row r="971">
      <c r="F971" s="22"/>
      <c r="K971" s="23"/>
    </row>
    <row r="972">
      <c r="F972" s="22"/>
      <c r="K972" s="23"/>
    </row>
    <row r="973">
      <c r="F973" s="22"/>
      <c r="K973" s="23"/>
    </row>
    <row r="974">
      <c r="F974" s="22"/>
      <c r="K974" s="23"/>
    </row>
    <row r="975">
      <c r="F975" s="22"/>
      <c r="K975" s="23"/>
    </row>
    <row r="976">
      <c r="F976" s="22"/>
      <c r="K976" s="23"/>
    </row>
    <row r="977">
      <c r="F977" s="22"/>
      <c r="K977" s="23"/>
    </row>
    <row r="978">
      <c r="F978" s="22"/>
      <c r="K978" s="23"/>
    </row>
    <row r="979">
      <c r="F979" s="22"/>
      <c r="K979" s="23"/>
    </row>
    <row r="980">
      <c r="F980" s="22"/>
      <c r="K980" s="23"/>
    </row>
    <row r="981">
      <c r="F981" s="22"/>
      <c r="K981" s="23"/>
    </row>
    <row r="982">
      <c r="F982" s="22"/>
      <c r="K982" s="23"/>
    </row>
  </sheetData>
  <mergeCells count="28">
    <mergeCell ref="A1:C1"/>
    <mergeCell ref="A2:B2"/>
    <mergeCell ref="A10:C10"/>
    <mergeCell ref="A11:B11"/>
    <mergeCell ref="A19:C19"/>
    <mergeCell ref="A20:B20"/>
    <mergeCell ref="A28:C28"/>
    <mergeCell ref="A29:B29"/>
    <mergeCell ref="A37:C37"/>
    <mergeCell ref="A38:B38"/>
    <mergeCell ref="A46:C46"/>
    <mergeCell ref="A47:B47"/>
    <mergeCell ref="A55:C55"/>
    <mergeCell ref="A56:B56"/>
    <mergeCell ref="A92:B92"/>
    <mergeCell ref="A100:C100"/>
    <mergeCell ref="A101:B101"/>
    <mergeCell ref="A109:C109"/>
    <mergeCell ref="A110:B110"/>
    <mergeCell ref="A118:C118"/>
    <mergeCell ref="A119:B119"/>
    <mergeCell ref="A64:C64"/>
    <mergeCell ref="A65:B65"/>
    <mergeCell ref="A73:C73"/>
    <mergeCell ref="A74:B74"/>
    <mergeCell ref="A82:C82"/>
    <mergeCell ref="A83:B83"/>
    <mergeCell ref="A91:C91"/>
  </mergeCells>
  <conditionalFormatting sqref="E1:E982">
    <cfRule type="containsText" dxfId="6" priority="1" operator="containsText" text="RESOLVED">
      <formula>NOT(ISERROR(SEARCH(("RESOLVED"),(E1))))</formula>
    </cfRule>
  </conditionalFormatting>
  <conditionalFormatting sqref="K6">
    <cfRule type="notContainsBlanks" dxfId="6" priority="2">
      <formula>LEN(TRIM(K6))&gt;0</formula>
    </cfRule>
  </conditionalFormatting>
  <conditionalFormatting sqref="E1:E982">
    <cfRule type="containsText" dxfId="7" priority="3" operator="containsText" text="ON GOING ISSUE">
      <formula>NOT(ISERROR(SEARCH(("ON GOING ISSUE"),(E1))))</formula>
    </cfRule>
  </conditionalFormatting>
  <printOptions gridLines="1" horizontalCentered="1"/>
  <pageMargins bottom="0.75" footer="0.0" header="0.0" left="0.7" right="0.7" top="0.75"/>
  <pageSetup fitToHeight="0" paperSize="5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3" max="3" width="8.71"/>
    <col customWidth="1" min="4" max="4" width="13.14"/>
    <col customWidth="1" min="5" max="5" width="10.86"/>
    <col customWidth="1" min="11" max="11" width="10.0"/>
    <col customWidth="1" min="13" max="13" width="20.14"/>
  </cols>
  <sheetData>
    <row r="1">
      <c r="A1" s="33" t="s">
        <v>79</v>
      </c>
      <c r="B1" s="34" t="s">
        <v>80</v>
      </c>
      <c r="C1" s="34" t="s">
        <v>81</v>
      </c>
      <c r="D1" s="34" t="s">
        <v>82</v>
      </c>
      <c r="E1" s="34" t="s">
        <v>83</v>
      </c>
      <c r="F1" s="35" t="s">
        <v>84</v>
      </c>
      <c r="G1" s="36" t="s">
        <v>85</v>
      </c>
      <c r="H1" s="36" t="s">
        <v>86</v>
      </c>
      <c r="I1" s="37" t="s">
        <v>87</v>
      </c>
      <c r="J1" s="38" t="s">
        <v>88</v>
      </c>
      <c r="K1" s="39" t="s">
        <v>89</v>
      </c>
      <c r="L1" s="39" t="s">
        <v>90</v>
      </c>
      <c r="M1" s="38" t="s">
        <v>91</v>
      </c>
      <c r="N1" s="39" t="s">
        <v>54</v>
      </c>
    </row>
    <row r="2">
      <c r="A2" s="40">
        <v>44074.0</v>
      </c>
      <c r="B2" s="41" t="s">
        <v>92</v>
      </c>
      <c r="C2" s="42" t="str">
        <f>VLOOKUP(A2,Table!A:B,2,false)</f>
        <v>P1 W1</v>
      </c>
      <c r="D2" s="42" t="str">
        <f>VLOOKUP(A2,Table!A:D,4,false)</f>
        <v>Period 1</v>
      </c>
      <c r="E2" s="41" t="s">
        <v>93</v>
      </c>
      <c r="F2" s="43">
        <v>0.9166666666666666</v>
      </c>
      <c r="G2" s="44">
        <v>0.16666666666666666</v>
      </c>
      <c r="H2" s="44">
        <v>0.28402777777777777</v>
      </c>
      <c r="I2" s="44">
        <v>0.28055555555555556</v>
      </c>
      <c r="J2" s="45">
        <f t="shared" ref="J2:J365" si="1">IF(I2 &gt; 0,(I2-F2+(I2&lt;F2))*24*60)</f>
        <v>524</v>
      </c>
      <c r="L2" s="41" t="s">
        <v>94</v>
      </c>
      <c r="M2" s="46" t="s">
        <v>95</v>
      </c>
      <c r="N2" s="46" t="s">
        <v>63</v>
      </c>
    </row>
    <row r="3">
      <c r="A3" s="40">
        <v>44075.0</v>
      </c>
      <c r="B3" s="41" t="s">
        <v>94</v>
      </c>
      <c r="C3" s="42" t="str">
        <f>VLOOKUP(A3,Table!A:B,2,false)</f>
        <v>P1 W1</v>
      </c>
      <c r="D3" s="42" t="str">
        <f>VLOOKUP(A3,Table!A:D,4,false)</f>
        <v>Period 1</v>
      </c>
      <c r="E3" s="41" t="s">
        <v>93</v>
      </c>
      <c r="F3" s="43">
        <v>0.9166666666666666</v>
      </c>
      <c r="G3" s="44">
        <v>0.13472222222222222</v>
      </c>
      <c r="H3" s="44">
        <v>0.15486111111111112</v>
      </c>
      <c r="I3" s="44">
        <v>0.25277777777777777</v>
      </c>
      <c r="J3" s="45">
        <f t="shared" si="1"/>
        <v>484</v>
      </c>
      <c r="L3" s="41" t="s">
        <v>96</v>
      </c>
    </row>
    <row r="4">
      <c r="A4" s="40">
        <v>44076.0</v>
      </c>
      <c r="B4" s="41" t="s">
        <v>96</v>
      </c>
      <c r="C4" s="42" t="str">
        <f>VLOOKUP(A4,Table!A:B,2,false)</f>
        <v>P1 W1</v>
      </c>
      <c r="D4" s="42" t="str">
        <f>VLOOKUP(A4,Table!A:D,4,false)</f>
        <v>Period 1</v>
      </c>
      <c r="E4" s="41" t="s">
        <v>93</v>
      </c>
      <c r="F4" s="43">
        <v>0.9166666666666666</v>
      </c>
      <c r="G4" s="44">
        <v>0.11041666666666666</v>
      </c>
      <c r="H4" s="44">
        <v>0.1284722222222222</v>
      </c>
      <c r="I4" s="44">
        <v>0.2659722222222222</v>
      </c>
      <c r="J4" s="45">
        <f t="shared" si="1"/>
        <v>503</v>
      </c>
      <c r="L4" s="41" t="s">
        <v>97</v>
      </c>
    </row>
    <row r="5">
      <c r="A5" s="40">
        <v>44077.0</v>
      </c>
      <c r="B5" s="41" t="s">
        <v>97</v>
      </c>
      <c r="C5" s="42" t="str">
        <f>VLOOKUP(A5,Table!A:B,2,false)</f>
        <v>P1 W1</v>
      </c>
      <c r="D5" s="42" t="str">
        <f>VLOOKUP(A5,Table!A:D,4,false)</f>
        <v>Period 1</v>
      </c>
      <c r="E5" s="41" t="s">
        <v>93</v>
      </c>
      <c r="F5" s="43">
        <v>0.9166666666666666</v>
      </c>
      <c r="G5" s="44">
        <v>0.11944444444444445</v>
      </c>
      <c r="H5" s="44">
        <v>0.13819444444444445</v>
      </c>
      <c r="I5" s="44">
        <v>0.23541666666666666</v>
      </c>
      <c r="J5" s="45">
        <f t="shared" si="1"/>
        <v>459</v>
      </c>
      <c r="L5" s="41" t="s">
        <v>98</v>
      </c>
    </row>
    <row r="6">
      <c r="A6" s="40">
        <v>44078.0</v>
      </c>
      <c r="B6" s="41" t="s">
        <v>98</v>
      </c>
      <c r="C6" s="42" t="str">
        <f>VLOOKUP(A6,Table!A:B,2,false)</f>
        <v>P1 W1</v>
      </c>
      <c r="D6" s="42" t="str">
        <f>VLOOKUP(A6,Table!A:D,4,false)</f>
        <v>Period 1</v>
      </c>
      <c r="E6" s="41" t="s">
        <v>93</v>
      </c>
      <c r="F6" s="43">
        <v>0.9166666666666666</v>
      </c>
      <c r="G6" s="44">
        <v>0.11388888888888889</v>
      </c>
      <c r="H6" s="44">
        <v>0.13194444444444445</v>
      </c>
      <c r="I6" s="44">
        <v>0.21805555555555556</v>
      </c>
      <c r="J6" s="45">
        <f t="shared" si="1"/>
        <v>434</v>
      </c>
      <c r="L6" s="41" t="s">
        <v>99</v>
      </c>
    </row>
    <row r="7">
      <c r="A7" s="40">
        <v>44079.0</v>
      </c>
      <c r="B7" s="41" t="s">
        <v>99</v>
      </c>
      <c r="C7" s="42" t="str">
        <f>VLOOKUP(A7,Table!A:B,2,false)</f>
        <v>P1 W1</v>
      </c>
      <c r="D7" s="42" t="str">
        <f>VLOOKUP(A7,Table!A:D,4,false)</f>
        <v>Period 1</v>
      </c>
      <c r="E7" s="41" t="s">
        <v>93</v>
      </c>
      <c r="F7" s="43">
        <v>0.9166666666666666</v>
      </c>
      <c r="G7" s="44">
        <v>0.11388888888888889</v>
      </c>
      <c r="H7" s="44">
        <v>0.12708333333333333</v>
      </c>
      <c r="I7" s="44">
        <v>0.22847222222222222</v>
      </c>
      <c r="J7" s="45">
        <f t="shared" si="1"/>
        <v>449</v>
      </c>
      <c r="L7" s="41" t="s">
        <v>100</v>
      </c>
    </row>
    <row r="8">
      <c r="A8" s="40">
        <v>44080.0</v>
      </c>
      <c r="B8" s="41" t="s">
        <v>100</v>
      </c>
      <c r="C8" s="42" t="str">
        <f>VLOOKUP(A8,Table!A:B,2,false)</f>
        <v>P1 W1</v>
      </c>
      <c r="D8" s="42" t="str">
        <f>VLOOKUP(A8,Table!A:D,4,false)</f>
        <v>Period 1</v>
      </c>
      <c r="E8" s="41" t="s">
        <v>93</v>
      </c>
      <c r="F8" s="43">
        <v>0.9166666666666666</v>
      </c>
      <c r="G8" s="44">
        <v>0.14305555555555555</v>
      </c>
      <c r="H8" s="44">
        <v>0.15763888888888888</v>
      </c>
      <c r="I8" s="44">
        <v>0.2423611111111111</v>
      </c>
      <c r="J8" s="45">
        <f t="shared" si="1"/>
        <v>469</v>
      </c>
      <c r="L8" s="41" t="s">
        <v>92</v>
      </c>
    </row>
    <row r="9">
      <c r="A9" s="40">
        <v>44081.0</v>
      </c>
      <c r="B9" s="41" t="s">
        <v>92</v>
      </c>
      <c r="C9" s="42" t="str">
        <f>VLOOKUP(A9,Table!A:B,2,false)</f>
        <v>P1 W2</v>
      </c>
      <c r="D9" s="42" t="str">
        <f>VLOOKUP(A9,Table!A:D,4,false)</f>
        <v>Period 1</v>
      </c>
      <c r="E9" s="41" t="s">
        <v>101</v>
      </c>
      <c r="F9" s="43">
        <v>0.9166666666666666</v>
      </c>
      <c r="G9" s="44">
        <v>0.08958333333333333</v>
      </c>
      <c r="H9" s="44">
        <v>0.10694444444444444</v>
      </c>
      <c r="I9" s="44">
        <v>0.1986111111111111</v>
      </c>
      <c r="J9" s="45">
        <f t="shared" si="1"/>
        <v>406</v>
      </c>
      <c r="L9" s="41" t="s">
        <v>94</v>
      </c>
    </row>
    <row r="10">
      <c r="A10" s="40">
        <v>44082.0</v>
      </c>
      <c r="B10" s="41" t="s">
        <v>94</v>
      </c>
      <c r="C10" s="42" t="str">
        <f>VLOOKUP(A10,Table!A:B,2,false)</f>
        <v>P1 W2</v>
      </c>
      <c r="D10" s="42" t="str">
        <f>VLOOKUP(A10,Table!A:D,4,false)</f>
        <v>Period 1</v>
      </c>
      <c r="E10" s="41" t="s">
        <v>101</v>
      </c>
      <c r="F10" s="43">
        <v>0.9166666666666666</v>
      </c>
      <c r="G10" s="44">
        <v>0.1486111111111111</v>
      </c>
      <c r="H10" s="44">
        <v>0.1673611111111111</v>
      </c>
      <c r="I10" s="44">
        <v>0.26666666666666666</v>
      </c>
      <c r="J10" s="45">
        <f t="shared" si="1"/>
        <v>504</v>
      </c>
      <c r="L10" s="41" t="s">
        <v>96</v>
      </c>
    </row>
    <row r="11">
      <c r="A11" s="40">
        <v>44083.0</v>
      </c>
      <c r="B11" s="41" t="s">
        <v>96</v>
      </c>
      <c r="C11" s="42" t="str">
        <f>VLOOKUP(A11,Table!A:B,2,false)</f>
        <v>P1 W2</v>
      </c>
      <c r="D11" s="42" t="str">
        <f>VLOOKUP(A11,Table!A:D,4,false)</f>
        <v>Period 1</v>
      </c>
      <c r="E11" s="41" t="s">
        <v>101</v>
      </c>
      <c r="F11" s="43">
        <v>0.9166666666666666</v>
      </c>
      <c r="G11" s="44">
        <v>0.13333333333333333</v>
      </c>
      <c r="H11" s="44">
        <v>0.15486111111111112</v>
      </c>
      <c r="I11" s="44">
        <v>0.4041666666666667</v>
      </c>
      <c r="J11" s="45">
        <f t="shared" si="1"/>
        <v>702</v>
      </c>
      <c r="L11" s="41" t="s">
        <v>97</v>
      </c>
      <c r="M11" s="46" t="s">
        <v>102</v>
      </c>
      <c r="N11" s="46" t="s">
        <v>57</v>
      </c>
    </row>
    <row r="12">
      <c r="A12" s="40">
        <v>44084.0</v>
      </c>
      <c r="B12" s="41" t="s">
        <v>97</v>
      </c>
      <c r="C12" s="42" t="str">
        <f>VLOOKUP(A12,Table!A:B,2,false)</f>
        <v>P1 W2</v>
      </c>
      <c r="D12" s="42" t="str">
        <f>VLOOKUP(A12,Table!A:D,4,false)</f>
        <v>Period 1</v>
      </c>
      <c r="E12" s="41" t="s">
        <v>101</v>
      </c>
      <c r="F12" s="43">
        <v>0.9166666666666666</v>
      </c>
      <c r="G12" s="44">
        <v>0.13194444444444445</v>
      </c>
      <c r="H12" s="44">
        <v>0.25555555555555554</v>
      </c>
      <c r="I12" s="44">
        <v>0.5763888888888888</v>
      </c>
      <c r="J12" s="45">
        <f t="shared" si="1"/>
        <v>950</v>
      </c>
      <c r="L12" s="41" t="s">
        <v>98</v>
      </c>
      <c r="M12" s="47" t="s">
        <v>103</v>
      </c>
      <c r="N12" s="46" t="s">
        <v>57</v>
      </c>
    </row>
    <row r="13">
      <c r="A13" s="40">
        <v>44085.0</v>
      </c>
      <c r="B13" s="41" t="s">
        <v>98</v>
      </c>
      <c r="C13" s="42" t="str">
        <f>VLOOKUP(A13,Table!A:B,2,false)</f>
        <v>P1 W2</v>
      </c>
      <c r="D13" s="42" t="str">
        <f>VLOOKUP(A13,Table!A:D,4,false)</f>
        <v>Period 1</v>
      </c>
      <c r="E13" s="41" t="s">
        <v>101</v>
      </c>
      <c r="F13" s="43">
        <v>0.9166666666666666</v>
      </c>
      <c r="G13" s="44">
        <v>0.11875</v>
      </c>
      <c r="H13" s="44">
        <v>0.13819444444444445</v>
      </c>
      <c r="I13" s="44">
        <v>0.75</v>
      </c>
      <c r="J13" s="45">
        <f t="shared" si="1"/>
        <v>1200</v>
      </c>
      <c r="L13" s="41" t="s">
        <v>99</v>
      </c>
      <c r="M13" s="46" t="s">
        <v>104</v>
      </c>
      <c r="N13" s="46" t="s">
        <v>65</v>
      </c>
    </row>
    <row r="14">
      <c r="A14" s="40">
        <v>44086.0</v>
      </c>
      <c r="B14" s="41" t="s">
        <v>99</v>
      </c>
      <c r="C14" s="42" t="str">
        <f>VLOOKUP(A14,Table!A:B,2,false)</f>
        <v>P1 W2</v>
      </c>
      <c r="D14" s="42" t="str">
        <f>VLOOKUP(A14,Table!A:D,4,false)</f>
        <v>Period 1</v>
      </c>
      <c r="E14" s="41" t="s">
        <v>101</v>
      </c>
      <c r="F14" s="43">
        <v>0.9166666666666666</v>
      </c>
      <c r="G14" s="44">
        <v>0.11666666666666667</v>
      </c>
      <c r="H14" s="44">
        <v>0.13333333333333333</v>
      </c>
      <c r="I14" s="44">
        <v>0.22777777777777777</v>
      </c>
      <c r="J14" s="45">
        <f t="shared" si="1"/>
        <v>448</v>
      </c>
      <c r="L14" s="41" t="s">
        <v>100</v>
      </c>
    </row>
    <row r="15">
      <c r="A15" s="40">
        <v>44087.0</v>
      </c>
      <c r="B15" s="41" t="s">
        <v>100</v>
      </c>
      <c r="C15" s="42" t="str">
        <f>VLOOKUP(A15,Table!A:B,2,false)</f>
        <v>P1 W2</v>
      </c>
      <c r="D15" s="42" t="str">
        <f>VLOOKUP(A15,Table!A:D,4,false)</f>
        <v>Period 1</v>
      </c>
      <c r="E15" s="41" t="s">
        <v>101</v>
      </c>
      <c r="F15" s="43">
        <v>0.9166666666666666</v>
      </c>
      <c r="G15" s="44">
        <v>0.17222222222222222</v>
      </c>
      <c r="H15" s="44">
        <v>0.20833333333333334</v>
      </c>
      <c r="I15" s="44">
        <v>0.26319444444444445</v>
      </c>
      <c r="J15" s="45">
        <f t="shared" si="1"/>
        <v>499</v>
      </c>
      <c r="L15" s="41" t="s">
        <v>92</v>
      </c>
      <c r="M15" s="46" t="s">
        <v>105</v>
      </c>
      <c r="N15" s="46" t="s">
        <v>60</v>
      </c>
    </row>
    <row r="16">
      <c r="A16" s="40">
        <v>44088.0</v>
      </c>
      <c r="B16" s="41" t="s">
        <v>92</v>
      </c>
      <c r="C16" s="42" t="str">
        <f>VLOOKUP(A16,Table!A:B,2,false)</f>
        <v>P1 W3</v>
      </c>
      <c r="D16" s="42" t="str">
        <f>VLOOKUP(A16,Table!A:D,4,false)</f>
        <v>Period 1</v>
      </c>
      <c r="E16" s="41" t="s">
        <v>106</v>
      </c>
      <c r="F16" s="43">
        <v>0.9166666666666666</v>
      </c>
      <c r="G16" s="48">
        <v>0.17430555555555555</v>
      </c>
      <c r="H16" s="48">
        <v>0.21041666666666667</v>
      </c>
      <c r="I16" s="48">
        <v>0.2520833333333333</v>
      </c>
      <c r="J16" s="45">
        <f t="shared" si="1"/>
        <v>483</v>
      </c>
      <c r="L16" s="41" t="s">
        <v>94</v>
      </c>
      <c r="M16" s="46" t="s">
        <v>107</v>
      </c>
      <c r="N16" s="46" t="s">
        <v>58</v>
      </c>
    </row>
    <row r="17">
      <c r="A17" s="40">
        <v>44089.0</v>
      </c>
      <c r="B17" s="41" t="s">
        <v>94</v>
      </c>
      <c r="C17" s="42" t="str">
        <f>VLOOKUP(A17,Table!A:B,2,false)</f>
        <v>P1 W3</v>
      </c>
      <c r="D17" s="42" t="str">
        <f>VLOOKUP(A17,Table!A:D,4,false)</f>
        <v>Period 1</v>
      </c>
      <c r="E17" s="41" t="s">
        <v>106</v>
      </c>
      <c r="F17" s="43">
        <v>0.9166666666666666</v>
      </c>
      <c r="G17" s="48">
        <v>0.12222222222222222</v>
      </c>
      <c r="H17" s="48">
        <v>0.14305555555555555</v>
      </c>
      <c r="I17" s="48">
        <v>0.23541666666666666</v>
      </c>
      <c r="J17" s="45">
        <f t="shared" si="1"/>
        <v>459</v>
      </c>
      <c r="L17" s="41" t="s">
        <v>96</v>
      </c>
    </row>
    <row r="18">
      <c r="A18" s="40">
        <v>44090.0</v>
      </c>
      <c r="B18" s="41" t="s">
        <v>96</v>
      </c>
      <c r="C18" s="42" t="str">
        <f>VLOOKUP(A18,Table!A:B,2,false)</f>
        <v>P1 W3</v>
      </c>
      <c r="D18" s="42" t="str">
        <f>VLOOKUP(A18,Table!A:D,4,false)</f>
        <v>Period 1</v>
      </c>
      <c r="E18" s="41" t="s">
        <v>106</v>
      </c>
      <c r="F18" s="43">
        <v>0.9166666666666666</v>
      </c>
      <c r="G18" s="48">
        <v>0.12222222222222222</v>
      </c>
      <c r="H18" s="48">
        <v>0.14375</v>
      </c>
      <c r="I18" s="48">
        <v>0.24583333333333332</v>
      </c>
      <c r="J18" s="45">
        <f t="shared" si="1"/>
        <v>474</v>
      </c>
      <c r="L18" s="41" t="s">
        <v>97</v>
      </c>
    </row>
    <row r="19">
      <c r="A19" s="40">
        <v>44091.0</v>
      </c>
      <c r="B19" s="41" t="s">
        <v>97</v>
      </c>
      <c r="C19" s="42" t="str">
        <f>VLOOKUP(A19,Table!A:B,2,false)</f>
        <v>P1 W3</v>
      </c>
      <c r="D19" s="42" t="str">
        <f>VLOOKUP(A19,Table!A:D,4,false)</f>
        <v>Period 1</v>
      </c>
      <c r="E19" s="41" t="s">
        <v>106</v>
      </c>
      <c r="F19" s="43">
        <v>0.9166666666666666</v>
      </c>
      <c r="G19" s="48">
        <v>0.11458333333333333</v>
      </c>
      <c r="H19" s="48">
        <v>0.13125</v>
      </c>
      <c r="I19" s="48">
        <v>0.27708333333333335</v>
      </c>
      <c r="J19" s="45">
        <f t="shared" si="1"/>
        <v>519</v>
      </c>
      <c r="L19" s="41" t="s">
        <v>98</v>
      </c>
      <c r="M19" s="47" t="s">
        <v>108</v>
      </c>
      <c r="N19" s="46" t="s">
        <v>23</v>
      </c>
    </row>
    <row r="20">
      <c r="A20" s="40">
        <v>44092.0</v>
      </c>
      <c r="B20" s="41" t="s">
        <v>98</v>
      </c>
      <c r="C20" s="42" t="str">
        <f>VLOOKUP(A20,Table!A:B,2,false)</f>
        <v>P1 W3</v>
      </c>
      <c r="D20" s="42" t="str">
        <f>VLOOKUP(A20,Table!A:D,4,false)</f>
        <v>Period 1</v>
      </c>
      <c r="E20" s="41" t="s">
        <v>106</v>
      </c>
      <c r="F20" s="43">
        <v>0.9166666666666666</v>
      </c>
      <c r="G20" s="48">
        <v>0.12638888888888888</v>
      </c>
      <c r="H20" s="48">
        <v>0.1451388888888889</v>
      </c>
      <c r="I20" s="48">
        <v>0.24722222222222223</v>
      </c>
      <c r="J20" s="45">
        <f t="shared" si="1"/>
        <v>476</v>
      </c>
      <c r="L20" s="41" t="s">
        <v>99</v>
      </c>
    </row>
    <row r="21">
      <c r="A21" s="40">
        <v>44093.0</v>
      </c>
      <c r="B21" s="41" t="s">
        <v>99</v>
      </c>
      <c r="C21" s="42" t="str">
        <f>VLOOKUP(A21,Table!A:B,2,false)</f>
        <v>P1 W3</v>
      </c>
      <c r="D21" s="42" t="str">
        <f>VLOOKUP(A21,Table!A:D,4,false)</f>
        <v>Period 1</v>
      </c>
      <c r="E21" s="41" t="s">
        <v>106</v>
      </c>
      <c r="F21" s="43">
        <v>0.9166666666666666</v>
      </c>
      <c r="G21" s="48">
        <v>0.11458333333333333</v>
      </c>
      <c r="H21" s="48">
        <v>0.21319444444444444</v>
      </c>
      <c r="I21" s="48">
        <v>0.3506944444444444</v>
      </c>
      <c r="J21" s="45">
        <f t="shared" si="1"/>
        <v>625</v>
      </c>
      <c r="L21" s="41" t="s">
        <v>100</v>
      </c>
      <c r="M21" s="46" t="s">
        <v>109</v>
      </c>
      <c r="N21" s="46" t="s">
        <v>59</v>
      </c>
    </row>
    <row r="22">
      <c r="A22" s="40">
        <v>44094.0</v>
      </c>
      <c r="B22" s="41" t="s">
        <v>100</v>
      </c>
      <c r="C22" s="42" t="str">
        <f>VLOOKUP(A22,Table!A:B,2,false)</f>
        <v>P1 W3</v>
      </c>
      <c r="D22" s="42" t="str">
        <f>VLOOKUP(A22,Table!A:D,4,false)</f>
        <v>Period 1</v>
      </c>
      <c r="E22" s="41" t="s">
        <v>106</v>
      </c>
      <c r="F22" s="43">
        <v>0.9166666666666666</v>
      </c>
      <c r="G22" s="48">
        <v>0.15625</v>
      </c>
      <c r="H22" s="48">
        <v>0.19236111111111112</v>
      </c>
      <c r="I22" s="48">
        <v>0.25</v>
      </c>
      <c r="J22" s="45">
        <f t="shared" si="1"/>
        <v>480</v>
      </c>
      <c r="L22" s="41" t="s">
        <v>92</v>
      </c>
    </row>
    <row r="23">
      <c r="A23" s="40">
        <v>44095.0</v>
      </c>
      <c r="B23" s="41" t="s">
        <v>92</v>
      </c>
      <c r="C23" s="42" t="str">
        <f>VLOOKUP(A23,Table!A:B,2,false)</f>
        <v>P1 W4</v>
      </c>
      <c r="D23" s="42" t="str">
        <f>VLOOKUP(A23,Table!A:D,4,false)</f>
        <v>Period 1</v>
      </c>
      <c r="E23" s="41" t="s">
        <v>110</v>
      </c>
      <c r="F23" s="43">
        <v>0.9166666666666666</v>
      </c>
      <c r="G23" s="48">
        <v>0.15</v>
      </c>
      <c r="H23" s="48">
        <v>0.18611111111111112</v>
      </c>
      <c r="I23" s="48">
        <v>0.23402777777777778</v>
      </c>
      <c r="J23" s="45">
        <f t="shared" si="1"/>
        <v>457</v>
      </c>
      <c r="L23" s="41" t="s">
        <v>94</v>
      </c>
    </row>
    <row r="24">
      <c r="A24" s="40">
        <v>44096.0</v>
      </c>
      <c r="B24" s="41" t="s">
        <v>94</v>
      </c>
      <c r="C24" s="42" t="str">
        <f>VLOOKUP(A24,Table!A:B,2,false)</f>
        <v>P1 W4</v>
      </c>
      <c r="D24" s="42" t="str">
        <f>VLOOKUP(A24,Table!A:D,4,false)</f>
        <v>Period 1</v>
      </c>
      <c r="E24" s="41" t="s">
        <v>110</v>
      </c>
      <c r="F24" s="43">
        <v>0.9166666666666666</v>
      </c>
      <c r="G24" s="48">
        <v>0.1284722222222222</v>
      </c>
      <c r="H24" s="48">
        <v>0.16458333333333333</v>
      </c>
      <c r="I24" s="48">
        <v>0.2743055555555556</v>
      </c>
      <c r="J24" s="45">
        <f t="shared" si="1"/>
        <v>515</v>
      </c>
      <c r="L24" s="41" t="s">
        <v>96</v>
      </c>
      <c r="M24" s="49" t="s">
        <v>111</v>
      </c>
      <c r="N24" s="46" t="s">
        <v>23</v>
      </c>
    </row>
    <row r="25">
      <c r="A25" s="40">
        <v>44097.0</v>
      </c>
      <c r="B25" s="41" t="s">
        <v>96</v>
      </c>
      <c r="C25" s="42" t="str">
        <f>VLOOKUP(A25,Table!A:B,2,false)</f>
        <v>P1 W4</v>
      </c>
      <c r="D25" s="42" t="str">
        <f>VLOOKUP(A25,Table!A:D,4,false)</f>
        <v>Period 1</v>
      </c>
      <c r="E25" s="41" t="s">
        <v>110</v>
      </c>
      <c r="F25" s="43">
        <v>0.9166666666666666</v>
      </c>
      <c r="G25" s="44">
        <v>0.15208333333333332</v>
      </c>
      <c r="H25" s="44">
        <v>0.18819444444444444</v>
      </c>
      <c r="I25" s="48">
        <v>0.2763888888888889</v>
      </c>
      <c r="J25" s="45">
        <f t="shared" si="1"/>
        <v>518</v>
      </c>
      <c r="L25" s="41" t="s">
        <v>97</v>
      </c>
    </row>
    <row r="26">
      <c r="A26" s="40">
        <v>44098.0</v>
      </c>
      <c r="B26" s="41" t="s">
        <v>97</v>
      </c>
      <c r="C26" s="42" t="str">
        <f>VLOOKUP(A26,Table!A:B,2,false)</f>
        <v>P1 W4</v>
      </c>
      <c r="D26" s="42" t="str">
        <f>VLOOKUP(A26,Table!A:D,4,false)</f>
        <v>Period 1</v>
      </c>
      <c r="E26" s="41" t="s">
        <v>110</v>
      </c>
      <c r="F26" s="43">
        <v>0.9166666666666666</v>
      </c>
      <c r="G26" s="44">
        <v>0.11666666666666667</v>
      </c>
      <c r="H26" s="44">
        <v>0.20347222222222222</v>
      </c>
      <c r="I26" s="48">
        <v>0.2708333333333333</v>
      </c>
      <c r="J26" s="45">
        <f t="shared" si="1"/>
        <v>510</v>
      </c>
      <c r="K26" s="46" t="s">
        <v>112</v>
      </c>
      <c r="L26" s="41" t="s">
        <v>98</v>
      </c>
      <c r="M26" s="46" t="s">
        <v>113</v>
      </c>
      <c r="N26" s="46" t="s">
        <v>56</v>
      </c>
    </row>
    <row r="27">
      <c r="A27" s="40">
        <v>44099.0</v>
      </c>
      <c r="B27" s="41" t="s">
        <v>98</v>
      </c>
      <c r="C27" s="42" t="str">
        <f>VLOOKUP(A27,Table!A:B,2,false)</f>
        <v>P1 W4</v>
      </c>
      <c r="D27" s="42" t="str">
        <f>VLOOKUP(A27,Table!A:D,4,false)</f>
        <v>Period 1</v>
      </c>
      <c r="E27" s="41" t="s">
        <v>110</v>
      </c>
      <c r="F27" s="43">
        <v>0.9166666666666666</v>
      </c>
      <c r="G27" s="48">
        <v>0.14305555555555555</v>
      </c>
      <c r="H27" s="48">
        <v>0.2013888888888889</v>
      </c>
      <c r="I27" s="44">
        <v>0.2965277777777778</v>
      </c>
      <c r="J27" s="45">
        <f t="shared" si="1"/>
        <v>547</v>
      </c>
      <c r="K27" s="46" t="s">
        <v>112</v>
      </c>
      <c r="L27" s="41" t="s">
        <v>99</v>
      </c>
      <c r="M27" s="50" t="s">
        <v>114</v>
      </c>
      <c r="N27" s="46" t="s">
        <v>56</v>
      </c>
    </row>
    <row r="28">
      <c r="A28" s="40">
        <v>44100.0</v>
      </c>
      <c r="B28" s="41" t="s">
        <v>99</v>
      </c>
      <c r="C28" s="42" t="str">
        <f>VLOOKUP(A28,Table!A:B,2,false)</f>
        <v>P1 W4</v>
      </c>
      <c r="D28" s="42" t="str">
        <f>VLOOKUP(A28,Table!A:D,4,false)</f>
        <v>Period 1</v>
      </c>
      <c r="E28" s="41" t="s">
        <v>110</v>
      </c>
      <c r="F28" s="43">
        <v>0.9166666666666666</v>
      </c>
      <c r="G28" s="48">
        <v>0.1597222222222222</v>
      </c>
      <c r="H28" s="48">
        <v>0.1763888888888889</v>
      </c>
      <c r="I28" s="44">
        <v>0.5083333333333333</v>
      </c>
      <c r="J28" s="45">
        <f t="shared" si="1"/>
        <v>852</v>
      </c>
      <c r="L28" s="41" t="s">
        <v>100</v>
      </c>
      <c r="M28" s="51" t="s">
        <v>113</v>
      </c>
      <c r="N28" s="46" t="s">
        <v>56</v>
      </c>
    </row>
    <row r="29">
      <c r="A29" s="40">
        <v>44101.0</v>
      </c>
      <c r="B29" s="41" t="s">
        <v>100</v>
      </c>
      <c r="C29" s="42" t="str">
        <f>VLOOKUP(A29,Table!A:B,2,false)</f>
        <v>P1 W4</v>
      </c>
      <c r="D29" s="42" t="str">
        <f>VLOOKUP(A29,Table!A:D,4,false)</f>
        <v>Period 1</v>
      </c>
      <c r="E29" s="41" t="s">
        <v>110</v>
      </c>
      <c r="F29" s="43">
        <v>0.9166666666666666</v>
      </c>
      <c r="G29" s="48">
        <v>0.19583333333333333</v>
      </c>
      <c r="H29" s="48">
        <v>0.2361111111111111</v>
      </c>
      <c r="I29" s="44">
        <v>0.28541666666666665</v>
      </c>
      <c r="J29" s="45">
        <f t="shared" si="1"/>
        <v>531</v>
      </c>
      <c r="L29" s="41" t="s">
        <v>92</v>
      </c>
      <c r="M29" s="52" t="s">
        <v>115</v>
      </c>
      <c r="N29" s="46" t="s">
        <v>62</v>
      </c>
    </row>
    <row r="30">
      <c r="A30" s="40">
        <v>44102.0</v>
      </c>
      <c r="B30" s="41" t="s">
        <v>92</v>
      </c>
      <c r="C30" s="42" t="str">
        <f>VLOOKUP(A30,Table!A:B,2,false)</f>
        <v>P2 W1</v>
      </c>
      <c r="D30" s="42" t="str">
        <f>VLOOKUP(A30,Table!A:D,4,false)</f>
        <v>Period 2</v>
      </c>
      <c r="E30" s="41" t="s">
        <v>93</v>
      </c>
      <c r="F30" s="43">
        <v>0.9166666666666666</v>
      </c>
      <c r="G30" s="48">
        <v>0.20902777777777778</v>
      </c>
      <c r="H30" s="48">
        <v>0.24513888888888888</v>
      </c>
      <c r="I30" s="44">
        <v>0.2972222222222222</v>
      </c>
      <c r="J30" s="45">
        <f t="shared" si="1"/>
        <v>548</v>
      </c>
      <c r="L30" s="41" t="s">
        <v>94</v>
      </c>
      <c r="M30" s="47" t="s">
        <v>116</v>
      </c>
      <c r="N30" s="46" t="s">
        <v>58</v>
      </c>
    </row>
    <row r="31">
      <c r="A31" s="40">
        <v>44103.0</v>
      </c>
      <c r="B31" s="41" t="s">
        <v>94</v>
      </c>
      <c r="C31" s="42" t="str">
        <f>VLOOKUP(A31,Table!A:B,2,false)</f>
        <v>P2 W1</v>
      </c>
      <c r="D31" s="42" t="str">
        <f>VLOOKUP(A31,Table!A:D,4,false)</f>
        <v>Period 2</v>
      </c>
      <c r="E31" s="41" t="s">
        <v>93</v>
      </c>
      <c r="F31" s="43">
        <v>0.9166666666666666</v>
      </c>
      <c r="J31" s="45" t="b">
        <f t="shared" si="1"/>
        <v>0</v>
      </c>
      <c r="L31" s="41" t="s">
        <v>96</v>
      </c>
    </row>
    <row r="32">
      <c r="A32" s="40">
        <v>44104.0</v>
      </c>
      <c r="B32" s="41" t="s">
        <v>96</v>
      </c>
      <c r="C32" s="42" t="str">
        <f>VLOOKUP(A32,Table!A:B,2,false)</f>
        <v>P2 W1</v>
      </c>
      <c r="D32" s="42" t="str">
        <f>VLOOKUP(A32,Table!A:D,4,false)</f>
        <v>Period 2</v>
      </c>
      <c r="E32" s="41" t="s">
        <v>93</v>
      </c>
      <c r="F32" s="43">
        <v>0.9166666666666666</v>
      </c>
      <c r="J32" s="45" t="b">
        <f t="shared" si="1"/>
        <v>0</v>
      </c>
      <c r="L32" s="41" t="s">
        <v>97</v>
      </c>
    </row>
    <row r="33">
      <c r="A33" s="40">
        <v>44105.0</v>
      </c>
      <c r="B33" s="41" t="s">
        <v>97</v>
      </c>
      <c r="C33" s="42" t="str">
        <f>VLOOKUP(A33,Table!A:B,2,false)</f>
        <v>P2 W1</v>
      </c>
      <c r="D33" s="42" t="str">
        <f>VLOOKUP(A33,Table!A:D,4,false)</f>
        <v>Period 2</v>
      </c>
      <c r="E33" s="41" t="s">
        <v>93</v>
      </c>
      <c r="F33" s="43">
        <v>0.9305555555555556</v>
      </c>
      <c r="J33" s="45" t="b">
        <f t="shared" si="1"/>
        <v>0</v>
      </c>
      <c r="L33" s="41" t="s">
        <v>98</v>
      </c>
    </row>
    <row r="34">
      <c r="A34" s="40">
        <v>44106.0</v>
      </c>
      <c r="B34" s="41" t="s">
        <v>98</v>
      </c>
      <c r="C34" s="42" t="str">
        <f>VLOOKUP(A34,Table!A:B,2,false)</f>
        <v>P2 W1</v>
      </c>
      <c r="D34" s="42" t="str">
        <f>VLOOKUP(A34,Table!A:D,4,false)</f>
        <v>Period 2</v>
      </c>
      <c r="E34" s="41" t="s">
        <v>93</v>
      </c>
      <c r="F34" s="43">
        <v>0.9166666666666666</v>
      </c>
      <c r="J34" s="45" t="b">
        <f t="shared" si="1"/>
        <v>0</v>
      </c>
      <c r="L34" s="41" t="s">
        <v>99</v>
      </c>
    </row>
    <row r="35">
      <c r="A35" s="40">
        <v>44107.0</v>
      </c>
      <c r="B35" s="41" t="s">
        <v>99</v>
      </c>
      <c r="C35" s="42" t="str">
        <f>VLOOKUP(A35,Table!A:B,2,false)</f>
        <v>P2 W1</v>
      </c>
      <c r="D35" s="42" t="str">
        <f>VLOOKUP(A35,Table!A:D,4,false)</f>
        <v>Period 2</v>
      </c>
      <c r="E35" s="41" t="s">
        <v>93</v>
      </c>
      <c r="F35" s="43">
        <v>0.9166666666666666</v>
      </c>
      <c r="J35" s="45" t="b">
        <f t="shared" si="1"/>
        <v>0</v>
      </c>
      <c r="L35" s="41" t="s">
        <v>100</v>
      </c>
    </row>
    <row r="36">
      <c r="A36" s="40">
        <v>44108.0</v>
      </c>
      <c r="B36" s="41" t="s">
        <v>100</v>
      </c>
      <c r="C36" s="42" t="str">
        <f>VLOOKUP(A36,Table!A:B,2,false)</f>
        <v>P2 W1</v>
      </c>
      <c r="D36" s="42" t="str">
        <f>VLOOKUP(A36,Table!A:D,4,false)</f>
        <v>Period 2</v>
      </c>
      <c r="E36" s="41" t="s">
        <v>93</v>
      </c>
      <c r="F36" s="43">
        <v>0.9166666666666666</v>
      </c>
      <c r="J36" s="45" t="b">
        <f t="shared" si="1"/>
        <v>0</v>
      </c>
      <c r="L36" s="41" t="s">
        <v>92</v>
      </c>
    </row>
    <row r="37">
      <c r="A37" s="40">
        <v>44109.0</v>
      </c>
      <c r="B37" s="41" t="s">
        <v>92</v>
      </c>
      <c r="C37" s="42" t="str">
        <f>VLOOKUP(A37,Table!A:B,2,false)</f>
        <v>P2 W2</v>
      </c>
      <c r="D37" s="42" t="str">
        <f>VLOOKUP(A37,Table!A:D,4,false)</f>
        <v>Period 2</v>
      </c>
      <c r="E37" s="41" t="s">
        <v>101</v>
      </c>
      <c r="F37" s="43">
        <v>0.9166666666666666</v>
      </c>
      <c r="J37" s="45" t="b">
        <f t="shared" si="1"/>
        <v>0</v>
      </c>
      <c r="L37" s="41" t="s">
        <v>94</v>
      </c>
    </row>
    <row r="38">
      <c r="A38" s="40">
        <v>44110.0</v>
      </c>
      <c r="B38" s="41" t="s">
        <v>94</v>
      </c>
      <c r="C38" s="42" t="str">
        <f>VLOOKUP(A38,Table!A:B,2,false)</f>
        <v>P2 W2</v>
      </c>
      <c r="D38" s="42" t="str">
        <f>VLOOKUP(A38,Table!A:D,4,false)</f>
        <v>Period 2</v>
      </c>
      <c r="E38" s="41" t="s">
        <v>101</v>
      </c>
      <c r="F38" s="43">
        <v>0.9166666666666666</v>
      </c>
      <c r="J38" s="45" t="b">
        <f t="shared" si="1"/>
        <v>0</v>
      </c>
      <c r="L38" s="41" t="s">
        <v>96</v>
      </c>
    </row>
    <row r="39">
      <c r="A39" s="40">
        <v>44111.0</v>
      </c>
      <c r="B39" s="41" t="s">
        <v>96</v>
      </c>
      <c r="C39" s="42" t="str">
        <f>VLOOKUP(A39,Table!A:B,2,false)</f>
        <v>P2 W2</v>
      </c>
      <c r="D39" s="42" t="str">
        <f>VLOOKUP(A39,Table!A:D,4,false)</f>
        <v>Period 2</v>
      </c>
      <c r="E39" s="41" t="s">
        <v>101</v>
      </c>
      <c r="F39" s="43">
        <v>0.9166666666666666</v>
      </c>
      <c r="J39" s="45" t="b">
        <f t="shared" si="1"/>
        <v>0</v>
      </c>
      <c r="L39" s="41" t="s">
        <v>97</v>
      </c>
    </row>
    <row r="40">
      <c r="A40" s="40">
        <v>44112.0</v>
      </c>
      <c r="B40" s="41" t="s">
        <v>97</v>
      </c>
      <c r="C40" s="42" t="str">
        <f>VLOOKUP(A40,Table!A:B,2,false)</f>
        <v>P2 W2</v>
      </c>
      <c r="D40" s="42" t="str">
        <f>VLOOKUP(A40,Table!A:D,4,false)</f>
        <v>Period 2</v>
      </c>
      <c r="E40" s="41" t="s">
        <v>101</v>
      </c>
      <c r="F40" s="43">
        <v>0.9166666666666666</v>
      </c>
      <c r="J40" s="45" t="b">
        <f t="shared" si="1"/>
        <v>0</v>
      </c>
      <c r="L40" s="41" t="s">
        <v>98</v>
      </c>
    </row>
    <row r="41">
      <c r="A41" s="40">
        <v>44113.0</v>
      </c>
      <c r="B41" s="41" t="s">
        <v>98</v>
      </c>
      <c r="C41" s="42" t="str">
        <f>VLOOKUP(A41,Table!A:B,2,false)</f>
        <v>P2 W2</v>
      </c>
      <c r="D41" s="42" t="str">
        <f>VLOOKUP(A41,Table!A:D,4,false)</f>
        <v>Period 2</v>
      </c>
      <c r="E41" s="41" t="s">
        <v>101</v>
      </c>
      <c r="F41" s="43">
        <v>0.9166666666666666</v>
      </c>
      <c r="J41" s="45" t="b">
        <f t="shared" si="1"/>
        <v>0</v>
      </c>
      <c r="L41" s="41" t="s">
        <v>99</v>
      </c>
    </row>
    <row r="42">
      <c r="A42" s="40">
        <v>44114.0</v>
      </c>
      <c r="B42" s="41" t="s">
        <v>99</v>
      </c>
      <c r="C42" s="42" t="str">
        <f>VLOOKUP(A42,Table!A:B,2,false)</f>
        <v>P2 W2</v>
      </c>
      <c r="D42" s="42" t="str">
        <f>VLOOKUP(A42,Table!A:D,4,false)</f>
        <v>Period 2</v>
      </c>
      <c r="E42" s="41" t="s">
        <v>101</v>
      </c>
      <c r="F42" s="43">
        <v>0.9166666666666666</v>
      </c>
      <c r="J42" s="45" t="b">
        <f t="shared" si="1"/>
        <v>0</v>
      </c>
      <c r="L42" s="41" t="s">
        <v>100</v>
      </c>
    </row>
    <row r="43">
      <c r="A43" s="40">
        <v>44115.0</v>
      </c>
      <c r="B43" s="41" t="s">
        <v>100</v>
      </c>
      <c r="C43" s="42" t="str">
        <f>VLOOKUP(A43,Table!A:B,2,false)</f>
        <v>P2 W2</v>
      </c>
      <c r="D43" s="42" t="str">
        <f>VLOOKUP(A43,Table!A:D,4,false)</f>
        <v>Period 2</v>
      </c>
      <c r="E43" s="41" t="s">
        <v>101</v>
      </c>
      <c r="F43" s="43">
        <v>0.9166666666666666</v>
      </c>
      <c r="J43" s="45" t="b">
        <f t="shared" si="1"/>
        <v>0</v>
      </c>
      <c r="L43" s="41" t="s">
        <v>92</v>
      </c>
    </row>
    <row r="44">
      <c r="A44" s="40">
        <v>44116.0</v>
      </c>
      <c r="B44" s="41" t="s">
        <v>92</v>
      </c>
      <c r="C44" s="42" t="str">
        <f>VLOOKUP(A44,Table!A:B,2,false)</f>
        <v>P2 W3</v>
      </c>
      <c r="D44" s="42" t="str">
        <f>VLOOKUP(A44,Table!A:D,4,false)</f>
        <v>Period 2</v>
      </c>
      <c r="E44" s="41" t="s">
        <v>106</v>
      </c>
      <c r="F44" s="43">
        <v>0.9166666666666666</v>
      </c>
      <c r="J44" s="45" t="b">
        <f t="shared" si="1"/>
        <v>0</v>
      </c>
      <c r="L44" s="41" t="s">
        <v>94</v>
      </c>
    </row>
    <row r="45">
      <c r="A45" s="40">
        <v>44117.0</v>
      </c>
      <c r="B45" s="41" t="s">
        <v>94</v>
      </c>
      <c r="C45" s="42" t="str">
        <f>VLOOKUP(A45,Table!A:B,2,false)</f>
        <v>P2 W3</v>
      </c>
      <c r="D45" s="42" t="str">
        <f>VLOOKUP(A45,Table!A:D,4,false)</f>
        <v>Period 2</v>
      </c>
      <c r="E45" s="41" t="s">
        <v>106</v>
      </c>
      <c r="F45" s="43">
        <v>0.9166666666666666</v>
      </c>
      <c r="J45" s="45" t="b">
        <f t="shared" si="1"/>
        <v>0</v>
      </c>
      <c r="L45" s="41" t="s">
        <v>96</v>
      </c>
    </row>
    <row r="46">
      <c r="A46" s="40">
        <v>44118.0</v>
      </c>
      <c r="B46" s="41" t="s">
        <v>96</v>
      </c>
      <c r="C46" s="42" t="str">
        <f>VLOOKUP(A46,Table!A:B,2,false)</f>
        <v>P2 W3</v>
      </c>
      <c r="D46" s="42" t="str">
        <f>VLOOKUP(A46,Table!A:D,4,false)</f>
        <v>Period 2</v>
      </c>
      <c r="E46" s="41" t="s">
        <v>106</v>
      </c>
      <c r="F46" s="43">
        <v>0.9166666666666666</v>
      </c>
      <c r="J46" s="45" t="b">
        <f t="shared" si="1"/>
        <v>0</v>
      </c>
      <c r="L46" s="41" t="s">
        <v>97</v>
      </c>
    </row>
    <row r="47">
      <c r="A47" s="40">
        <v>44119.0</v>
      </c>
      <c r="B47" s="41" t="s">
        <v>97</v>
      </c>
      <c r="C47" s="42" t="str">
        <f>VLOOKUP(A47,Table!A:B,2,false)</f>
        <v>P2 W3</v>
      </c>
      <c r="D47" s="42" t="str">
        <f>VLOOKUP(A47,Table!A:D,4,false)</f>
        <v>Period 2</v>
      </c>
      <c r="E47" s="41" t="s">
        <v>106</v>
      </c>
      <c r="F47" s="43">
        <v>0.9166666666666666</v>
      </c>
      <c r="J47" s="45" t="b">
        <f t="shared" si="1"/>
        <v>0</v>
      </c>
      <c r="L47" s="41" t="s">
        <v>98</v>
      </c>
    </row>
    <row r="48">
      <c r="A48" s="40">
        <v>44120.0</v>
      </c>
      <c r="B48" s="41" t="s">
        <v>98</v>
      </c>
      <c r="C48" s="42" t="str">
        <f>VLOOKUP(A48,Table!A:B,2,false)</f>
        <v>P2 W3</v>
      </c>
      <c r="D48" s="42" t="str">
        <f>VLOOKUP(A48,Table!A:D,4,false)</f>
        <v>Period 2</v>
      </c>
      <c r="E48" s="41" t="s">
        <v>106</v>
      </c>
      <c r="F48" s="43">
        <v>0.9166666666666666</v>
      </c>
      <c r="J48" s="45" t="b">
        <f t="shared" si="1"/>
        <v>0</v>
      </c>
      <c r="L48" s="41" t="s">
        <v>99</v>
      </c>
    </row>
    <row r="49">
      <c r="A49" s="40">
        <v>44121.0</v>
      </c>
      <c r="B49" s="41" t="s">
        <v>99</v>
      </c>
      <c r="C49" s="42" t="str">
        <f>VLOOKUP(A49,Table!A:B,2,false)</f>
        <v>P2 W3</v>
      </c>
      <c r="D49" s="42" t="str">
        <f>VLOOKUP(A49,Table!A:D,4,false)</f>
        <v>Period 2</v>
      </c>
      <c r="E49" s="41" t="s">
        <v>106</v>
      </c>
      <c r="F49" s="43">
        <v>0.9166666666666666</v>
      </c>
      <c r="J49" s="45" t="b">
        <f t="shared" si="1"/>
        <v>0</v>
      </c>
      <c r="L49" s="41" t="s">
        <v>100</v>
      </c>
    </row>
    <row r="50">
      <c r="A50" s="40">
        <v>44122.0</v>
      </c>
      <c r="B50" s="41" t="s">
        <v>100</v>
      </c>
      <c r="C50" s="42" t="str">
        <f>VLOOKUP(A50,Table!A:B,2,false)</f>
        <v>P2 W3</v>
      </c>
      <c r="D50" s="42" t="str">
        <f>VLOOKUP(A50,Table!A:D,4,false)</f>
        <v>Period 2</v>
      </c>
      <c r="E50" s="41" t="s">
        <v>106</v>
      </c>
      <c r="F50" s="43">
        <v>0.9166666666666666</v>
      </c>
      <c r="J50" s="45" t="b">
        <f t="shared" si="1"/>
        <v>0</v>
      </c>
      <c r="L50" s="41" t="s">
        <v>92</v>
      </c>
    </row>
    <row r="51">
      <c r="A51" s="40">
        <v>44123.0</v>
      </c>
      <c r="B51" s="41" t="s">
        <v>92</v>
      </c>
      <c r="C51" s="42" t="str">
        <f>VLOOKUP(A51,Table!A:B,2,false)</f>
        <v>P2 W4</v>
      </c>
      <c r="D51" s="42" t="str">
        <f>VLOOKUP(A51,Table!A:D,4,false)</f>
        <v>Period 2</v>
      </c>
      <c r="E51" s="41" t="s">
        <v>110</v>
      </c>
      <c r="F51" s="43">
        <v>0.9166666666666666</v>
      </c>
      <c r="J51" s="45" t="b">
        <f t="shared" si="1"/>
        <v>0</v>
      </c>
      <c r="L51" s="41" t="s">
        <v>94</v>
      </c>
    </row>
    <row r="52">
      <c r="A52" s="40">
        <v>44124.0</v>
      </c>
      <c r="B52" s="41" t="s">
        <v>94</v>
      </c>
      <c r="C52" s="42" t="str">
        <f>VLOOKUP(A52,Table!A:B,2,false)</f>
        <v>P2 W4</v>
      </c>
      <c r="D52" s="42" t="str">
        <f>VLOOKUP(A52,Table!A:D,4,false)</f>
        <v>Period 2</v>
      </c>
      <c r="E52" s="41" t="s">
        <v>110</v>
      </c>
      <c r="F52" s="43">
        <v>0.9166666666666666</v>
      </c>
      <c r="J52" s="45" t="b">
        <f t="shared" si="1"/>
        <v>0</v>
      </c>
      <c r="L52" s="41" t="s">
        <v>96</v>
      </c>
    </row>
    <row r="53">
      <c r="A53" s="40">
        <v>44125.0</v>
      </c>
      <c r="B53" s="41" t="s">
        <v>96</v>
      </c>
      <c r="C53" s="42" t="str">
        <f>VLOOKUP(A53,Table!A:B,2,false)</f>
        <v>P2 W4</v>
      </c>
      <c r="D53" s="42" t="str">
        <f>VLOOKUP(A53,Table!A:D,4,false)</f>
        <v>Period 2</v>
      </c>
      <c r="E53" s="41" t="s">
        <v>110</v>
      </c>
      <c r="F53" s="43">
        <v>0.9166666666666666</v>
      </c>
      <c r="J53" s="45" t="b">
        <f t="shared" si="1"/>
        <v>0</v>
      </c>
      <c r="L53" s="41" t="s">
        <v>97</v>
      </c>
    </row>
    <row r="54">
      <c r="A54" s="40">
        <v>44126.0</v>
      </c>
      <c r="B54" s="41" t="s">
        <v>97</v>
      </c>
      <c r="C54" s="42" t="str">
        <f>VLOOKUP(A54,Table!A:B,2,false)</f>
        <v>P2 W4</v>
      </c>
      <c r="D54" s="42" t="str">
        <f>VLOOKUP(A54,Table!A:D,4,false)</f>
        <v>Period 2</v>
      </c>
      <c r="E54" s="41" t="s">
        <v>110</v>
      </c>
      <c r="F54" s="43">
        <v>0.9166666666666666</v>
      </c>
      <c r="J54" s="45" t="b">
        <f t="shared" si="1"/>
        <v>0</v>
      </c>
      <c r="L54" s="41" t="s">
        <v>98</v>
      </c>
    </row>
    <row r="55">
      <c r="A55" s="40">
        <v>44127.0</v>
      </c>
      <c r="B55" s="41" t="s">
        <v>98</v>
      </c>
      <c r="C55" s="42" t="str">
        <f>VLOOKUP(A55,Table!A:B,2,false)</f>
        <v>P2 W4</v>
      </c>
      <c r="D55" s="42" t="str">
        <f>VLOOKUP(A55,Table!A:D,4,false)</f>
        <v>Period 2</v>
      </c>
      <c r="E55" s="41" t="s">
        <v>110</v>
      </c>
      <c r="F55" s="43">
        <v>0.9166666666666666</v>
      </c>
      <c r="J55" s="45" t="b">
        <f t="shared" si="1"/>
        <v>0</v>
      </c>
      <c r="L55" s="41" t="s">
        <v>99</v>
      </c>
    </row>
    <row r="56">
      <c r="A56" s="40">
        <v>44128.0</v>
      </c>
      <c r="B56" s="41" t="s">
        <v>99</v>
      </c>
      <c r="C56" s="42" t="str">
        <f>VLOOKUP(A56,Table!A:B,2,false)</f>
        <v>P2 W4</v>
      </c>
      <c r="D56" s="42" t="str">
        <f>VLOOKUP(A56,Table!A:D,4,false)</f>
        <v>Period 2</v>
      </c>
      <c r="E56" s="41" t="s">
        <v>110</v>
      </c>
      <c r="F56" s="43">
        <v>0.9166666666666666</v>
      </c>
      <c r="J56" s="45" t="b">
        <f t="shared" si="1"/>
        <v>0</v>
      </c>
      <c r="L56" s="41" t="s">
        <v>100</v>
      </c>
    </row>
    <row r="57">
      <c r="A57" s="40">
        <v>44129.0</v>
      </c>
      <c r="B57" s="41" t="s">
        <v>100</v>
      </c>
      <c r="C57" s="42" t="str">
        <f>VLOOKUP(A57,Table!A:B,2,false)</f>
        <v>P2 W4</v>
      </c>
      <c r="D57" s="42" t="str">
        <f>VLOOKUP(A57,Table!A:D,4,false)</f>
        <v>Period 2</v>
      </c>
      <c r="E57" s="41" t="s">
        <v>110</v>
      </c>
      <c r="F57" s="43">
        <v>0.9166666666666666</v>
      </c>
      <c r="J57" s="45" t="b">
        <f t="shared" si="1"/>
        <v>0</v>
      </c>
      <c r="L57" s="41" t="s">
        <v>92</v>
      </c>
    </row>
    <row r="58">
      <c r="A58" s="40">
        <v>44130.0</v>
      </c>
      <c r="B58" s="41" t="s">
        <v>92</v>
      </c>
      <c r="C58" s="42" t="str">
        <f>VLOOKUP(A58,Table!A:B,2,false)</f>
        <v>P3 W1</v>
      </c>
      <c r="D58" s="42" t="str">
        <f>VLOOKUP(A58,Table!A:D,4,false)</f>
        <v>Period 3</v>
      </c>
      <c r="E58" s="41" t="s">
        <v>93</v>
      </c>
      <c r="F58" s="43">
        <v>0.9166666666666666</v>
      </c>
      <c r="J58" s="45" t="b">
        <f t="shared" si="1"/>
        <v>0</v>
      </c>
      <c r="L58" s="41" t="s">
        <v>94</v>
      </c>
    </row>
    <row r="59">
      <c r="A59" s="40">
        <v>44131.0</v>
      </c>
      <c r="B59" s="41" t="s">
        <v>94</v>
      </c>
      <c r="C59" s="42" t="str">
        <f>VLOOKUP(A59,Table!A:B,2,false)</f>
        <v>P3 W1</v>
      </c>
      <c r="D59" s="42" t="str">
        <f>VLOOKUP(A59,Table!A:D,4,false)</f>
        <v>Period 3</v>
      </c>
      <c r="E59" s="41" t="s">
        <v>93</v>
      </c>
      <c r="F59" s="43">
        <v>0.9166666666666666</v>
      </c>
      <c r="J59" s="45" t="b">
        <f t="shared" si="1"/>
        <v>0</v>
      </c>
      <c r="L59" s="41" t="s">
        <v>96</v>
      </c>
    </row>
    <row r="60">
      <c r="A60" s="40">
        <v>44132.0</v>
      </c>
      <c r="B60" s="41" t="s">
        <v>96</v>
      </c>
      <c r="C60" s="42" t="str">
        <f>VLOOKUP(A60,Table!A:B,2,false)</f>
        <v>P3 W1</v>
      </c>
      <c r="D60" s="42" t="str">
        <f>VLOOKUP(A60,Table!A:D,4,false)</f>
        <v>Period 3</v>
      </c>
      <c r="E60" s="41" t="s">
        <v>93</v>
      </c>
      <c r="F60" s="43">
        <v>0.9166666666666666</v>
      </c>
      <c r="J60" s="45" t="b">
        <f t="shared" si="1"/>
        <v>0</v>
      </c>
      <c r="L60" s="41" t="s">
        <v>97</v>
      </c>
    </row>
    <row r="61">
      <c r="A61" s="40">
        <v>44133.0</v>
      </c>
      <c r="B61" s="41" t="s">
        <v>97</v>
      </c>
      <c r="C61" s="42" t="str">
        <f>VLOOKUP(A61,Table!A:B,2,false)</f>
        <v>P3 W1</v>
      </c>
      <c r="D61" s="42" t="str">
        <f>VLOOKUP(A61,Table!A:D,4,false)</f>
        <v>Period 3</v>
      </c>
      <c r="E61" s="41" t="s">
        <v>93</v>
      </c>
      <c r="F61" s="43">
        <v>0.9166666666666666</v>
      </c>
      <c r="J61" s="45" t="b">
        <f t="shared" si="1"/>
        <v>0</v>
      </c>
      <c r="L61" s="41" t="s">
        <v>98</v>
      </c>
    </row>
    <row r="62">
      <c r="A62" s="40">
        <v>44134.0</v>
      </c>
      <c r="B62" s="41" t="s">
        <v>98</v>
      </c>
      <c r="C62" s="42" t="str">
        <f>VLOOKUP(A62,Table!A:B,2,false)</f>
        <v>P3 W1</v>
      </c>
      <c r="D62" s="42" t="str">
        <f>VLOOKUP(A62,Table!A:D,4,false)</f>
        <v>Period 3</v>
      </c>
      <c r="E62" s="41" t="s">
        <v>93</v>
      </c>
      <c r="F62" s="43">
        <v>0.9166666666666666</v>
      </c>
      <c r="J62" s="45" t="b">
        <f t="shared" si="1"/>
        <v>0</v>
      </c>
      <c r="L62" s="41" t="s">
        <v>99</v>
      </c>
    </row>
    <row r="63">
      <c r="A63" s="40">
        <v>44135.0</v>
      </c>
      <c r="B63" s="41" t="s">
        <v>99</v>
      </c>
      <c r="C63" s="42" t="str">
        <f>VLOOKUP(A63,Table!A:B,2,false)</f>
        <v>P3 W1</v>
      </c>
      <c r="D63" s="42" t="str">
        <f>VLOOKUP(A63,Table!A:D,4,false)</f>
        <v>Period 3</v>
      </c>
      <c r="E63" s="41" t="s">
        <v>93</v>
      </c>
      <c r="F63" s="53">
        <v>0.9166666666666666</v>
      </c>
      <c r="J63" s="45" t="b">
        <f t="shared" si="1"/>
        <v>0</v>
      </c>
      <c r="L63" s="41" t="s">
        <v>100</v>
      </c>
    </row>
    <row r="64">
      <c r="A64" s="40">
        <v>44136.0</v>
      </c>
      <c r="B64" s="41" t="s">
        <v>100</v>
      </c>
      <c r="C64" s="42" t="str">
        <f>VLOOKUP(A64,Table!A:B,2,false)</f>
        <v>P3 W1</v>
      </c>
      <c r="D64" s="42" t="str">
        <f>VLOOKUP(A64,Table!A:D,4,false)</f>
        <v>Period 3</v>
      </c>
      <c r="E64" s="41" t="s">
        <v>93</v>
      </c>
      <c r="F64" s="43">
        <v>0.9166666666666666</v>
      </c>
      <c r="J64" s="45" t="b">
        <f t="shared" si="1"/>
        <v>0</v>
      </c>
      <c r="L64" s="41" t="s">
        <v>92</v>
      </c>
    </row>
    <row r="65">
      <c r="A65" s="40">
        <v>44137.0</v>
      </c>
      <c r="B65" s="41" t="s">
        <v>92</v>
      </c>
      <c r="C65" s="42" t="str">
        <f>VLOOKUP(A65,Table!A:B,2,false)</f>
        <v>P3 W2</v>
      </c>
      <c r="D65" s="42" t="str">
        <f>VLOOKUP(A65,Table!A:D,4,false)</f>
        <v>Period 3</v>
      </c>
      <c r="E65" s="41" t="s">
        <v>101</v>
      </c>
      <c r="F65" s="43">
        <v>0.9166666666666666</v>
      </c>
      <c r="J65" s="45" t="b">
        <f t="shared" si="1"/>
        <v>0</v>
      </c>
      <c r="L65" s="41" t="s">
        <v>94</v>
      </c>
    </row>
    <row r="66">
      <c r="A66" s="40">
        <v>44138.0</v>
      </c>
      <c r="B66" s="41" t="s">
        <v>94</v>
      </c>
      <c r="C66" s="42" t="str">
        <f>VLOOKUP(A66,Table!A:B,2,false)</f>
        <v>P3 W2</v>
      </c>
      <c r="D66" s="42" t="str">
        <f>VLOOKUP(A66,Table!A:D,4,false)</f>
        <v>Period 3</v>
      </c>
      <c r="E66" s="41" t="s">
        <v>101</v>
      </c>
      <c r="F66" s="43">
        <v>0.9166666666666666</v>
      </c>
      <c r="J66" s="45" t="b">
        <f t="shared" si="1"/>
        <v>0</v>
      </c>
      <c r="L66" s="41" t="s">
        <v>96</v>
      </c>
    </row>
    <row r="67">
      <c r="A67" s="40">
        <v>44139.0</v>
      </c>
      <c r="B67" s="41" t="s">
        <v>96</v>
      </c>
      <c r="C67" s="42" t="str">
        <f>VLOOKUP(A67,Table!A:B,2,false)</f>
        <v>P3 W2</v>
      </c>
      <c r="D67" s="42" t="str">
        <f>VLOOKUP(A67,Table!A:D,4,false)</f>
        <v>Period 3</v>
      </c>
      <c r="E67" s="41" t="s">
        <v>101</v>
      </c>
      <c r="F67" s="43">
        <v>0.9166666666666666</v>
      </c>
      <c r="J67" s="45" t="b">
        <f t="shared" si="1"/>
        <v>0</v>
      </c>
      <c r="L67" s="41" t="s">
        <v>97</v>
      </c>
    </row>
    <row r="68">
      <c r="A68" s="40">
        <v>44140.0</v>
      </c>
      <c r="B68" s="41" t="s">
        <v>97</v>
      </c>
      <c r="C68" s="42" t="str">
        <f>VLOOKUP(A68,Table!A:B,2,false)</f>
        <v>P3 W2</v>
      </c>
      <c r="D68" s="42" t="str">
        <f>VLOOKUP(A68,Table!A:D,4,false)</f>
        <v>Period 3</v>
      </c>
      <c r="E68" s="41" t="s">
        <v>101</v>
      </c>
      <c r="F68" s="43">
        <v>0.9166666666666666</v>
      </c>
      <c r="J68" s="45" t="b">
        <f t="shared" si="1"/>
        <v>0</v>
      </c>
      <c r="L68" s="41" t="s">
        <v>98</v>
      </c>
    </row>
    <row r="69">
      <c r="A69" s="40">
        <v>44141.0</v>
      </c>
      <c r="B69" s="41" t="s">
        <v>98</v>
      </c>
      <c r="C69" s="42" t="str">
        <f>VLOOKUP(A69,Table!A:B,2,false)</f>
        <v>P3 W2</v>
      </c>
      <c r="D69" s="42" t="str">
        <f>VLOOKUP(A69,Table!A:D,4,false)</f>
        <v>Period 3</v>
      </c>
      <c r="E69" s="41" t="s">
        <v>101</v>
      </c>
      <c r="F69" s="43">
        <v>0.9166666666666666</v>
      </c>
      <c r="J69" s="45" t="b">
        <f t="shared" si="1"/>
        <v>0</v>
      </c>
      <c r="L69" s="41" t="s">
        <v>99</v>
      </c>
    </row>
    <row r="70">
      <c r="A70" s="40">
        <v>44142.0</v>
      </c>
      <c r="B70" s="41" t="s">
        <v>99</v>
      </c>
      <c r="C70" s="42" t="str">
        <f>VLOOKUP(A70,Table!A:B,2,false)</f>
        <v>P3 W2</v>
      </c>
      <c r="D70" s="42" t="str">
        <f>VLOOKUP(A70,Table!A:D,4,false)</f>
        <v>Period 3</v>
      </c>
      <c r="E70" s="41" t="s">
        <v>101</v>
      </c>
      <c r="F70" s="43">
        <v>0.9166666666666666</v>
      </c>
      <c r="J70" s="45" t="b">
        <f t="shared" si="1"/>
        <v>0</v>
      </c>
      <c r="L70" s="41" t="s">
        <v>100</v>
      </c>
    </row>
    <row r="71">
      <c r="A71" s="40">
        <v>44143.0</v>
      </c>
      <c r="B71" s="41" t="s">
        <v>100</v>
      </c>
      <c r="C71" s="42" t="str">
        <f>VLOOKUP(A71,Table!A:B,2,false)</f>
        <v>P3 W2</v>
      </c>
      <c r="D71" s="42" t="str">
        <f>VLOOKUP(A71,Table!A:D,4,false)</f>
        <v>Period 3</v>
      </c>
      <c r="E71" s="41" t="s">
        <v>101</v>
      </c>
      <c r="F71" s="43">
        <v>0.9166666666666666</v>
      </c>
      <c r="J71" s="45" t="b">
        <f t="shared" si="1"/>
        <v>0</v>
      </c>
      <c r="L71" s="41" t="s">
        <v>92</v>
      </c>
    </row>
    <row r="72">
      <c r="A72" s="40">
        <v>44144.0</v>
      </c>
      <c r="B72" s="41" t="s">
        <v>92</v>
      </c>
      <c r="C72" s="42" t="str">
        <f>VLOOKUP(A72,Table!A:B,2,false)</f>
        <v>P3 W3</v>
      </c>
      <c r="D72" s="42" t="str">
        <f>VLOOKUP(A72,Table!A:D,4,false)</f>
        <v>Period 3</v>
      </c>
      <c r="E72" s="41" t="s">
        <v>106</v>
      </c>
      <c r="F72" s="43">
        <v>0.9166666666666666</v>
      </c>
      <c r="J72" s="45" t="b">
        <f t="shared" si="1"/>
        <v>0</v>
      </c>
      <c r="L72" s="41" t="s">
        <v>94</v>
      </c>
    </row>
    <row r="73">
      <c r="A73" s="40">
        <v>44145.0</v>
      </c>
      <c r="B73" s="41" t="s">
        <v>94</v>
      </c>
      <c r="C73" s="42" t="str">
        <f>VLOOKUP(A73,Table!A:B,2,false)</f>
        <v>P3 W3</v>
      </c>
      <c r="D73" s="42" t="str">
        <f>VLOOKUP(A73,Table!A:D,4,false)</f>
        <v>Period 3</v>
      </c>
      <c r="E73" s="41" t="s">
        <v>106</v>
      </c>
      <c r="F73" s="43">
        <v>0.9166666666666666</v>
      </c>
      <c r="J73" s="45" t="b">
        <f t="shared" si="1"/>
        <v>0</v>
      </c>
      <c r="L73" s="41" t="s">
        <v>96</v>
      </c>
    </row>
    <row r="74">
      <c r="A74" s="40">
        <v>44146.0</v>
      </c>
      <c r="B74" s="41" t="s">
        <v>96</v>
      </c>
      <c r="C74" s="42" t="str">
        <f>VLOOKUP(A74,Table!A:B,2,false)</f>
        <v>P3 W3</v>
      </c>
      <c r="D74" s="42" t="str">
        <f>VLOOKUP(A74,Table!A:D,4,false)</f>
        <v>Period 3</v>
      </c>
      <c r="E74" s="41" t="s">
        <v>106</v>
      </c>
      <c r="F74" s="43">
        <v>0.9166666666666666</v>
      </c>
      <c r="J74" s="45" t="b">
        <f t="shared" si="1"/>
        <v>0</v>
      </c>
      <c r="L74" s="41" t="s">
        <v>97</v>
      </c>
    </row>
    <row r="75">
      <c r="A75" s="40">
        <v>44147.0</v>
      </c>
      <c r="B75" s="41" t="s">
        <v>97</v>
      </c>
      <c r="C75" s="42" t="str">
        <f>VLOOKUP(A75,Table!A:B,2,false)</f>
        <v>P3 W3</v>
      </c>
      <c r="D75" s="42" t="str">
        <f>VLOOKUP(A75,Table!A:D,4,false)</f>
        <v>Period 3</v>
      </c>
      <c r="E75" s="41" t="s">
        <v>106</v>
      </c>
      <c r="F75" s="43">
        <v>0.9166666666666666</v>
      </c>
      <c r="J75" s="45" t="b">
        <f t="shared" si="1"/>
        <v>0</v>
      </c>
      <c r="L75" s="41" t="s">
        <v>98</v>
      </c>
    </row>
    <row r="76">
      <c r="A76" s="40">
        <v>44148.0</v>
      </c>
      <c r="B76" s="41" t="s">
        <v>98</v>
      </c>
      <c r="C76" s="42" t="str">
        <f>VLOOKUP(A76,Table!A:B,2,false)</f>
        <v>P3 W3</v>
      </c>
      <c r="D76" s="42" t="str">
        <f>VLOOKUP(A76,Table!A:D,4,false)</f>
        <v>Period 3</v>
      </c>
      <c r="E76" s="41" t="s">
        <v>106</v>
      </c>
      <c r="F76" s="43">
        <v>0.9166666666666666</v>
      </c>
      <c r="J76" s="45" t="b">
        <f t="shared" si="1"/>
        <v>0</v>
      </c>
      <c r="L76" s="41" t="s">
        <v>99</v>
      </c>
    </row>
    <row r="77">
      <c r="A77" s="40">
        <v>44149.0</v>
      </c>
      <c r="B77" s="41" t="s">
        <v>99</v>
      </c>
      <c r="C77" s="42" t="str">
        <f>VLOOKUP(A77,Table!A:B,2,false)</f>
        <v>P3 W3</v>
      </c>
      <c r="D77" s="42" t="str">
        <f>VLOOKUP(A77,Table!A:D,4,false)</f>
        <v>Period 3</v>
      </c>
      <c r="E77" s="41" t="s">
        <v>106</v>
      </c>
      <c r="F77" s="43">
        <v>0.9166666666666666</v>
      </c>
      <c r="J77" s="45" t="b">
        <f t="shared" si="1"/>
        <v>0</v>
      </c>
      <c r="L77" s="41" t="s">
        <v>100</v>
      </c>
    </row>
    <row r="78">
      <c r="A78" s="40">
        <v>44150.0</v>
      </c>
      <c r="B78" s="41" t="s">
        <v>100</v>
      </c>
      <c r="C78" s="42" t="str">
        <f>VLOOKUP(A78,Table!A:B,2,false)</f>
        <v>P3 W3</v>
      </c>
      <c r="D78" s="42" t="str">
        <f>VLOOKUP(A78,Table!A:D,4,false)</f>
        <v>Period 3</v>
      </c>
      <c r="E78" s="41" t="s">
        <v>106</v>
      </c>
      <c r="F78" s="43">
        <v>0.9166666666666666</v>
      </c>
      <c r="J78" s="45" t="b">
        <f t="shared" si="1"/>
        <v>0</v>
      </c>
      <c r="L78" s="41" t="s">
        <v>92</v>
      </c>
    </row>
    <row r="79">
      <c r="A79" s="40">
        <v>44151.0</v>
      </c>
      <c r="B79" s="41" t="s">
        <v>92</v>
      </c>
      <c r="C79" s="42" t="str">
        <f>VLOOKUP(A79,Table!A:B,2,false)</f>
        <v>P3 W4</v>
      </c>
      <c r="D79" s="42" t="str">
        <f>VLOOKUP(A79,Table!A:D,4,false)</f>
        <v>Period 3</v>
      </c>
      <c r="E79" s="41" t="s">
        <v>110</v>
      </c>
      <c r="F79" s="43">
        <v>0.9166666666666666</v>
      </c>
      <c r="J79" s="45" t="b">
        <f t="shared" si="1"/>
        <v>0</v>
      </c>
      <c r="L79" s="41" t="s">
        <v>94</v>
      </c>
    </row>
    <row r="80">
      <c r="A80" s="40">
        <v>44152.0</v>
      </c>
      <c r="B80" s="41" t="s">
        <v>94</v>
      </c>
      <c r="C80" s="42" t="str">
        <f>VLOOKUP(A80,Table!A:B,2,false)</f>
        <v>P3 W4</v>
      </c>
      <c r="D80" s="42" t="str">
        <f>VLOOKUP(A80,Table!A:D,4,false)</f>
        <v>Period 3</v>
      </c>
      <c r="E80" s="41" t="s">
        <v>110</v>
      </c>
      <c r="F80" s="43">
        <v>0.9166666666666666</v>
      </c>
      <c r="J80" s="45" t="b">
        <f t="shared" si="1"/>
        <v>0</v>
      </c>
      <c r="L80" s="41" t="s">
        <v>96</v>
      </c>
    </row>
    <row r="81">
      <c r="A81" s="40">
        <v>44153.0</v>
      </c>
      <c r="B81" s="41" t="s">
        <v>96</v>
      </c>
      <c r="C81" s="42" t="str">
        <f>VLOOKUP(A81,Table!A:B,2,false)</f>
        <v>P3 W4</v>
      </c>
      <c r="D81" s="42" t="str">
        <f>VLOOKUP(A81,Table!A:D,4,false)</f>
        <v>Period 3</v>
      </c>
      <c r="E81" s="41" t="s">
        <v>110</v>
      </c>
      <c r="F81" s="43">
        <v>0.9166666666666666</v>
      </c>
      <c r="J81" s="45" t="b">
        <f t="shared" si="1"/>
        <v>0</v>
      </c>
      <c r="L81" s="41" t="s">
        <v>97</v>
      </c>
    </row>
    <row r="82">
      <c r="A82" s="40">
        <v>44154.0</v>
      </c>
      <c r="B82" s="41" t="s">
        <v>97</v>
      </c>
      <c r="C82" s="42" t="str">
        <f>VLOOKUP(A82,Table!A:B,2,false)</f>
        <v>P3 W4</v>
      </c>
      <c r="D82" s="42" t="str">
        <f>VLOOKUP(A82,Table!A:D,4,false)</f>
        <v>Period 3</v>
      </c>
      <c r="E82" s="41" t="s">
        <v>110</v>
      </c>
      <c r="F82" s="43">
        <v>0.9166666666666666</v>
      </c>
      <c r="J82" s="45" t="b">
        <f t="shared" si="1"/>
        <v>0</v>
      </c>
      <c r="L82" s="41" t="s">
        <v>98</v>
      </c>
    </row>
    <row r="83">
      <c r="A83" s="40">
        <v>44155.0</v>
      </c>
      <c r="B83" s="41" t="s">
        <v>98</v>
      </c>
      <c r="C83" s="42" t="str">
        <f>VLOOKUP(A83,Table!A:B,2,false)</f>
        <v>P3 W4</v>
      </c>
      <c r="D83" s="42" t="str">
        <f>VLOOKUP(A83,Table!A:D,4,false)</f>
        <v>Period 3</v>
      </c>
      <c r="E83" s="41" t="s">
        <v>110</v>
      </c>
      <c r="F83" s="43">
        <v>0.9166666666666666</v>
      </c>
      <c r="J83" s="45" t="b">
        <f t="shared" si="1"/>
        <v>0</v>
      </c>
      <c r="L83" s="41" t="s">
        <v>99</v>
      </c>
    </row>
    <row r="84">
      <c r="A84" s="40">
        <v>44156.0</v>
      </c>
      <c r="B84" s="41" t="s">
        <v>99</v>
      </c>
      <c r="C84" s="42" t="str">
        <f>VLOOKUP(A84,Table!A:B,2,false)</f>
        <v>P3 W4</v>
      </c>
      <c r="D84" s="42" t="str">
        <f>VLOOKUP(A84,Table!A:D,4,false)</f>
        <v>Period 3</v>
      </c>
      <c r="E84" s="41" t="s">
        <v>110</v>
      </c>
      <c r="F84" s="43">
        <v>0.9166666666666666</v>
      </c>
      <c r="J84" s="45" t="b">
        <f t="shared" si="1"/>
        <v>0</v>
      </c>
      <c r="L84" s="41" t="s">
        <v>100</v>
      </c>
    </row>
    <row r="85">
      <c r="A85" s="40">
        <v>44157.0</v>
      </c>
      <c r="B85" s="41" t="s">
        <v>100</v>
      </c>
      <c r="C85" s="42" t="str">
        <f>VLOOKUP(A85,Table!A:B,2,false)</f>
        <v>P3 W4</v>
      </c>
      <c r="D85" s="42" t="str">
        <f>VLOOKUP(A85,Table!A:D,4,false)</f>
        <v>Period 3</v>
      </c>
      <c r="E85" s="41" t="s">
        <v>110</v>
      </c>
      <c r="F85" s="43">
        <v>0.9166666666666666</v>
      </c>
      <c r="J85" s="45" t="b">
        <f t="shared" si="1"/>
        <v>0</v>
      </c>
      <c r="L85" s="41" t="s">
        <v>92</v>
      </c>
    </row>
    <row r="86">
      <c r="A86" s="40">
        <v>44158.0</v>
      </c>
      <c r="B86" s="41" t="s">
        <v>92</v>
      </c>
      <c r="C86" s="42" t="str">
        <f>VLOOKUP(A86,Table!A:B,2,false)</f>
        <v>P4 W1</v>
      </c>
      <c r="D86" s="42" t="str">
        <f>VLOOKUP(A86,Table!A:D,4,false)</f>
        <v>Period 4</v>
      </c>
      <c r="E86" s="41" t="s">
        <v>93</v>
      </c>
      <c r="F86" s="43">
        <v>0.9166666666666666</v>
      </c>
      <c r="J86" s="45" t="b">
        <f t="shared" si="1"/>
        <v>0</v>
      </c>
      <c r="L86" s="41" t="s">
        <v>94</v>
      </c>
    </row>
    <row r="87">
      <c r="A87" s="40">
        <v>44159.0</v>
      </c>
      <c r="B87" s="41" t="s">
        <v>94</v>
      </c>
      <c r="C87" s="42" t="str">
        <f>VLOOKUP(A87,Table!A:B,2,false)</f>
        <v>P4 W1</v>
      </c>
      <c r="D87" s="42" t="str">
        <f>VLOOKUP(A87,Table!A:D,4,false)</f>
        <v>Period 4</v>
      </c>
      <c r="E87" s="41" t="s">
        <v>93</v>
      </c>
      <c r="F87" s="43">
        <v>0.9166666666666666</v>
      </c>
      <c r="J87" s="45" t="b">
        <f t="shared" si="1"/>
        <v>0</v>
      </c>
      <c r="L87" s="41" t="s">
        <v>96</v>
      </c>
    </row>
    <row r="88">
      <c r="A88" s="40">
        <v>44160.0</v>
      </c>
      <c r="B88" s="41" t="s">
        <v>96</v>
      </c>
      <c r="C88" s="42" t="str">
        <f>VLOOKUP(A88,Table!A:B,2,false)</f>
        <v>P4 W1</v>
      </c>
      <c r="D88" s="42" t="str">
        <f>VLOOKUP(A88,Table!A:D,4,false)</f>
        <v>Period 4</v>
      </c>
      <c r="E88" s="41" t="s">
        <v>93</v>
      </c>
      <c r="F88" s="43">
        <v>0.9166666666666666</v>
      </c>
      <c r="J88" s="45" t="b">
        <f t="shared" si="1"/>
        <v>0</v>
      </c>
      <c r="L88" s="41" t="s">
        <v>97</v>
      </c>
    </row>
    <row r="89">
      <c r="A89" s="40">
        <v>44161.0</v>
      </c>
      <c r="B89" s="41" t="s">
        <v>97</v>
      </c>
      <c r="C89" s="42" t="str">
        <f>VLOOKUP(A89,Table!A:B,2,false)</f>
        <v>P4 W1</v>
      </c>
      <c r="D89" s="42" t="str">
        <f>VLOOKUP(A89,Table!A:D,4,false)</f>
        <v>Period 4</v>
      </c>
      <c r="E89" s="41" t="s">
        <v>93</v>
      </c>
      <c r="F89" s="43">
        <v>0.9166666666666666</v>
      </c>
      <c r="J89" s="45" t="b">
        <f t="shared" si="1"/>
        <v>0</v>
      </c>
      <c r="L89" s="41" t="s">
        <v>98</v>
      </c>
    </row>
    <row r="90">
      <c r="A90" s="40">
        <v>44162.0</v>
      </c>
      <c r="B90" s="41" t="s">
        <v>98</v>
      </c>
      <c r="C90" s="42" t="str">
        <f>VLOOKUP(A90,Table!A:B,2,false)</f>
        <v>P4 W1</v>
      </c>
      <c r="D90" s="42" t="str">
        <f>VLOOKUP(A90,Table!A:D,4,false)</f>
        <v>Period 4</v>
      </c>
      <c r="E90" s="41" t="s">
        <v>93</v>
      </c>
      <c r="F90" s="43">
        <v>0.9166666666666666</v>
      </c>
      <c r="J90" s="45" t="b">
        <f t="shared" si="1"/>
        <v>0</v>
      </c>
      <c r="L90" s="41" t="s">
        <v>99</v>
      </c>
    </row>
    <row r="91">
      <c r="A91" s="40">
        <v>44163.0</v>
      </c>
      <c r="B91" s="41" t="s">
        <v>99</v>
      </c>
      <c r="C91" s="42" t="str">
        <f>VLOOKUP(A91,Table!A:B,2,false)</f>
        <v>P4 W1</v>
      </c>
      <c r="D91" s="42" t="str">
        <f>VLOOKUP(A91,Table!A:D,4,false)</f>
        <v>Period 4</v>
      </c>
      <c r="E91" s="41" t="s">
        <v>93</v>
      </c>
      <c r="F91" s="43">
        <v>0.9166666666666666</v>
      </c>
      <c r="J91" s="45" t="b">
        <f t="shared" si="1"/>
        <v>0</v>
      </c>
      <c r="L91" s="41" t="s">
        <v>100</v>
      </c>
    </row>
    <row r="92">
      <c r="A92" s="40">
        <v>44164.0</v>
      </c>
      <c r="B92" s="41" t="s">
        <v>100</v>
      </c>
      <c r="C92" s="42" t="str">
        <f>VLOOKUP(A92,Table!A:B,2,false)</f>
        <v>P4 W1</v>
      </c>
      <c r="D92" s="42" t="str">
        <f>VLOOKUP(A92,Table!A:D,4,false)</f>
        <v>Period 4</v>
      </c>
      <c r="E92" s="41" t="s">
        <v>93</v>
      </c>
      <c r="F92" s="43">
        <v>0.9166666666666666</v>
      </c>
      <c r="J92" s="45" t="b">
        <f t="shared" si="1"/>
        <v>0</v>
      </c>
      <c r="L92" s="41" t="s">
        <v>92</v>
      </c>
    </row>
    <row r="93">
      <c r="A93" s="40">
        <v>44165.0</v>
      </c>
      <c r="B93" s="41" t="s">
        <v>92</v>
      </c>
      <c r="C93" s="42" t="str">
        <f>VLOOKUP(A93,Table!A:B,2,false)</f>
        <v>P4 W2</v>
      </c>
      <c r="D93" s="42" t="str">
        <f>VLOOKUP(A93,Table!A:D,4,false)</f>
        <v>Period 4</v>
      </c>
      <c r="E93" s="41" t="s">
        <v>101</v>
      </c>
      <c r="F93" s="43">
        <v>0.9166666666666666</v>
      </c>
      <c r="J93" s="45" t="b">
        <f t="shared" si="1"/>
        <v>0</v>
      </c>
      <c r="L93" s="41" t="s">
        <v>94</v>
      </c>
    </row>
    <row r="94">
      <c r="A94" s="40">
        <v>44166.0</v>
      </c>
      <c r="B94" s="41" t="s">
        <v>94</v>
      </c>
      <c r="C94" s="42" t="str">
        <f>VLOOKUP(A94,Table!A:B,2,false)</f>
        <v>P4 W2</v>
      </c>
      <c r="D94" s="42" t="str">
        <f>VLOOKUP(A94,Table!A:D,4,false)</f>
        <v>Period 4</v>
      </c>
      <c r="E94" s="41" t="s">
        <v>101</v>
      </c>
      <c r="F94" s="43">
        <v>0.9166666666666666</v>
      </c>
      <c r="J94" s="45" t="b">
        <f t="shared" si="1"/>
        <v>0</v>
      </c>
      <c r="L94" s="41" t="s">
        <v>96</v>
      </c>
    </row>
    <row r="95">
      <c r="A95" s="40">
        <v>44167.0</v>
      </c>
      <c r="B95" s="41" t="s">
        <v>96</v>
      </c>
      <c r="C95" s="42" t="str">
        <f>VLOOKUP(A95,Table!A:B,2,false)</f>
        <v>P4 W2</v>
      </c>
      <c r="D95" s="42" t="str">
        <f>VLOOKUP(A95,Table!A:D,4,false)</f>
        <v>Period 4</v>
      </c>
      <c r="E95" s="41" t="s">
        <v>101</v>
      </c>
      <c r="F95" s="43">
        <v>0.9166666666666666</v>
      </c>
      <c r="J95" s="45" t="b">
        <f t="shared" si="1"/>
        <v>0</v>
      </c>
      <c r="L95" s="41" t="s">
        <v>97</v>
      </c>
    </row>
    <row r="96">
      <c r="A96" s="40">
        <v>44168.0</v>
      </c>
      <c r="B96" s="41" t="s">
        <v>97</v>
      </c>
      <c r="C96" s="42" t="str">
        <f>VLOOKUP(A96,Table!A:B,2,false)</f>
        <v>P4 W2</v>
      </c>
      <c r="D96" s="42" t="str">
        <f>VLOOKUP(A96,Table!A:D,4,false)</f>
        <v>Period 4</v>
      </c>
      <c r="E96" s="41" t="s">
        <v>101</v>
      </c>
      <c r="F96" s="43">
        <v>0.9166666666666666</v>
      </c>
      <c r="J96" s="45" t="b">
        <f t="shared" si="1"/>
        <v>0</v>
      </c>
      <c r="L96" s="41" t="s">
        <v>98</v>
      </c>
    </row>
    <row r="97">
      <c r="A97" s="40">
        <v>44169.0</v>
      </c>
      <c r="B97" s="41" t="s">
        <v>98</v>
      </c>
      <c r="C97" s="42" t="str">
        <f>VLOOKUP(A97,Table!A:B,2,false)</f>
        <v>P4 W2</v>
      </c>
      <c r="D97" s="42" t="str">
        <f>VLOOKUP(A97,Table!A:D,4,false)</f>
        <v>Period 4</v>
      </c>
      <c r="E97" s="41" t="s">
        <v>101</v>
      </c>
      <c r="F97" s="43">
        <v>0.9166666666666666</v>
      </c>
      <c r="J97" s="45" t="b">
        <f t="shared" si="1"/>
        <v>0</v>
      </c>
      <c r="L97" s="41" t="s">
        <v>99</v>
      </c>
    </row>
    <row r="98">
      <c r="A98" s="40">
        <v>44170.0</v>
      </c>
      <c r="B98" s="41" t="s">
        <v>99</v>
      </c>
      <c r="C98" s="42" t="str">
        <f>VLOOKUP(A98,Table!A:B,2,false)</f>
        <v>P4 W2</v>
      </c>
      <c r="D98" s="42" t="str">
        <f>VLOOKUP(A98,Table!A:D,4,false)</f>
        <v>Period 4</v>
      </c>
      <c r="E98" s="41" t="s">
        <v>101</v>
      </c>
      <c r="F98" s="43">
        <v>0.9166666666666666</v>
      </c>
      <c r="J98" s="45" t="b">
        <f t="shared" si="1"/>
        <v>0</v>
      </c>
      <c r="L98" s="41" t="s">
        <v>100</v>
      </c>
    </row>
    <row r="99">
      <c r="A99" s="40">
        <v>44171.0</v>
      </c>
      <c r="B99" s="41" t="s">
        <v>100</v>
      </c>
      <c r="C99" s="42" t="str">
        <f>VLOOKUP(A99,Table!A:B,2,false)</f>
        <v>P4 W2</v>
      </c>
      <c r="D99" s="42" t="str">
        <f>VLOOKUP(A99,Table!A:D,4,false)</f>
        <v>Period 4</v>
      </c>
      <c r="E99" s="41" t="s">
        <v>101</v>
      </c>
      <c r="F99" s="43">
        <v>0.9166666666666666</v>
      </c>
      <c r="J99" s="45" t="b">
        <f t="shared" si="1"/>
        <v>0</v>
      </c>
      <c r="L99" s="41" t="s">
        <v>92</v>
      </c>
    </row>
    <row r="100">
      <c r="A100" s="40">
        <v>44172.0</v>
      </c>
      <c r="B100" s="41" t="s">
        <v>92</v>
      </c>
      <c r="C100" s="42" t="str">
        <f>VLOOKUP(A100,Table!A:B,2,false)</f>
        <v>P4 W3</v>
      </c>
      <c r="D100" s="42" t="str">
        <f>VLOOKUP(A100,Table!A:D,4,false)</f>
        <v>Period 4</v>
      </c>
      <c r="E100" s="41" t="s">
        <v>106</v>
      </c>
      <c r="F100" s="43">
        <v>0.9166666666666666</v>
      </c>
      <c r="J100" s="45" t="b">
        <f t="shared" si="1"/>
        <v>0</v>
      </c>
      <c r="L100" s="41" t="s">
        <v>94</v>
      </c>
    </row>
    <row r="101">
      <c r="A101" s="40">
        <v>44173.0</v>
      </c>
      <c r="B101" s="41" t="s">
        <v>94</v>
      </c>
      <c r="C101" s="42" t="str">
        <f>VLOOKUP(A101,Table!A:B,2,false)</f>
        <v>P4 W3</v>
      </c>
      <c r="D101" s="42" t="str">
        <f>VLOOKUP(A101,Table!A:D,4,false)</f>
        <v>Period 4</v>
      </c>
      <c r="E101" s="41" t="s">
        <v>106</v>
      </c>
      <c r="F101" s="43">
        <v>0.9166666666666666</v>
      </c>
      <c r="J101" s="45" t="b">
        <f t="shared" si="1"/>
        <v>0</v>
      </c>
      <c r="L101" s="41" t="s">
        <v>96</v>
      </c>
    </row>
    <row r="102">
      <c r="A102" s="40">
        <v>44174.0</v>
      </c>
      <c r="B102" s="41" t="s">
        <v>96</v>
      </c>
      <c r="C102" s="42" t="str">
        <f>VLOOKUP(A102,Table!A:B,2,false)</f>
        <v>P4 W3</v>
      </c>
      <c r="D102" s="42" t="str">
        <f>VLOOKUP(A102,Table!A:D,4,false)</f>
        <v>Period 4</v>
      </c>
      <c r="E102" s="41" t="s">
        <v>106</v>
      </c>
      <c r="F102" s="43">
        <v>0.9166666666666666</v>
      </c>
      <c r="J102" s="45" t="b">
        <f t="shared" si="1"/>
        <v>0</v>
      </c>
      <c r="L102" s="41" t="s">
        <v>97</v>
      </c>
    </row>
    <row r="103">
      <c r="A103" s="40">
        <v>44175.0</v>
      </c>
      <c r="B103" s="41" t="s">
        <v>97</v>
      </c>
      <c r="C103" s="42" t="str">
        <f>VLOOKUP(A103,Table!A:B,2,false)</f>
        <v>P4 W3</v>
      </c>
      <c r="D103" s="42" t="str">
        <f>VLOOKUP(A103,Table!A:D,4,false)</f>
        <v>Period 4</v>
      </c>
      <c r="E103" s="41" t="s">
        <v>106</v>
      </c>
      <c r="F103" s="43">
        <v>0.9166666666666666</v>
      </c>
      <c r="J103" s="45" t="b">
        <f t="shared" si="1"/>
        <v>0</v>
      </c>
      <c r="L103" s="41" t="s">
        <v>98</v>
      </c>
    </row>
    <row r="104">
      <c r="A104" s="40">
        <v>44176.0</v>
      </c>
      <c r="B104" s="41" t="s">
        <v>98</v>
      </c>
      <c r="C104" s="42" t="str">
        <f>VLOOKUP(A104,Table!A:B,2,false)</f>
        <v>P4 W3</v>
      </c>
      <c r="D104" s="42" t="str">
        <f>VLOOKUP(A104,Table!A:D,4,false)</f>
        <v>Period 4</v>
      </c>
      <c r="E104" s="41" t="s">
        <v>106</v>
      </c>
      <c r="F104" s="43">
        <v>0.9166666666666666</v>
      </c>
      <c r="J104" s="45" t="b">
        <f t="shared" si="1"/>
        <v>0</v>
      </c>
      <c r="L104" s="41" t="s">
        <v>99</v>
      </c>
    </row>
    <row r="105">
      <c r="A105" s="40">
        <v>44177.0</v>
      </c>
      <c r="B105" s="41" t="s">
        <v>99</v>
      </c>
      <c r="C105" s="42" t="str">
        <f>VLOOKUP(A105,Table!A:B,2,false)</f>
        <v>P4 W3</v>
      </c>
      <c r="D105" s="42" t="str">
        <f>VLOOKUP(A105,Table!A:D,4,false)</f>
        <v>Period 4</v>
      </c>
      <c r="E105" s="41" t="s">
        <v>106</v>
      </c>
      <c r="F105" s="43">
        <v>0.9166666666666666</v>
      </c>
      <c r="J105" s="45" t="b">
        <f t="shared" si="1"/>
        <v>0</v>
      </c>
      <c r="L105" s="41" t="s">
        <v>100</v>
      </c>
    </row>
    <row r="106">
      <c r="A106" s="40">
        <v>44178.0</v>
      </c>
      <c r="B106" s="41" t="s">
        <v>100</v>
      </c>
      <c r="C106" s="42" t="str">
        <f>VLOOKUP(A106,Table!A:B,2,false)</f>
        <v>P4 W3</v>
      </c>
      <c r="D106" s="42" t="str">
        <f>VLOOKUP(A106,Table!A:D,4,false)</f>
        <v>Period 4</v>
      </c>
      <c r="E106" s="41" t="s">
        <v>106</v>
      </c>
      <c r="F106" s="43">
        <v>0.9166666666666666</v>
      </c>
      <c r="J106" s="45" t="b">
        <f t="shared" si="1"/>
        <v>0</v>
      </c>
      <c r="L106" s="41" t="s">
        <v>92</v>
      </c>
    </row>
    <row r="107">
      <c r="A107" s="40">
        <v>44179.0</v>
      </c>
      <c r="B107" s="41" t="s">
        <v>92</v>
      </c>
      <c r="C107" s="42" t="str">
        <f>VLOOKUP(A107,Table!A:B,2,false)</f>
        <v>P4 W4</v>
      </c>
      <c r="D107" s="42" t="str">
        <f>VLOOKUP(A107,Table!A:D,4,false)</f>
        <v>Period 4</v>
      </c>
      <c r="E107" s="41" t="s">
        <v>110</v>
      </c>
      <c r="F107" s="43">
        <v>0.9166666666666666</v>
      </c>
      <c r="J107" s="45" t="b">
        <f t="shared" si="1"/>
        <v>0</v>
      </c>
      <c r="L107" s="41" t="s">
        <v>94</v>
      </c>
    </row>
    <row r="108">
      <c r="A108" s="40">
        <v>44180.0</v>
      </c>
      <c r="B108" s="41" t="s">
        <v>94</v>
      </c>
      <c r="C108" s="42" t="str">
        <f>VLOOKUP(A108,Table!A:B,2,false)</f>
        <v>P4 W4</v>
      </c>
      <c r="D108" s="42" t="str">
        <f>VLOOKUP(A108,Table!A:D,4,false)</f>
        <v>Period 4</v>
      </c>
      <c r="E108" s="41" t="s">
        <v>110</v>
      </c>
      <c r="F108" s="43">
        <v>0.9166666666666666</v>
      </c>
      <c r="J108" s="45" t="b">
        <f t="shared" si="1"/>
        <v>0</v>
      </c>
      <c r="L108" s="41" t="s">
        <v>96</v>
      </c>
    </row>
    <row r="109">
      <c r="A109" s="40">
        <v>44181.0</v>
      </c>
      <c r="B109" s="41" t="s">
        <v>96</v>
      </c>
      <c r="C109" s="42" t="str">
        <f>VLOOKUP(A109,Table!A:B,2,false)</f>
        <v>P4 W4</v>
      </c>
      <c r="D109" s="42" t="str">
        <f>VLOOKUP(A109,Table!A:D,4,false)</f>
        <v>Period 4</v>
      </c>
      <c r="E109" s="41" t="s">
        <v>110</v>
      </c>
      <c r="F109" s="43">
        <v>0.9166666666666666</v>
      </c>
      <c r="J109" s="45" t="b">
        <f t="shared" si="1"/>
        <v>0</v>
      </c>
      <c r="L109" s="41" t="s">
        <v>97</v>
      </c>
    </row>
    <row r="110">
      <c r="A110" s="40">
        <v>44182.0</v>
      </c>
      <c r="B110" s="41" t="s">
        <v>97</v>
      </c>
      <c r="C110" s="42" t="str">
        <f>VLOOKUP(A110,Table!A:B,2,false)</f>
        <v>P4 W4</v>
      </c>
      <c r="D110" s="42" t="str">
        <f>VLOOKUP(A110,Table!A:D,4,false)</f>
        <v>Period 4</v>
      </c>
      <c r="E110" s="41" t="s">
        <v>110</v>
      </c>
      <c r="F110" s="43">
        <v>0.9166666666666666</v>
      </c>
      <c r="J110" s="45" t="b">
        <f t="shared" si="1"/>
        <v>0</v>
      </c>
      <c r="L110" s="41" t="s">
        <v>98</v>
      </c>
    </row>
    <row r="111">
      <c r="A111" s="40">
        <v>44183.0</v>
      </c>
      <c r="B111" s="41" t="s">
        <v>98</v>
      </c>
      <c r="C111" s="42" t="str">
        <f>VLOOKUP(A111,Table!A:B,2,false)</f>
        <v>P4 W4</v>
      </c>
      <c r="D111" s="42" t="str">
        <f>VLOOKUP(A111,Table!A:D,4,false)</f>
        <v>Period 4</v>
      </c>
      <c r="E111" s="41" t="s">
        <v>110</v>
      </c>
      <c r="F111" s="43">
        <v>0.9166666666666666</v>
      </c>
      <c r="J111" s="45" t="b">
        <f t="shared" si="1"/>
        <v>0</v>
      </c>
      <c r="L111" s="41" t="s">
        <v>99</v>
      </c>
    </row>
    <row r="112">
      <c r="A112" s="40">
        <v>44184.0</v>
      </c>
      <c r="B112" s="41" t="s">
        <v>99</v>
      </c>
      <c r="C112" s="42" t="str">
        <f>VLOOKUP(A112,Table!A:B,2,false)</f>
        <v>P4 W4</v>
      </c>
      <c r="D112" s="42" t="str">
        <f>VLOOKUP(A112,Table!A:D,4,false)</f>
        <v>Period 4</v>
      </c>
      <c r="E112" s="41" t="s">
        <v>110</v>
      </c>
      <c r="F112" s="43">
        <v>0.9166666666666666</v>
      </c>
      <c r="J112" s="45" t="b">
        <f t="shared" si="1"/>
        <v>0</v>
      </c>
      <c r="L112" s="41" t="s">
        <v>100</v>
      </c>
    </row>
    <row r="113">
      <c r="A113" s="40">
        <v>44185.0</v>
      </c>
      <c r="B113" s="41" t="s">
        <v>100</v>
      </c>
      <c r="C113" s="42" t="str">
        <f>VLOOKUP(A113,Table!A:B,2,false)</f>
        <v>P4 W4</v>
      </c>
      <c r="D113" s="42" t="str">
        <f>VLOOKUP(A113,Table!A:D,4,false)</f>
        <v>Period 4</v>
      </c>
      <c r="E113" s="41" t="s">
        <v>110</v>
      </c>
      <c r="F113" s="43">
        <v>0.9166666666666666</v>
      </c>
      <c r="J113" s="45" t="b">
        <f t="shared" si="1"/>
        <v>0</v>
      </c>
      <c r="L113" s="41" t="s">
        <v>92</v>
      </c>
    </row>
    <row r="114">
      <c r="A114" s="40">
        <v>44186.0</v>
      </c>
      <c r="B114" s="41" t="s">
        <v>92</v>
      </c>
      <c r="C114" s="42" t="str">
        <f>VLOOKUP(A114,Table!A:B,2,false)</f>
        <v>P5 W1</v>
      </c>
      <c r="D114" s="42" t="str">
        <f>VLOOKUP(A114,Table!A:D,4,false)</f>
        <v>Period 5</v>
      </c>
      <c r="E114" s="41" t="s">
        <v>93</v>
      </c>
      <c r="F114" s="43">
        <v>0.9166666666666666</v>
      </c>
      <c r="J114" s="45" t="b">
        <f t="shared" si="1"/>
        <v>0</v>
      </c>
      <c r="L114" s="41" t="s">
        <v>94</v>
      </c>
    </row>
    <row r="115">
      <c r="A115" s="40">
        <v>44187.0</v>
      </c>
      <c r="B115" s="41" t="s">
        <v>94</v>
      </c>
      <c r="C115" s="42" t="str">
        <f>VLOOKUP(A115,Table!A:B,2,false)</f>
        <v>P5 W1</v>
      </c>
      <c r="D115" s="42" t="str">
        <f>VLOOKUP(A115,Table!A:D,4,false)</f>
        <v>Period 5</v>
      </c>
      <c r="E115" s="41" t="s">
        <v>93</v>
      </c>
      <c r="F115" s="43">
        <v>0.9166666666666666</v>
      </c>
      <c r="J115" s="45" t="b">
        <f t="shared" si="1"/>
        <v>0</v>
      </c>
      <c r="L115" s="41" t="s">
        <v>96</v>
      </c>
    </row>
    <row r="116">
      <c r="A116" s="40">
        <v>44188.0</v>
      </c>
      <c r="B116" s="41" t="s">
        <v>96</v>
      </c>
      <c r="C116" s="42" t="str">
        <f>VLOOKUP(A116,Table!A:B,2,false)</f>
        <v>P5 W1</v>
      </c>
      <c r="D116" s="42" t="str">
        <f>VLOOKUP(A116,Table!A:D,4,false)</f>
        <v>Period 5</v>
      </c>
      <c r="E116" s="41" t="s">
        <v>93</v>
      </c>
      <c r="F116" s="43">
        <v>0.9166666666666666</v>
      </c>
      <c r="J116" s="45" t="b">
        <f t="shared" si="1"/>
        <v>0</v>
      </c>
      <c r="L116" s="41" t="s">
        <v>97</v>
      </c>
    </row>
    <row r="117">
      <c r="A117" s="40">
        <v>44189.0</v>
      </c>
      <c r="B117" s="41" t="s">
        <v>97</v>
      </c>
      <c r="C117" s="42" t="str">
        <f>VLOOKUP(A117,Table!A:B,2,false)</f>
        <v>P5 W1</v>
      </c>
      <c r="D117" s="42" t="str">
        <f>VLOOKUP(A117,Table!A:D,4,false)</f>
        <v>Period 5</v>
      </c>
      <c r="E117" s="41" t="s">
        <v>93</v>
      </c>
      <c r="F117" s="43">
        <v>0.9166666666666666</v>
      </c>
      <c r="J117" s="45" t="b">
        <f t="shared" si="1"/>
        <v>0</v>
      </c>
      <c r="L117" s="41" t="s">
        <v>98</v>
      </c>
    </row>
    <row r="118">
      <c r="A118" s="40">
        <v>44190.0</v>
      </c>
      <c r="B118" s="41" t="s">
        <v>98</v>
      </c>
      <c r="C118" s="42" t="str">
        <f>VLOOKUP(A118,Table!A:B,2,false)</f>
        <v>P5 W1</v>
      </c>
      <c r="D118" s="42" t="str">
        <f>VLOOKUP(A118,Table!A:D,4,false)</f>
        <v>Period 5</v>
      </c>
      <c r="E118" s="41" t="s">
        <v>93</v>
      </c>
      <c r="F118" s="43">
        <v>0.9166666666666666</v>
      </c>
      <c r="J118" s="45" t="b">
        <f t="shared" si="1"/>
        <v>0</v>
      </c>
      <c r="L118" s="41" t="s">
        <v>99</v>
      </c>
    </row>
    <row r="119">
      <c r="A119" s="40">
        <v>44191.0</v>
      </c>
      <c r="B119" s="41" t="s">
        <v>99</v>
      </c>
      <c r="C119" s="42" t="str">
        <f>VLOOKUP(A119,Table!A:B,2,false)</f>
        <v>P5 W1</v>
      </c>
      <c r="D119" s="42" t="str">
        <f>VLOOKUP(A119,Table!A:D,4,false)</f>
        <v>Period 5</v>
      </c>
      <c r="E119" s="41" t="s">
        <v>93</v>
      </c>
      <c r="F119" s="43">
        <v>0.9166666666666666</v>
      </c>
      <c r="J119" s="45" t="b">
        <f t="shared" si="1"/>
        <v>0</v>
      </c>
      <c r="L119" s="41" t="s">
        <v>100</v>
      </c>
    </row>
    <row r="120">
      <c r="A120" s="40">
        <v>44192.0</v>
      </c>
      <c r="B120" s="41" t="s">
        <v>100</v>
      </c>
      <c r="C120" s="42" t="str">
        <f>VLOOKUP(A120,Table!A:B,2,false)</f>
        <v>P5 W1</v>
      </c>
      <c r="D120" s="42" t="str">
        <f>VLOOKUP(A120,Table!A:D,4,false)</f>
        <v>Period 5</v>
      </c>
      <c r="E120" s="41" t="s">
        <v>93</v>
      </c>
      <c r="F120" s="43">
        <v>0.9166666666666666</v>
      </c>
      <c r="J120" s="45" t="b">
        <f t="shared" si="1"/>
        <v>0</v>
      </c>
      <c r="L120" s="41" t="s">
        <v>92</v>
      </c>
    </row>
    <row r="121">
      <c r="A121" s="40">
        <v>44193.0</v>
      </c>
      <c r="B121" s="41" t="s">
        <v>92</v>
      </c>
      <c r="C121" s="42" t="str">
        <f>VLOOKUP(A121,Table!A:B,2,false)</f>
        <v>P5 W2</v>
      </c>
      <c r="D121" s="42" t="str">
        <f>VLOOKUP(A121,Table!A:D,4,false)</f>
        <v>Period 5</v>
      </c>
      <c r="E121" s="41" t="s">
        <v>101</v>
      </c>
      <c r="F121" s="43">
        <v>0.9166666666666666</v>
      </c>
      <c r="J121" s="45" t="b">
        <f t="shared" si="1"/>
        <v>0</v>
      </c>
      <c r="L121" s="41" t="s">
        <v>94</v>
      </c>
    </row>
    <row r="122">
      <c r="A122" s="40">
        <v>44194.0</v>
      </c>
      <c r="B122" s="41" t="s">
        <v>94</v>
      </c>
      <c r="C122" s="42" t="str">
        <f>VLOOKUP(A122,Table!A:B,2,false)</f>
        <v>P5 W2</v>
      </c>
      <c r="D122" s="42" t="str">
        <f>VLOOKUP(A122,Table!A:D,4,false)</f>
        <v>Period 5</v>
      </c>
      <c r="E122" s="41" t="s">
        <v>101</v>
      </c>
      <c r="F122" s="43">
        <v>0.9166666666666666</v>
      </c>
      <c r="J122" s="45" t="b">
        <f t="shared" si="1"/>
        <v>0</v>
      </c>
      <c r="L122" s="41" t="s">
        <v>96</v>
      </c>
    </row>
    <row r="123">
      <c r="A123" s="40">
        <v>44195.0</v>
      </c>
      <c r="B123" s="41" t="s">
        <v>96</v>
      </c>
      <c r="C123" s="42" t="str">
        <f>VLOOKUP(A123,Table!A:B,2,false)</f>
        <v>P5 W2</v>
      </c>
      <c r="D123" s="42" t="str">
        <f>VLOOKUP(A123,Table!A:D,4,false)</f>
        <v>Period 5</v>
      </c>
      <c r="E123" s="41" t="s">
        <v>101</v>
      </c>
      <c r="F123" s="43">
        <v>0.9166666666666666</v>
      </c>
      <c r="J123" s="45" t="b">
        <f t="shared" si="1"/>
        <v>0</v>
      </c>
      <c r="L123" s="41" t="s">
        <v>97</v>
      </c>
    </row>
    <row r="124">
      <c r="A124" s="40">
        <v>44196.0</v>
      </c>
      <c r="B124" s="41" t="s">
        <v>97</v>
      </c>
      <c r="C124" s="42" t="str">
        <f>VLOOKUP(A124,Table!A:B,2,false)</f>
        <v>P5 W2</v>
      </c>
      <c r="D124" s="42" t="str">
        <f>VLOOKUP(A124,Table!A:D,4,false)</f>
        <v>Period 5</v>
      </c>
      <c r="E124" s="41" t="s">
        <v>101</v>
      </c>
      <c r="F124" s="43">
        <v>0.9166666666666666</v>
      </c>
      <c r="J124" s="45" t="b">
        <f t="shared" si="1"/>
        <v>0</v>
      </c>
      <c r="L124" s="41" t="s">
        <v>98</v>
      </c>
    </row>
    <row r="125">
      <c r="A125" s="40">
        <v>44197.0</v>
      </c>
      <c r="B125" s="41" t="s">
        <v>98</v>
      </c>
      <c r="C125" s="42" t="str">
        <f>VLOOKUP(A125,Table!A:B,2,false)</f>
        <v>P5 W2</v>
      </c>
      <c r="D125" s="42" t="str">
        <f>VLOOKUP(A125,Table!A:D,4,false)</f>
        <v>Period 5</v>
      </c>
      <c r="E125" s="41" t="s">
        <v>101</v>
      </c>
      <c r="F125" s="43">
        <v>0.9166666666666666</v>
      </c>
      <c r="J125" s="45" t="b">
        <f t="shared" si="1"/>
        <v>0</v>
      </c>
      <c r="L125" s="41" t="s">
        <v>99</v>
      </c>
    </row>
    <row r="126">
      <c r="A126" s="40">
        <v>44198.0</v>
      </c>
      <c r="B126" s="41" t="s">
        <v>99</v>
      </c>
      <c r="C126" s="42" t="str">
        <f>VLOOKUP(A126,Table!A:B,2,false)</f>
        <v>P5 W2</v>
      </c>
      <c r="D126" s="42" t="str">
        <f>VLOOKUP(A126,Table!A:D,4,false)</f>
        <v>Period 5</v>
      </c>
      <c r="E126" s="41" t="s">
        <v>101</v>
      </c>
      <c r="F126" s="43">
        <v>0.9166666666666666</v>
      </c>
      <c r="J126" s="45" t="b">
        <f t="shared" si="1"/>
        <v>0</v>
      </c>
      <c r="L126" s="41" t="s">
        <v>100</v>
      </c>
    </row>
    <row r="127">
      <c r="A127" s="40">
        <v>44199.0</v>
      </c>
      <c r="B127" s="41" t="s">
        <v>100</v>
      </c>
      <c r="C127" s="42" t="str">
        <f>VLOOKUP(A127,Table!A:B,2,false)</f>
        <v>P5 W2</v>
      </c>
      <c r="D127" s="42" t="str">
        <f>VLOOKUP(A127,Table!A:D,4,false)</f>
        <v>Period 5</v>
      </c>
      <c r="E127" s="41" t="s">
        <v>101</v>
      </c>
      <c r="F127" s="43">
        <v>0.9166666666666666</v>
      </c>
      <c r="J127" s="45" t="b">
        <f t="shared" si="1"/>
        <v>0</v>
      </c>
      <c r="L127" s="41" t="s">
        <v>92</v>
      </c>
    </row>
    <row r="128">
      <c r="A128" s="40">
        <v>44200.0</v>
      </c>
      <c r="B128" s="41" t="s">
        <v>92</v>
      </c>
      <c r="C128" s="42" t="str">
        <f>VLOOKUP(A128,Table!A:B,2,false)</f>
        <v>P5 W3</v>
      </c>
      <c r="D128" s="42" t="str">
        <f>VLOOKUP(A128,Table!A:D,4,false)</f>
        <v>Period 5</v>
      </c>
      <c r="E128" s="41" t="s">
        <v>106</v>
      </c>
      <c r="F128" s="43">
        <v>0.9166666666666666</v>
      </c>
      <c r="J128" s="45" t="b">
        <f t="shared" si="1"/>
        <v>0</v>
      </c>
      <c r="L128" s="41" t="s">
        <v>94</v>
      </c>
    </row>
    <row r="129">
      <c r="A129" s="40">
        <v>44201.0</v>
      </c>
      <c r="B129" s="41" t="s">
        <v>94</v>
      </c>
      <c r="C129" s="42" t="str">
        <f>VLOOKUP(A129,Table!A:B,2,false)</f>
        <v>P5 W3</v>
      </c>
      <c r="D129" s="42" t="str">
        <f>VLOOKUP(A129,Table!A:D,4,false)</f>
        <v>Period 5</v>
      </c>
      <c r="E129" s="41" t="s">
        <v>106</v>
      </c>
      <c r="F129" s="43">
        <v>0.9166666666666666</v>
      </c>
      <c r="J129" s="45" t="b">
        <f t="shared" si="1"/>
        <v>0</v>
      </c>
      <c r="L129" s="41" t="s">
        <v>96</v>
      </c>
    </row>
    <row r="130">
      <c r="A130" s="40">
        <v>44202.0</v>
      </c>
      <c r="B130" s="41" t="s">
        <v>96</v>
      </c>
      <c r="C130" s="42" t="str">
        <f>VLOOKUP(A130,Table!A:B,2,false)</f>
        <v>P5 W3</v>
      </c>
      <c r="D130" s="42" t="str">
        <f>VLOOKUP(A130,Table!A:D,4,false)</f>
        <v>Period 5</v>
      </c>
      <c r="E130" s="41" t="s">
        <v>106</v>
      </c>
      <c r="F130" s="43">
        <v>0.9166666666666666</v>
      </c>
      <c r="J130" s="45" t="b">
        <f t="shared" si="1"/>
        <v>0</v>
      </c>
      <c r="L130" s="41" t="s">
        <v>97</v>
      </c>
    </row>
    <row r="131">
      <c r="A131" s="40">
        <v>44203.0</v>
      </c>
      <c r="B131" s="41" t="s">
        <v>97</v>
      </c>
      <c r="C131" s="42" t="str">
        <f>VLOOKUP(A131,Table!A:B,2,false)</f>
        <v>P5 W3</v>
      </c>
      <c r="D131" s="42" t="str">
        <f>VLOOKUP(A131,Table!A:D,4,false)</f>
        <v>Period 5</v>
      </c>
      <c r="E131" s="41" t="s">
        <v>106</v>
      </c>
      <c r="F131" s="43">
        <v>0.9166666666666666</v>
      </c>
      <c r="J131" s="45" t="b">
        <f t="shared" si="1"/>
        <v>0</v>
      </c>
      <c r="L131" s="41" t="s">
        <v>98</v>
      </c>
    </row>
    <row r="132">
      <c r="A132" s="40">
        <v>44204.0</v>
      </c>
      <c r="B132" s="41" t="s">
        <v>98</v>
      </c>
      <c r="C132" s="42" t="str">
        <f>VLOOKUP(A132,Table!A:B,2,false)</f>
        <v>P5 W3</v>
      </c>
      <c r="D132" s="42" t="str">
        <f>VLOOKUP(A132,Table!A:D,4,false)</f>
        <v>Period 5</v>
      </c>
      <c r="E132" s="41" t="s">
        <v>106</v>
      </c>
      <c r="F132" s="43">
        <v>0.9166666666666666</v>
      </c>
      <c r="J132" s="45" t="b">
        <f t="shared" si="1"/>
        <v>0</v>
      </c>
      <c r="L132" s="41" t="s">
        <v>99</v>
      </c>
    </row>
    <row r="133">
      <c r="A133" s="40">
        <v>44205.0</v>
      </c>
      <c r="B133" s="41" t="s">
        <v>99</v>
      </c>
      <c r="C133" s="42" t="str">
        <f>VLOOKUP(A133,Table!A:B,2,false)</f>
        <v>P5 W3</v>
      </c>
      <c r="D133" s="42" t="str">
        <f>VLOOKUP(A133,Table!A:D,4,false)</f>
        <v>Period 5</v>
      </c>
      <c r="E133" s="41" t="s">
        <v>106</v>
      </c>
      <c r="F133" s="43">
        <v>0.9166666666666666</v>
      </c>
      <c r="J133" s="45" t="b">
        <f t="shared" si="1"/>
        <v>0</v>
      </c>
      <c r="L133" s="41" t="s">
        <v>100</v>
      </c>
    </row>
    <row r="134">
      <c r="A134" s="40">
        <v>44206.0</v>
      </c>
      <c r="B134" s="41" t="s">
        <v>100</v>
      </c>
      <c r="C134" s="42" t="str">
        <f>VLOOKUP(A134,Table!A:B,2,false)</f>
        <v>P5 W3</v>
      </c>
      <c r="D134" s="42" t="str">
        <f>VLOOKUP(A134,Table!A:D,4,false)</f>
        <v>Period 5</v>
      </c>
      <c r="E134" s="41" t="s">
        <v>106</v>
      </c>
      <c r="F134" s="43">
        <v>0.9166666666666666</v>
      </c>
      <c r="J134" s="45" t="b">
        <f t="shared" si="1"/>
        <v>0</v>
      </c>
      <c r="L134" s="41" t="s">
        <v>92</v>
      </c>
    </row>
    <row r="135">
      <c r="A135" s="40">
        <v>44207.0</v>
      </c>
      <c r="B135" s="41" t="s">
        <v>92</v>
      </c>
      <c r="C135" s="42" t="str">
        <f>VLOOKUP(A135,Table!A:B,2,false)</f>
        <v>P5 W4</v>
      </c>
      <c r="D135" s="42" t="str">
        <f>VLOOKUP(A135,Table!A:D,4,false)</f>
        <v>Period 5</v>
      </c>
      <c r="E135" s="41" t="s">
        <v>110</v>
      </c>
      <c r="F135" s="43">
        <v>0.9166666666666666</v>
      </c>
      <c r="J135" s="45" t="b">
        <f t="shared" si="1"/>
        <v>0</v>
      </c>
      <c r="L135" s="41" t="s">
        <v>94</v>
      </c>
    </row>
    <row r="136">
      <c r="A136" s="40">
        <v>44208.0</v>
      </c>
      <c r="B136" s="41" t="s">
        <v>94</v>
      </c>
      <c r="C136" s="42" t="str">
        <f>VLOOKUP(A136,Table!A:B,2,false)</f>
        <v>P5 W4</v>
      </c>
      <c r="D136" s="42" t="str">
        <f>VLOOKUP(A136,Table!A:D,4,false)</f>
        <v>Period 5</v>
      </c>
      <c r="E136" s="41" t="s">
        <v>110</v>
      </c>
      <c r="F136" s="43">
        <v>0.9166666666666666</v>
      </c>
      <c r="J136" s="45" t="b">
        <f t="shared" si="1"/>
        <v>0</v>
      </c>
      <c r="L136" s="41" t="s">
        <v>96</v>
      </c>
    </row>
    <row r="137">
      <c r="A137" s="40">
        <v>44209.0</v>
      </c>
      <c r="B137" s="41" t="s">
        <v>96</v>
      </c>
      <c r="C137" s="42" t="str">
        <f>VLOOKUP(A137,Table!A:B,2,false)</f>
        <v>P5 W4</v>
      </c>
      <c r="D137" s="42" t="str">
        <f>VLOOKUP(A137,Table!A:D,4,false)</f>
        <v>Period 5</v>
      </c>
      <c r="E137" s="41" t="s">
        <v>110</v>
      </c>
      <c r="F137" s="43">
        <v>0.9166666666666666</v>
      </c>
      <c r="J137" s="45" t="b">
        <f t="shared" si="1"/>
        <v>0</v>
      </c>
      <c r="L137" s="41" t="s">
        <v>97</v>
      </c>
    </row>
    <row r="138">
      <c r="A138" s="40">
        <v>44210.0</v>
      </c>
      <c r="B138" s="41" t="s">
        <v>97</v>
      </c>
      <c r="C138" s="42" t="str">
        <f>VLOOKUP(A138,Table!A:B,2,false)</f>
        <v>P5 W4</v>
      </c>
      <c r="D138" s="42" t="str">
        <f>VLOOKUP(A138,Table!A:D,4,false)</f>
        <v>Period 5</v>
      </c>
      <c r="E138" s="41" t="s">
        <v>110</v>
      </c>
      <c r="F138" s="43">
        <v>0.9166666666666666</v>
      </c>
      <c r="J138" s="45" t="b">
        <f t="shared" si="1"/>
        <v>0</v>
      </c>
      <c r="L138" s="41" t="s">
        <v>98</v>
      </c>
    </row>
    <row r="139">
      <c r="A139" s="40">
        <v>44211.0</v>
      </c>
      <c r="B139" s="41" t="s">
        <v>98</v>
      </c>
      <c r="C139" s="42" t="str">
        <f>VLOOKUP(A139,Table!A:B,2,false)</f>
        <v>P5 W4</v>
      </c>
      <c r="D139" s="42" t="str">
        <f>VLOOKUP(A139,Table!A:D,4,false)</f>
        <v>Period 5</v>
      </c>
      <c r="E139" s="41" t="s">
        <v>110</v>
      </c>
      <c r="F139" s="43">
        <v>0.9166666666666666</v>
      </c>
      <c r="J139" s="45" t="b">
        <f t="shared" si="1"/>
        <v>0</v>
      </c>
      <c r="L139" s="41" t="s">
        <v>99</v>
      </c>
    </row>
    <row r="140">
      <c r="A140" s="40">
        <v>44212.0</v>
      </c>
      <c r="B140" s="41" t="s">
        <v>99</v>
      </c>
      <c r="C140" s="42" t="str">
        <f>VLOOKUP(A140,Table!A:B,2,false)</f>
        <v>P5 W4</v>
      </c>
      <c r="D140" s="42" t="str">
        <f>VLOOKUP(A140,Table!A:D,4,false)</f>
        <v>Period 5</v>
      </c>
      <c r="E140" s="41" t="s">
        <v>110</v>
      </c>
      <c r="F140" s="43">
        <v>0.9166666666666666</v>
      </c>
      <c r="J140" s="45" t="b">
        <f t="shared" si="1"/>
        <v>0</v>
      </c>
      <c r="L140" s="41" t="s">
        <v>100</v>
      </c>
    </row>
    <row r="141">
      <c r="A141" s="40">
        <v>44213.0</v>
      </c>
      <c r="B141" s="41" t="s">
        <v>100</v>
      </c>
      <c r="C141" s="42" t="str">
        <f>VLOOKUP(A141,Table!A:B,2,false)</f>
        <v>P5 W4</v>
      </c>
      <c r="D141" s="42" t="str">
        <f>VLOOKUP(A141,Table!A:D,4,false)</f>
        <v>Period 5</v>
      </c>
      <c r="E141" s="41" t="s">
        <v>110</v>
      </c>
      <c r="F141" s="43">
        <v>0.9166666666666666</v>
      </c>
      <c r="J141" s="45" t="b">
        <f t="shared" si="1"/>
        <v>0</v>
      </c>
      <c r="L141" s="41" t="s">
        <v>92</v>
      </c>
    </row>
    <row r="142">
      <c r="A142" s="40">
        <v>44214.0</v>
      </c>
      <c r="B142" s="41" t="s">
        <v>92</v>
      </c>
      <c r="C142" s="42" t="str">
        <f>VLOOKUP(A142,Table!A:B,2,false)</f>
        <v>P6 W1</v>
      </c>
      <c r="D142" s="42" t="str">
        <f>VLOOKUP(A142,Table!A:D,4,false)</f>
        <v>Period 6</v>
      </c>
      <c r="E142" s="41" t="s">
        <v>93</v>
      </c>
      <c r="F142" s="43">
        <v>0.9166666666666666</v>
      </c>
      <c r="J142" s="45" t="b">
        <f t="shared" si="1"/>
        <v>0</v>
      </c>
      <c r="L142" s="41" t="s">
        <v>94</v>
      </c>
    </row>
    <row r="143">
      <c r="A143" s="40">
        <v>44215.0</v>
      </c>
      <c r="B143" s="41" t="s">
        <v>94</v>
      </c>
      <c r="C143" s="42" t="str">
        <f>VLOOKUP(A143,Table!A:B,2,false)</f>
        <v>P6 W1</v>
      </c>
      <c r="D143" s="42" t="str">
        <f>VLOOKUP(A143,Table!A:D,4,false)</f>
        <v>Period 6</v>
      </c>
      <c r="E143" s="41" t="s">
        <v>93</v>
      </c>
      <c r="F143" s="43">
        <v>0.9166666666666666</v>
      </c>
      <c r="J143" s="45" t="b">
        <f t="shared" si="1"/>
        <v>0</v>
      </c>
      <c r="L143" s="41" t="s">
        <v>96</v>
      </c>
    </row>
    <row r="144">
      <c r="A144" s="40">
        <v>44216.0</v>
      </c>
      <c r="B144" s="41" t="s">
        <v>96</v>
      </c>
      <c r="C144" s="42" t="str">
        <f>VLOOKUP(A144,Table!A:B,2,false)</f>
        <v>P6 W1</v>
      </c>
      <c r="D144" s="42" t="str">
        <f>VLOOKUP(A144,Table!A:D,4,false)</f>
        <v>Period 6</v>
      </c>
      <c r="E144" s="41" t="s">
        <v>93</v>
      </c>
      <c r="F144" s="43">
        <v>0.9166666666666666</v>
      </c>
      <c r="J144" s="45" t="b">
        <f t="shared" si="1"/>
        <v>0</v>
      </c>
      <c r="L144" s="41" t="s">
        <v>97</v>
      </c>
    </row>
    <row r="145">
      <c r="A145" s="40">
        <v>44217.0</v>
      </c>
      <c r="B145" s="41" t="s">
        <v>97</v>
      </c>
      <c r="C145" s="42" t="str">
        <f>VLOOKUP(A145,Table!A:B,2,false)</f>
        <v>P6 W1</v>
      </c>
      <c r="D145" s="42" t="str">
        <f>VLOOKUP(A145,Table!A:D,4,false)</f>
        <v>Period 6</v>
      </c>
      <c r="E145" s="41" t="s">
        <v>93</v>
      </c>
      <c r="F145" s="43">
        <v>0.9166666666666666</v>
      </c>
      <c r="J145" s="45" t="b">
        <f t="shared" si="1"/>
        <v>0</v>
      </c>
      <c r="L145" s="41" t="s">
        <v>98</v>
      </c>
    </row>
    <row r="146">
      <c r="A146" s="40">
        <v>44218.0</v>
      </c>
      <c r="B146" s="41" t="s">
        <v>98</v>
      </c>
      <c r="C146" s="42" t="str">
        <f>VLOOKUP(A146,Table!A:B,2,false)</f>
        <v>P6 W1</v>
      </c>
      <c r="D146" s="42" t="str">
        <f>VLOOKUP(A146,Table!A:D,4,false)</f>
        <v>Period 6</v>
      </c>
      <c r="E146" s="41" t="s">
        <v>93</v>
      </c>
      <c r="F146" s="43">
        <v>0.9166666666666666</v>
      </c>
      <c r="J146" s="45" t="b">
        <f t="shared" si="1"/>
        <v>0</v>
      </c>
      <c r="L146" s="41" t="s">
        <v>99</v>
      </c>
    </row>
    <row r="147">
      <c r="A147" s="40">
        <v>44219.0</v>
      </c>
      <c r="B147" s="41" t="s">
        <v>99</v>
      </c>
      <c r="C147" s="42" t="str">
        <f>VLOOKUP(A147,Table!A:B,2,false)</f>
        <v>P6 W1</v>
      </c>
      <c r="D147" s="42" t="str">
        <f>VLOOKUP(A147,Table!A:D,4,false)</f>
        <v>Period 6</v>
      </c>
      <c r="E147" s="41" t="s">
        <v>93</v>
      </c>
      <c r="F147" s="43">
        <v>0.9166666666666666</v>
      </c>
      <c r="J147" s="45" t="b">
        <f t="shared" si="1"/>
        <v>0</v>
      </c>
      <c r="L147" s="41" t="s">
        <v>100</v>
      </c>
    </row>
    <row r="148">
      <c r="A148" s="40">
        <v>44220.0</v>
      </c>
      <c r="B148" s="41" t="s">
        <v>100</v>
      </c>
      <c r="C148" s="42" t="str">
        <f>VLOOKUP(A148,Table!A:B,2,false)</f>
        <v>P6 W1</v>
      </c>
      <c r="D148" s="42" t="str">
        <f>VLOOKUP(A148,Table!A:D,4,false)</f>
        <v>Period 6</v>
      </c>
      <c r="E148" s="41" t="s">
        <v>93</v>
      </c>
      <c r="F148" s="43">
        <v>0.9166666666666666</v>
      </c>
      <c r="J148" s="45" t="b">
        <f t="shared" si="1"/>
        <v>0</v>
      </c>
      <c r="L148" s="41" t="s">
        <v>92</v>
      </c>
    </row>
    <row r="149">
      <c r="A149" s="40">
        <v>44221.0</v>
      </c>
      <c r="B149" s="41" t="s">
        <v>92</v>
      </c>
      <c r="C149" s="42" t="str">
        <f>VLOOKUP(A149,Table!A:B,2,false)</f>
        <v>P6 W2</v>
      </c>
      <c r="D149" s="42" t="str">
        <f>VLOOKUP(A149,Table!A:D,4,false)</f>
        <v>Period 6</v>
      </c>
      <c r="E149" s="41" t="s">
        <v>101</v>
      </c>
      <c r="F149" s="43">
        <v>0.9166666666666666</v>
      </c>
      <c r="J149" s="45" t="b">
        <f t="shared" si="1"/>
        <v>0</v>
      </c>
      <c r="L149" s="41" t="s">
        <v>94</v>
      </c>
    </row>
    <row r="150">
      <c r="A150" s="40">
        <v>44222.0</v>
      </c>
      <c r="B150" s="41" t="s">
        <v>94</v>
      </c>
      <c r="C150" s="42" t="str">
        <f>VLOOKUP(A150,Table!A:B,2,false)</f>
        <v>P6 W2</v>
      </c>
      <c r="D150" s="42" t="str">
        <f>VLOOKUP(A150,Table!A:D,4,false)</f>
        <v>Period 6</v>
      </c>
      <c r="E150" s="41" t="s">
        <v>101</v>
      </c>
      <c r="F150" s="43">
        <v>0.9166666666666666</v>
      </c>
      <c r="J150" s="45" t="b">
        <f t="shared" si="1"/>
        <v>0</v>
      </c>
      <c r="L150" s="41" t="s">
        <v>96</v>
      </c>
    </row>
    <row r="151">
      <c r="A151" s="40">
        <v>44223.0</v>
      </c>
      <c r="B151" s="41" t="s">
        <v>96</v>
      </c>
      <c r="C151" s="42" t="str">
        <f>VLOOKUP(A151,Table!A:B,2,false)</f>
        <v>P6 W2</v>
      </c>
      <c r="D151" s="42" t="str">
        <f>VLOOKUP(A151,Table!A:D,4,false)</f>
        <v>Period 6</v>
      </c>
      <c r="E151" s="41" t="s">
        <v>101</v>
      </c>
      <c r="F151" s="43">
        <v>0.9166666666666666</v>
      </c>
      <c r="J151" s="45" t="b">
        <f t="shared" si="1"/>
        <v>0</v>
      </c>
      <c r="L151" s="41" t="s">
        <v>97</v>
      </c>
    </row>
    <row r="152">
      <c r="A152" s="40">
        <v>44224.0</v>
      </c>
      <c r="B152" s="41" t="s">
        <v>97</v>
      </c>
      <c r="C152" s="42" t="str">
        <f>VLOOKUP(A152,Table!A:B,2,false)</f>
        <v>P6 W2</v>
      </c>
      <c r="D152" s="42" t="str">
        <f>VLOOKUP(A152,Table!A:D,4,false)</f>
        <v>Period 6</v>
      </c>
      <c r="E152" s="41" t="s">
        <v>101</v>
      </c>
      <c r="F152" s="43">
        <v>0.9166666666666666</v>
      </c>
      <c r="J152" s="45" t="b">
        <f t="shared" si="1"/>
        <v>0</v>
      </c>
      <c r="L152" s="41" t="s">
        <v>98</v>
      </c>
    </row>
    <row r="153">
      <c r="A153" s="40">
        <v>44225.0</v>
      </c>
      <c r="B153" s="41" t="s">
        <v>98</v>
      </c>
      <c r="C153" s="42" t="str">
        <f>VLOOKUP(A153,Table!A:B,2,false)</f>
        <v>P6 W2</v>
      </c>
      <c r="D153" s="42" t="str">
        <f>VLOOKUP(A153,Table!A:D,4,false)</f>
        <v>Period 6</v>
      </c>
      <c r="E153" s="41" t="s">
        <v>101</v>
      </c>
      <c r="F153" s="43">
        <v>0.9166666666666666</v>
      </c>
      <c r="J153" s="45" t="b">
        <f t="shared" si="1"/>
        <v>0</v>
      </c>
      <c r="L153" s="41" t="s">
        <v>99</v>
      </c>
    </row>
    <row r="154">
      <c r="A154" s="40">
        <v>44226.0</v>
      </c>
      <c r="B154" s="41" t="s">
        <v>99</v>
      </c>
      <c r="C154" s="42" t="str">
        <f>VLOOKUP(A154,Table!A:B,2,false)</f>
        <v>P6 W2</v>
      </c>
      <c r="D154" s="42" t="str">
        <f>VLOOKUP(A154,Table!A:D,4,false)</f>
        <v>Period 6</v>
      </c>
      <c r="E154" s="41" t="s">
        <v>101</v>
      </c>
      <c r="F154" s="43">
        <v>0.9166666666666666</v>
      </c>
      <c r="J154" s="45" t="b">
        <f t="shared" si="1"/>
        <v>0</v>
      </c>
      <c r="L154" s="41" t="s">
        <v>100</v>
      </c>
    </row>
    <row r="155">
      <c r="A155" s="40">
        <v>44227.0</v>
      </c>
      <c r="B155" s="41" t="s">
        <v>100</v>
      </c>
      <c r="C155" s="42" t="str">
        <f>VLOOKUP(A155,Table!A:B,2,false)</f>
        <v>P6 W2</v>
      </c>
      <c r="D155" s="42" t="str">
        <f>VLOOKUP(A155,Table!A:D,4,false)</f>
        <v>Period 6</v>
      </c>
      <c r="E155" s="41" t="s">
        <v>101</v>
      </c>
      <c r="F155" s="43">
        <v>0.9166666666666666</v>
      </c>
      <c r="J155" s="45" t="b">
        <f t="shared" si="1"/>
        <v>0</v>
      </c>
      <c r="L155" s="41" t="s">
        <v>92</v>
      </c>
    </row>
    <row r="156">
      <c r="A156" s="40">
        <v>44228.0</v>
      </c>
      <c r="B156" s="41" t="s">
        <v>92</v>
      </c>
      <c r="C156" s="42" t="str">
        <f>VLOOKUP(A156,Table!A:B,2,false)</f>
        <v>P6 W3</v>
      </c>
      <c r="D156" s="42" t="str">
        <f>VLOOKUP(A156,Table!A:D,4,false)</f>
        <v>Period 6</v>
      </c>
      <c r="E156" s="41" t="s">
        <v>106</v>
      </c>
      <c r="F156" s="43">
        <v>0.9166666666666666</v>
      </c>
      <c r="J156" s="45" t="b">
        <f t="shared" si="1"/>
        <v>0</v>
      </c>
      <c r="L156" s="41" t="s">
        <v>94</v>
      </c>
    </row>
    <row r="157">
      <c r="A157" s="40">
        <v>44229.0</v>
      </c>
      <c r="B157" s="41" t="s">
        <v>94</v>
      </c>
      <c r="C157" s="42" t="str">
        <f>VLOOKUP(A157,Table!A:B,2,false)</f>
        <v>P6 W3</v>
      </c>
      <c r="D157" s="42" t="str">
        <f>VLOOKUP(A157,Table!A:D,4,false)</f>
        <v>Period 6</v>
      </c>
      <c r="E157" s="41" t="s">
        <v>106</v>
      </c>
      <c r="F157" s="43">
        <v>0.9166666666666666</v>
      </c>
      <c r="J157" s="45" t="b">
        <f t="shared" si="1"/>
        <v>0</v>
      </c>
      <c r="L157" s="41" t="s">
        <v>96</v>
      </c>
    </row>
    <row r="158">
      <c r="A158" s="40">
        <v>44230.0</v>
      </c>
      <c r="B158" s="41" t="s">
        <v>96</v>
      </c>
      <c r="C158" s="42" t="str">
        <f>VLOOKUP(A158,Table!A:B,2,false)</f>
        <v>P6 W3</v>
      </c>
      <c r="D158" s="42" t="str">
        <f>VLOOKUP(A158,Table!A:D,4,false)</f>
        <v>Period 6</v>
      </c>
      <c r="E158" s="41" t="s">
        <v>106</v>
      </c>
      <c r="F158" s="43">
        <v>0.9166666666666666</v>
      </c>
      <c r="J158" s="45" t="b">
        <f t="shared" si="1"/>
        <v>0</v>
      </c>
      <c r="L158" s="41" t="s">
        <v>97</v>
      </c>
    </row>
    <row r="159">
      <c r="A159" s="40">
        <v>44231.0</v>
      </c>
      <c r="B159" s="41" t="s">
        <v>97</v>
      </c>
      <c r="C159" s="42" t="str">
        <f>VLOOKUP(A159,Table!A:B,2,false)</f>
        <v>P6 W3</v>
      </c>
      <c r="D159" s="42" t="str">
        <f>VLOOKUP(A159,Table!A:D,4,false)</f>
        <v>Period 6</v>
      </c>
      <c r="E159" s="41" t="s">
        <v>106</v>
      </c>
      <c r="F159" s="43">
        <v>0.9166666666666666</v>
      </c>
      <c r="J159" s="45" t="b">
        <f t="shared" si="1"/>
        <v>0</v>
      </c>
      <c r="L159" s="41" t="s">
        <v>98</v>
      </c>
    </row>
    <row r="160">
      <c r="A160" s="40">
        <v>44232.0</v>
      </c>
      <c r="B160" s="41" t="s">
        <v>98</v>
      </c>
      <c r="C160" s="42" t="str">
        <f>VLOOKUP(A160,Table!A:B,2,false)</f>
        <v>P6 W3</v>
      </c>
      <c r="D160" s="42" t="str">
        <f>VLOOKUP(A160,Table!A:D,4,false)</f>
        <v>Period 6</v>
      </c>
      <c r="E160" s="41" t="s">
        <v>106</v>
      </c>
      <c r="F160" s="43">
        <v>0.9166666666666666</v>
      </c>
      <c r="J160" s="45" t="b">
        <f t="shared" si="1"/>
        <v>0</v>
      </c>
      <c r="L160" s="41" t="s">
        <v>99</v>
      </c>
    </row>
    <row r="161">
      <c r="A161" s="40">
        <v>44233.0</v>
      </c>
      <c r="B161" s="41" t="s">
        <v>99</v>
      </c>
      <c r="C161" s="42" t="str">
        <f>VLOOKUP(A161,Table!A:B,2,false)</f>
        <v>P6 W3</v>
      </c>
      <c r="D161" s="42" t="str">
        <f>VLOOKUP(A161,Table!A:D,4,false)</f>
        <v>Period 6</v>
      </c>
      <c r="E161" s="41" t="s">
        <v>106</v>
      </c>
      <c r="F161" s="43">
        <v>0.9166666666666666</v>
      </c>
      <c r="J161" s="45" t="b">
        <f t="shared" si="1"/>
        <v>0</v>
      </c>
      <c r="L161" s="41" t="s">
        <v>100</v>
      </c>
    </row>
    <row r="162">
      <c r="A162" s="40">
        <v>44234.0</v>
      </c>
      <c r="B162" s="41" t="s">
        <v>100</v>
      </c>
      <c r="C162" s="42" t="str">
        <f>VLOOKUP(A162,Table!A:B,2,false)</f>
        <v>P6 W3</v>
      </c>
      <c r="D162" s="42" t="str">
        <f>VLOOKUP(A162,Table!A:D,4,false)</f>
        <v>Period 6</v>
      </c>
      <c r="E162" s="41" t="s">
        <v>106</v>
      </c>
      <c r="F162" s="43">
        <v>0.9166666666666666</v>
      </c>
      <c r="J162" s="45" t="b">
        <f t="shared" si="1"/>
        <v>0</v>
      </c>
      <c r="L162" s="41" t="s">
        <v>92</v>
      </c>
    </row>
    <row r="163">
      <c r="A163" s="40">
        <v>44235.0</v>
      </c>
      <c r="B163" s="41" t="s">
        <v>92</v>
      </c>
      <c r="C163" s="42" t="str">
        <f>VLOOKUP(A163,Table!A:B,2,false)</f>
        <v>P6 W4</v>
      </c>
      <c r="D163" s="42" t="str">
        <f>VLOOKUP(A163,Table!A:D,4,false)</f>
        <v>Period 6</v>
      </c>
      <c r="E163" s="41" t="s">
        <v>110</v>
      </c>
      <c r="F163" s="43">
        <v>0.9166666666666666</v>
      </c>
      <c r="J163" s="45" t="b">
        <f t="shared" si="1"/>
        <v>0</v>
      </c>
      <c r="L163" s="41" t="s">
        <v>94</v>
      </c>
    </row>
    <row r="164">
      <c r="A164" s="40">
        <v>44236.0</v>
      </c>
      <c r="B164" s="41" t="s">
        <v>94</v>
      </c>
      <c r="C164" s="42" t="str">
        <f>VLOOKUP(A164,Table!A:B,2,false)</f>
        <v>P6 W4</v>
      </c>
      <c r="D164" s="42" t="str">
        <f>VLOOKUP(A164,Table!A:D,4,false)</f>
        <v>Period 6</v>
      </c>
      <c r="E164" s="41" t="s">
        <v>110</v>
      </c>
      <c r="F164" s="43">
        <v>0.9166666666666666</v>
      </c>
      <c r="J164" s="45" t="b">
        <f t="shared" si="1"/>
        <v>0</v>
      </c>
      <c r="L164" s="41" t="s">
        <v>96</v>
      </c>
    </row>
    <row r="165">
      <c r="A165" s="40">
        <v>44237.0</v>
      </c>
      <c r="B165" s="41" t="s">
        <v>96</v>
      </c>
      <c r="C165" s="42" t="str">
        <f>VLOOKUP(A165,Table!A:B,2,false)</f>
        <v>P6 W4</v>
      </c>
      <c r="D165" s="42" t="str">
        <f>VLOOKUP(A165,Table!A:D,4,false)</f>
        <v>Period 6</v>
      </c>
      <c r="E165" s="41" t="s">
        <v>110</v>
      </c>
      <c r="F165" s="43">
        <v>0.9166666666666666</v>
      </c>
      <c r="J165" s="45" t="b">
        <f t="shared" si="1"/>
        <v>0</v>
      </c>
      <c r="L165" s="41" t="s">
        <v>97</v>
      </c>
    </row>
    <row r="166">
      <c r="A166" s="40">
        <v>44238.0</v>
      </c>
      <c r="B166" s="41" t="s">
        <v>97</v>
      </c>
      <c r="C166" s="42" t="str">
        <f>VLOOKUP(A166,Table!A:B,2,false)</f>
        <v>P6 W4</v>
      </c>
      <c r="D166" s="42" t="str">
        <f>VLOOKUP(A166,Table!A:D,4,false)</f>
        <v>Period 6</v>
      </c>
      <c r="E166" s="41" t="s">
        <v>110</v>
      </c>
      <c r="F166" s="43">
        <v>0.9166666666666666</v>
      </c>
      <c r="J166" s="45" t="b">
        <f t="shared" si="1"/>
        <v>0</v>
      </c>
      <c r="L166" s="41" t="s">
        <v>98</v>
      </c>
    </row>
    <row r="167">
      <c r="A167" s="40">
        <v>44239.0</v>
      </c>
      <c r="B167" s="41" t="s">
        <v>98</v>
      </c>
      <c r="C167" s="42" t="str">
        <f>VLOOKUP(A167,Table!A:B,2,false)</f>
        <v>P6 W4</v>
      </c>
      <c r="D167" s="42" t="str">
        <f>VLOOKUP(A167,Table!A:D,4,false)</f>
        <v>Period 6</v>
      </c>
      <c r="E167" s="41" t="s">
        <v>110</v>
      </c>
      <c r="F167" s="43">
        <v>0.9166666666666666</v>
      </c>
      <c r="J167" s="45" t="b">
        <f t="shared" si="1"/>
        <v>0</v>
      </c>
      <c r="L167" s="41" t="s">
        <v>99</v>
      </c>
    </row>
    <row r="168">
      <c r="A168" s="40">
        <v>44240.0</v>
      </c>
      <c r="B168" s="41" t="s">
        <v>99</v>
      </c>
      <c r="C168" s="42" t="str">
        <f>VLOOKUP(A168,Table!A:B,2,false)</f>
        <v>P6 W4</v>
      </c>
      <c r="D168" s="42" t="str">
        <f>VLOOKUP(A168,Table!A:D,4,false)</f>
        <v>Period 6</v>
      </c>
      <c r="E168" s="41" t="s">
        <v>110</v>
      </c>
      <c r="F168" s="43">
        <v>0.9166666666666666</v>
      </c>
      <c r="J168" s="45" t="b">
        <f t="shared" si="1"/>
        <v>0</v>
      </c>
      <c r="L168" s="41" t="s">
        <v>100</v>
      </c>
    </row>
    <row r="169">
      <c r="A169" s="40">
        <v>44241.0</v>
      </c>
      <c r="B169" s="41" t="s">
        <v>100</v>
      </c>
      <c r="C169" s="42" t="str">
        <f>VLOOKUP(A169,Table!A:B,2,false)</f>
        <v>P6 W4</v>
      </c>
      <c r="D169" s="42" t="str">
        <f>VLOOKUP(A169,Table!A:D,4,false)</f>
        <v>Period 6</v>
      </c>
      <c r="E169" s="41" t="s">
        <v>110</v>
      </c>
      <c r="F169" s="43">
        <v>0.9166666666666666</v>
      </c>
      <c r="J169" s="45" t="b">
        <f t="shared" si="1"/>
        <v>0</v>
      </c>
      <c r="L169" s="41" t="s">
        <v>92</v>
      </c>
    </row>
    <row r="170">
      <c r="A170" s="40">
        <v>44242.0</v>
      </c>
      <c r="B170" s="41" t="s">
        <v>92</v>
      </c>
      <c r="C170" s="42" t="str">
        <f>VLOOKUP(A170,Table!A:B,2,false)</f>
        <v>P7 W1</v>
      </c>
      <c r="D170" s="42" t="str">
        <f>VLOOKUP(A170,Table!A:D,4,false)</f>
        <v>Period 7</v>
      </c>
      <c r="E170" s="41" t="s">
        <v>93</v>
      </c>
      <c r="F170" s="43">
        <v>0.9166666666666666</v>
      </c>
      <c r="J170" s="45" t="b">
        <f t="shared" si="1"/>
        <v>0</v>
      </c>
      <c r="L170" s="41" t="s">
        <v>94</v>
      </c>
    </row>
    <row r="171">
      <c r="A171" s="40">
        <v>44243.0</v>
      </c>
      <c r="B171" s="41" t="s">
        <v>94</v>
      </c>
      <c r="C171" s="42" t="str">
        <f>VLOOKUP(A171,Table!A:B,2,false)</f>
        <v>P7 W1</v>
      </c>
      <c r="D171" s="42" t="str">
        <f>VLOOKUP(A171,Table!A:D,4,false)</f>
        <v>Period 7</v>
      </c>
      <c r="E171" s="41" t="s">
        <v>93</v>
      </c>
      <c r="F171" s="43">
        <v>0.9166666666666666</v>
      </c>
      <c r="J171" s="45" t="b">
        <f t="shared" si="1"/>
        <v>0</v>
      </c>
      <c r="L171" s="41" t="s">
        <v>96</v>
      </c>
    </row>
    <row r="172">
      <c r="A172" s="40">
        <v>44244.0</v>
      </c>
      <c r="B172" s="41" t="s">
        <v>96</v>
      </c>
      <c r="C172" s="42" t="str">
        <f>VLOOKUP(A172,Table!A:B,2,false)</f>
        <v>P7 W1</v>
      </c>
      <c r="D172" s="42" t="str">
        <f>VLOOKUP(A172,Table!A:D,4,false)</f>
        <v>Period 7</v>
      </c>
      <c r="E172" s="41" t="s">
        <v>93</v>
      </c>
      <c r="F172" s="43">
        <v>0.9166666666666666</v>
      </c>
      <c r="J172" s="45" t="b">
        <f t="shared" si="1"/>
        <v>0</v>
      </c>
      <c r="L172" s="41" t="s">
        <v>97</v>
      </c>
    </row>
    <row r="173">
      <c r="A173" s="40">
        <v>44245.0</v>
      </c>
      <c r="B173" s="41" t="s">
        <v>97</v>
      </c>
      <c r="C173" s="42" t="str">
        <f>VLOOKUP(A173,Table!A:B,2,false)</f>
        <v>P7 W1</v>
      </c>
      <c r="D173" s="42" t="str">
        <f>VLOOKUP(A173,Table!A:D,4,false)</f>
        <v>Period 7</v>
      </c>
      <c r="E173" s="41" t="s">
        <v>93</v>
      </c>
      <c r="F173" s="43">
        <v>0.9166666666666666</v>
      </c>
      <c r="J173" s="45" t="b">
        <f t="shared" si="1"/>
        <v>0</v>
      </c>
      <c r="L173" s="41" t="s">
        <v>98</v>
      </c>
    </row>
    <row r="174">
      <c r="A174" s="40">
        <v>44246.0</v>
      </c>
      <c r="B174" s="41" t="s">
        <v>98</v>
      </c>
      <c r="C174" s="42" t="str">
        <f>VLOOKUP(A174,Table!A:B,2,false)</f>
        <v>P7 W1</v>
      </c>
      <c r="D174" s="42" t="str">
        <f>VLOOKUP(A174,Table!A:D,4,false)</f>
        <v>Period 7</v>
      </c>
      <c r="E174" s="41" t="s">
        <v>93</v>
      </c>
      <c r="F174" s="43">
        <v>0.9166666666666666</v>
      </c>
      <c r="J174" s="45" t="b">
        <f t="shared" si="1"/>
        <v>0</v>
      </c>
      <c r="L174" s="41" t="s">
        <v>99</v>
      </c>
    </row>
    <row r="175">
      <c r="A175" s="40">
        <v>44247.0</v>
      </c>
      <c r="B175" s="41" t="s">
        <v>99</v>
      </c>
      <c r="C175" s="42" t="str">
        <f>VLOOKUP(A175,Table!A:B,2,false)</f>
        <v>P7 W1</v>
      </c>
      <c r="D175" s="42" t="str">
        <f>VLOOKUP(A175,Table!A:D,4,false)</f>
        <v>Period 7</v>
      </c>
      <c r="E175" s="41" t="s">
        <v>93</v>
      </c>
      <c r="F175" s="43">
        <v>0.9166666666666666</v>
      </c>
      <c r="J175" s="45" t="b">
        <f t="shared" si="1"/>
        <v>0</v>
      </c>
      <c r="L175" s="41" t="s">
        <v>100</v>
      </c>
    </row>
    <row r="176">
      <c r="A176" s="40">
        <v>44248.0</v>
      </c>
      <c r="B176" s="41" t="s">
        <v>100</v>
      </c>
      <c r="C176" s="42" t="str">
        <f>VLOOKUP(A176,Table!A:B,2,false)</f>
        <v>P7 W1</v>
      </c>
      <c r="D176" s="42" t="str">
        <f>VLOOKUP(A176,Table!A:D,4,false)</f>
        <v>Period 7</v>
      </c>
      <c r="E176" s="41" t="s">
        <v>93</v>
      </c>
      <c r="F176" s="43">
        <v>0.9166666666666666</v>
      </c>
      <c r="J176" s="45" t="b">
        <f t="shared" si="1"/>
        <v>0</v>
      </c>
      <c r="L176" s="41" t="s">
        <v>92</v>
      </c>
    </row>
    <row r="177">
      <c r="A177" s="40">
        <v>44249.0</v>
      </c>
      <c r="B177" s="41" t="s">
        <v>92</v>
      </c>
      <c r="C177" s="42" t="str">
        <f>VLOOKUP(A177,Table!A:B,2,false)</f>
        <v>P7 W2</v>
      </c>
      <c r="D177" s="42" t="str">
        <f>VLOOKUP(A177,Table!A:D,4,false)</f>
        <v>Period 7</v>
      </c>
      <c r="E177" s="41" t="s">
        <v>101</v>
      </c>
      <c r="F177" s="43">
        <v>0.9166666666666666</v>
      </c>
      <c r="J177" s="45" t="b">
        <f t="shared" si="1"/>
        <v>0</v>
      </c>
      <c r="L177" s="41" t="s">
        <v>94</v>
      </c>
    </row>
    <row r="178">
      <c r="A178" s="40">
        <v>44250.0</v>
      </c>
      <c r="B178" s="41" t="s">
        <v>94</v>
      </c>
      <c r="C178" s="42" t="str">
        <f>VLOOKUP(A178,Table!A:B,2,false)</f>
        <v>P7 W2</v>
      </c>
      <c r="D178" s="42" t="str">
        <f>VLOOKUP(A178,Table!A:D,4,false)</f>
        <v>Period 7</v>
      </c>
      <c r="E178" s="41" t="s">
        <v>101</v>
      </c>
      <c r="F178" s="43">
        <v>0.9166666666666666</v>
      </c>
      <c r="J178" s="45" t="b">
        <f t="shared" si="1"/>
        <v>0</v>
      </c>
      <c r="L178" s="41" t="s">
        <v>96</v>
      </c>
    </row>
    <row r="179">
      <c r="A179" s="40">
        <v>44251.0</v>
      </c>
      <c r="B179" s="41" t="s">
        <v>96</v>
      </c>
      <c r="C179" s="42" t="str">
        <f>VLOOKUP(A179,Table!A:B,2,false)</f>
        <v>P7 W2</v>
      </c>
      <c r="D179" s="42" t="str">
        <f>VLOOKUP(A179,Table!A:D,4,false)</f>
        <v>Period 7</v>
      </c>
      <c r="E179" s="41" t="s">
        <v>101</v>
      </c>
      <c r="F179" s="43">
        <v>0.9166666666666666</v>
      </c>
      <c r="J179" s="45" t="b">
        <f t="shared" si="1"/>
        <v>0</v>
      </c>
      <c r="L179" s="41" t="s">
        <v>97</v>
      </c>
    </row>
    <row r="180">
      <c r="A180" s="40">
        <v>44252.0</v>
      </c>
      <c r="B180" s="41" t="s">
        <v>97</v>
      </c>
      <c r="C180" s="42" t="str">
        <f>VLOOKUP(A180,Table!A:B,2,false)</f>
        <v>P7 W2</v>
      </c>
      <c r="D180" s="42" t="str">
        <f>VLOOKUP(A180,Table!A:D,4,false)</f>
        <v>Period 7</v>
      </c>
      <c r="E180" s="41" t="s">
        <v>101</v>
      </c>
      <c r="F180" s="43">
        <v>0.9166666666666666</v>
      </c>
      <c r="J180" s="45" t="b">
        <f t="shared" si="1"/>
        <v>0</v>
      </c>
      <c r="L180" s="41" t="s">
        <v>98</v>
      </c>
    </row>
    <row r="181">
      <c r="A181" s="40">
        <v>44253.0</v>
      </c>
      <c r="B181" s="41" t="s">
        <v>98</v>
      </c>
      <c r="C181" s="42" t="str">
        <f>VLOOKUP(A181,Table!A:B,2,false)</f>
        <v>P7 W2</v>
      </c>
      <c r="D181" s="42" t="str">
        <f>VLOOKUP(A181,Table!A:D,4,false)</f>
        <v>Period 7</v>
      </c>
      <c r="E181" s="41" t="s">
        <v>101</v>
      </c>
      <c r="F181" s="43">
        <v>0.9166666666666666</v>
      </c>
      <c r="J181" s="45" t="b">
        <f t="shared" si="1"/>
        <v>0</v>
      </c>
      <c r="L181" s="41" t="s">
        <v>99</v>
      </c>
    </row>
    <row r="182">
      <c r="A182" s="40">
        <v>44254.0</v>
      </c>
      <c r="B182" s="41" t="s">
        <v>99</v>
      </c>
      <c r="C182" s="42" t="str">
        <f>VLOOKUP(A182,Table!A:B,2,false)</f>
        <v>P7 W2</v>
      </c>
      <c r="D182" s="42" t="str">
        <f>VLOOKUP(A182,Table!A:D,4,false)</f>
        <v>Period 7</v>
      </c>
      <c r="E182" s="41" t="s">
        <v>101</v>
      </c>
      <c r="F182" s="43">
        <v>0.9166666666666666</v>
      </c>
      <c r="J182" s="45" t="b">
        <f t="shared" si="1"/>
        <v>0</v>
      </c>
      <c r="L182" s="41" t="s">
        <v>100</v>
      </c>
    </row>
    <row r="183">
      <c r="A183" s="40">
        <v>44255.0</v>
      </c>
      <c r="B183" s="41" t="s">
        <v>100</v>
      </c>
      <c r="C183" s="42" t="str">
        <f>VLOOKUP(A183,Table!A:B,2,false)</f>
        <v>P7 W2</v>
      </c>
      <c r="D183" s="42" t="str">
        <f>VLOOKUP(A183,Table!A:D,4,false)</f>
        <v>Period 7</v>
      </c>
      <c r="E183" s="41" t="s">
        <v>101</v>
      </c>
      <c r="F183" s="43">
        <v>0.9166666666666666</v>
      </c>
      <c r="J183" s="45" t="b">
        <f t="shared" si="1"/>
        <v>0</v>
      </c>
      <c r="L183" s="41" t="s">
        <v>92</v>
      </c>
    </row>
    <row r="184">
      <c r="A184" s="40">
        <v>44256.0</v>
      </c>
      <c r="B184" s="41" t="s">
        <v>92</v>
      </c>
      <c r="C184" s="42" t="str">
        <f>VLOOKUP(A184,Table!A:B,2,false)</f>
        <v>P7 W3</v>
      </c>
      <c r="D184" s="42" t="str">
        <f>VLOOKUP(A184,Table!A:D,4,false)</f>
        <v>Period 7</v>
      </c>
      <c r="E184" s="41" t="s">
        <v>106</v>
      </c>
      <c r="F184" s="43">
        <v>0.9166666666666666</v>
      </c>
      <c r="J184" s="45" t="b">
        <f t="shared" si="1"/>
        <v>0</v>
      </c>
      <c r="L184" s="41" t="s">
        <v>94</v>
      </c>
    </row>
    <row r="185">
      <c r="A185" s="40">
        <v>44257.0</v>
      </c>
      <c r="B185" s="41" t="s">
        <v>94</v>
      </c>
      <c r="C185" s="42" t="str">
        <f>VLOOKUP(A185,Table!A:B,2,false)</f>
        <v>P7 W3</v>
      </c>
      <c r="D185" s="42" t="str">
        <f>VLOOKUP(A185,Table!A:D,4,false)</f>
        <v>Period 7</v>
      </c>
      <c r="E185" s="41" t="s">
        <v>106</v>
      </c>
      <c r="F185" s="43">
        <v>0.9166666666666666</v>
      </c>
      <c r="J185" s="45" t="b">
        <f t="shared" si="1"/>
        <v>0</v>
      </c>
      <c r="L185" s="41" t="s">
        <v>96</v>
      </c>
    </row>
    <row r="186">
      <c r="A186" s="40">
        <v>44258.0</v>
      </c>
      <c r="B186" s="41" t="s">
        <v>96</v>
      </c>
      <c r="C186" s="42" t="str">
        <f>VLOOKUP(A186,Table!A:B,2,false)</f>
        <v>P7 W3</v>
      </c>
      <c r="D186" s="42" t="str">
        <f>VLOOKUP(A186,Table!A:D,4,false)</f>
        <v>Period 7</v>
      </c>
      <c r="E186" s="41" t="s">
        <v>106</v>
      </c>
      <c r="F186" s="43">
        <v>0.9166666666666666</v>
      </c>
      <c r="J186" s="45" t="b">
        <f t="shared" si="1"/>
        <v>0</v>
      </c>
      <c r="L186" s="41" t="s">
        <v>97</v>
      </c>
    </row>
    <row r="187">
      <c r="A187" s="40">
        <v>44259.0</v>
      </c>
      <c r="B187" s="41" t="s">
        <v>97</v>
      </c>
      <c r="C187" s="42" t="str">
        <f>VLOOKUP(A187,Table!A:B,2,false)</f>
        <v>P7 W3</v>
      </c>
      <c r="D187" s="42" t="str">
        <f>VLOOKUP(A187,Table!A:D,4,false)</f>
        <v>Period 7</v>
      </c>
      <c r="E187" s="41" t="s">
        <v>106</v>
      </c>
      <c r="F187" s="43">
        <v>0.9166666666666666</v>
      </c>
      <c r="J187" s="45" t="b">
        <f t="shared" si="1"/>
        <v>0</v>
      </c>
      <c r="L187" s="41" t="s">
        <v>98</v>
      </c>
    </row>
    <row r="188">
      <c r="A188" s="40">
        <v>44260.0</v>
      </c>
      <c r="B188" s="41" t="s">
        <v>98</v>
      </c>
      <c r="C188" s="42" t="str">
        <f>VLOOKUP(A188,Table!A:B,2,false)</f>
        <v>P7 W3</v>
      </c>
      <c r="D188" s="42" t="str">
        <f>VLOOKUP(A188,Table!A:D,4,false)</f>
        <v>Period 7</v>
      </c>
      <c r="E188" s="41" t="s">
        <v>106</v>
      </c>
      <c r="F188" s="43">
        <v>0.9166666666666666</v>
      </c>
      <c r="J188" s="45" t="b">
        <f t="shared" si="1"/>
        <v>0</v>
      </c>
      <c r="L188" s="41" t="s">
        <v>99</v>
      </c>
    </row>
    <row r="189">
      <c r="A189" s="40">
        <v>44261.0</v>
      </c>
      <c r="B189" s="41" t="s">
        <v>99</v>
      </c>
      <c r="C189" s="42" t="str">
        <f>VLOOKUP(A189,Table!A:B,2,false)</f>
        <v>P7 W3</v>
      </c>
      <c r="D189" s="42" t="str">
        <f>VLOOKUP(A189,Table!A:D,4,false)</f>
        <v>Period 7</v>
      </c>
      <c r="E189" s="41" t="s">
        <v>106</v>
      </c>
      <c r="F189" s="43">
        <v>0.9166666666666666</v>
      </c>
      <c r="J189" s="45" t="b">
        <f t="shared" si="1"/>
        <v>0</v>
      </c>
      <c r="L189" s="41" t="s">
        <v>100</v>
      </c>
    </row>
    <row r="190">
      <c r="A190" s="40">
        <v>44262.0</v>
      </c>
      <c r="B190" s="41" t="s">
        <v>100</v>
      </c>
      <c r="C190" s="42" t="str">
        <f>VLOOKUP(A190,Table!A:B,2,false)</f>
        <v>P7 W3</v>
      </c>
      <c r="D190" s="42" t="str">
        <f>VLOOKUP(A190,Table!A:D,4,false)</f>
        <v>Period 7</v>
      </c>
      <c r="E190" s="41" t="s">
        <v>106</v>
      </c>
      <c r="F190" s="43">
        <v>0.9166666666666666</v>
      </c>
      <c r="J190" s="45" t="b">
        <f t="shared" si="1"/>
        <v>0</v>
      </c>
      <c r="L190" s="41" t="s">
        <v>92</v>
      </c>
    </row>
    <row r="191">
      <c r="A191" s="40">
        <v>44263.0</v>
      </c>
      <c r="B191" s="41" t="s">
        <v>92</v>
      </c>
      <c r="C191" s="42" t="str">
        <f>VLOOKUP(A191,Table!A:B,2,false)</f>
        <v>P7 W4</v>
      </c>
      <c r="D191" s="42" t="str">
        <f>VLOOKUP(A191,Table!A:D,4,false)</f>
        <v>Period 7</v>
      </c>
      <c r="E191" s="41" t="s">
        <v>110</v>
      </c>
      <c r="F191" s="43">
        <v>0.9166666666666666</v>
      </c>
      <c r="J191" s="45" t="b">
        <f t="shared" si="1"/>
        <v>0</v>
      </c>
      <c r="L191" s="41" t="s">
        <v>94</v>
      </c>
    </row>
    <row r="192">
      <c r="A192" s="40">
        <v>44264.0</v>
      </c>
      <c r="B192" s="41" t="s">
        <v>94</v>
      </c>
      <c r="C192" s="42" t="str">
        <f>VLOOKUP(A192,Table!A:B,2,false)</f>
        <v>P7 W4</v>
      </c>
      <c r="D192" s="42" t="str">
        <f>VLOOKUP(A192,Table!A:D,4,false)</f>
        <v>Period 7</v>
      </c>
      <c r="E192" s="41" t="s">
        <v>110</v>
      </c>
      <c r="F192" s="43">
        <v>0.9166666666666666</v>
      </c>
      <c r="J192" s="45" t="b">
        <f t="shared" si="1"/>
        <v>0</v>
      </c>
      <c r="L192" s="41" t="s">
        <v>96</v>
      </c>
    </row>
    <row r="193">
      <c r="A193" s="40">
        <v>44265.0</v>
      </c>
      <c r="B193" s="41" t="s">
        <v>96</v>
      </c>
      <c r="C193" s="42" t="str">
        <f>VLOOKUP(A193,Table!A:B,2,false)</f>
        <v>P7 W4</v>
      </c>
      <c r="D193" s="42" t="str">
        <f>VLOOKUP(A193,Table!A:D,4,false)</f>
        <v>Period 7</v>
      </c>
      <c r="E193" s="41" t="s">
        <v>110</v>
      </c>
      <c r="F193" s="43">
        <v>0.9166666666666666</v>
      </c>
      <c r="J193" s="45" t="b">
        <f t="shared" si="1"/>
        <v>0</v>
      </c>
      <c r="L193" s="41" t="s">
        <v>97</v>
      </c>
    </row>
    <row r="194">
      <c r="A194" s="40">
        <v>44266.0</v>
      </c>
      <c r="B194" s="41" t="s">
        <v>97</v>
      </c>
      <c r="C194" s="42" t="str">
        <f>VLOOKUP(A194,Table!A:B,2,false)</f>
        <v>P7 W4</v>
      </c>
      <c r="D194" s="42" t="str">
        <f>VLOOKUP(A194,Table!A:D,4,false)</f>
        <v>Period 7</v>
      </c>
      <c r="E194" s="41" t="s">
        <v>110</v>
      </c>
      <c r="F194" s="43">
        <v>0.9166666666666666</v>
      </c>
      <c r="J194" s="45" t="b">
        <f t="shared" si="1"/>
        <v>0</v>
      </c>
      <c r="L194" s="41" t="s">
        <v>98</v>
      </c>
    </row>
    <row r="195">
      <c r="A195" s="40">
        <v>44267.0</v>
      </c>
      <c r="B195" s="41" t="s">
        <v>98</v>
      </c>
      <c r="C195" s="42" t="str">
        <f>VLOOKUP(A195,Table!A:B,2,false)</f>
        <v>P7 W4</v>
      </c>
      <c r="D195" s="42" t="str">
        <f>VLOOKUP(A195,Table!A:D,4,false)</f>
        <v>Period 7</v>
      </c>
      <c r="E195" s="41" t="s">
        <v>110</v>
      </c>
      <c r="F195" s="43">
        <v>0.9166666666666666</v>
      </c>
      <c r="J195" s="45" t="b">
        <f t="shared" si="1"/>
        <v>0</v>
      </c>
      <c r="L195" s="41" t="s">
        <v>99</v>
      </c>
    </row>
    <row r="196">
      <c r="A196" s="40">
        <v>44268.0</v>
      </c>
      <c r="B196" s="41" t="s">
        <v>99</v>
      </c>
      <c r="C196" s="42" t="str">
        <f>VLOOKUP(A196,Table!A:B,2,false)</f>
        <v>P7 W4</v>
      </c>
      <c r="D196" s="42" t="str">
        <f>VLOOKUP(A196,Table!A:D,4,false)</f>
        <v>Period 7</v>
      </c>
      <c r="E196" s="41" t="s">
        <v>110</v>
      </c>
      <c r="F196" s="43">
        <v>0.9166666666666666</v>
      </c>
      <c r="J196" s="45" t="b">
        <f t="shared" si="1"/>
        <v>0</v>
      </c>
      <c r="L196" s="41" t="s">
        <v>100</v>
      </c>
    </row>
    <row r="197">
      <c r="A197" s="40">
        <v>44269.0</v>
      </c>
      <c r="B197" s="41" t="s">
        <v>100</v>
      </c>
      <c r="C197" s="42" t="str">
        <f>VLOOKUP(A197,Table!A:B,2,false)</f>
        <v>P7 W4</v>
      </c>
      <c r="D197" s="42" t="str">
        <f>VLOOKUP(A197,Table!A:D,4,false)</f>
        <v>Period 7</v>
      </c>
      <c r="E197" s="41" t="s">
        <v>110</v>
      </c>
      <c r="F197" s="43">
        <v>0.9166666666666666</v>
      </c>
      <c r="J197" s="45" t="b">
        <f t="shared" si="1"/>
        <v>0</v>
      </c>
      <c r="L197" s="41" t="s">
        <v>92</v>
      </c>
    </row>
    <row r="198">
      <c r="A198" s="40">
        <v>44270.0</v>
      </c>
      <c r="B198" s="41" t="s">
        <v>92</v>
      </c>
      <c r="C198" s="42" t="str">
        <f>VLOOKUP(A198,Table!A:B,2,false)</f>
        <v>P8 W1</v>
      </c>
      <c r="D198" s="42" t="str">
        <f>VLOOKUP(A198,Table!A:D,4,false)</f>
        <v>Period 8</v>
      </c>
      <c r="E198" s="41" t="s">
        <v>93</v>
      </c>
      <c r="F198" s="54">
        <v>0.9166666666666666</v>
      </c>
      <c r="J198" s="45" t="b">
        <f t="shared" si="1"/>
        <v>0</v>
      </c>
      <c r="L198" s="41" t="s">
        <v>94</v>
      </c>
    </row>
    <row r="199">
      <c r="A199" s="40">
        <v>44271.0</v>
      </c>
      <c r="B199" s="41" t="s">
        <v>94</v>
      </c>
      <c r="C199" s="42" t="str">
        <f>VLOOKUP(A199,Table!A:B,2,false)</f>
        <v>P8 W1</v>
      </c>
      <c r="D199" s="42" t="str">
        <f>VLOOKUP(A199,Table!A:D,4,false)</f>
        <v>Period 8</v>
      </c>
      <c r="E199" s="41" t="s">
        <v>93</v>
      </c>
      <c r="F199" s="43">
        <v>0.9166666666666666</v>
      </c>
      <c r="J199" s="45" t="b">
        <f t="shared" si="1"/>
        <v>0</v>
      </c>
      <c r="L199" s="41" t="s">
        <v>96</v>
      </c>
    </row>
    <row r="200">
      <c r="A200" s="40">
        <v>44272.0</v>
      </c>
      <c r="B200" s="41" t="s">
        <v>96</v>
      </c>
      <c r="C200" s="42" t="str">
        <f>VLOOKUP(A200,Table!A:B,2,false)</f>
        <v>P8 W1</v>
      </c>
      <c r="D200" s="42" t="str">
        <f>VLOOKUP(A200,Table!A:D,4,false)</f>
        <v>Period 8</v>
      </c>
      <c r="E200" s="41" t="s">
        <v>93</v>
      </c>
      <c r="F200" s="43">
        <v>0.9166666666666666</v>
      </c>
      <c r="J200" s="45" t="b">
        <f t="shared" si="1"/>
        <v>0</v>
      </c>
      <c r="L200" s="41" t="s">
        <v>97</v>
      </c>
    </row>
    <row r="201">
      <c r="A201" s="40">
        <v>44273.0</v>
      </c>
      <c r="B201" s="41" t="s">
        <v>97</v>
      </c>
      <c r="C201" s="42" t="str">
        <f>VLOOKUP(A201,Table!A:B,2,false)</f>
        <v>P8 W1</v>
      </c>
      <c r="D201" s="42" t="str">
        <f>VLOOKUP(A201,Table!A:D,4,false)</f>
        <v>Period 8</v>
      </c>
      <c r="E201" s="41" t="s">
        <v>93</v>
      </c>
      <c r="F201" s="43">
        <v>0.9166666666666666</v>
      </c>
      <c r="J201" s="45" t="b">
        <f t="shared" si="1"/>
        <v>0</v>
      </c>
      <c r="L201" s="41" t="s">
        <v>98</v>
      </c>
    </row>
    <row r="202">
      <c r="A202" s="40">
        <v>44274.0</v>
      </c>
      <c r="B202" s="41" t="s">
        <v>98</v>
      </c>
      <c r="C202" s="42" t="str">
        <f>VLOOKUP(A202,Table!A:B,2,false)</f>
        <v>P8 W1</v>
      </c>
      <c r="D202" s="42" t="str">
        <f>VLOOKUP(A202,Table!A:D,4,false)</f>
        <v>Period 8</v>
      </c>
      <c r="E202" s="41" t="s">
        <v>93</v>
      </c>
      <c r="F202" s="43">
        <v>0.9166666666666666</v>
      </c>
      <c r="J202" s="45" t="b">
        <f t="shared" si="1"/>
        <v>0</v>
      </c>
      <c r="L202" s="41" t="s">
        <v>99</v>
      </c>
    </row>
    <row r="203">
      <c r="A203" s="40">
        <v>44275.0</v>
      </c>
      <c r="B203" s="41" t="s">
        <v>99</v>
      </c>
      <c r="C203" s="42" t="str">
        <f>VLOOKUP(A203,Table!A:B,2,false)</f>
        <v>P8 W1</v>
      </c>
      <c r="D203" s="42" t="str">
        <f>VLOOKUP(A203,Table!A:D,4,false)</f>
        <v>Period 8</v>
      </c>
      <c r="E203" s="41" t="s">
        <v>93</v>
      </c>
      <c r="F203" s="43">
        <v>0.9166666666666666</v>
      </c>
      <c r="J203" s="45" t="b">
        <f t="shared" si="1"/>
        <v>0</v>
      </c>
      <c r="L203" s="41" t="s">
        <v>100</v>
      </c>
    </row>
    <row r="204">
      <c r="A204" s="40">
        <v>44276.0</v>
      </c>
      <c r="B204" s="41" t="s">
        <v>100</v>
      </c>
      <c r="C204" s="42" t="str">
        <f>VLOOKUP(A204,Table!A:B,2,false)</f>
        <v>P8 W1</v>
      </c>
      <c r="D204" s="42" t="str">
        <f>VLOOKUP(A204,Table!A:D,4,false)</f>
        <v>Period 8</v>
      </c>
      <c r="E204" s="41" t="s">
        <v>93</v>
      </c>
      <c r="F204" s="43">
        <v>0.9166666666666666</v>
      </c>
      <c r="J204" s="45" t="b">
        <f t="shared" si="1"/>
        <v>0</v>
      </c>
      <c r="L204" s="41" t="s">
        <v>92</v>
      </c>
    </row>
    <row r="205">
      <c r="A205" s="40">
        <v>44277.0</v>
      </c>
      <c r="B205" s="41" t="s">
        <v>92</v>
      </c>
      <c r="C205" s="42" t="str">
        <f>VLOOKUP(A205,Table!A:B,2,false)</f>
        <v>P8 W2</v>
      </c>
      <c r="D205" s="42" t="str">
        <f>VLOOKUP(A205,Table!A:D,4,false)</f>
        <v>Period 8</v>
      </c>
      <c r="E205" s="41" t="s">
        <v>101</v>
      </c>
      <c r="F205" s="43">
        <v>0.9166666666666666</v>
      </c>
      <c r="J205" s="45" t="b">
        <f t="shared" si="1"/>
        <v>0</v>
      </c>
      <c r="L205" s="41" t="s">
        <v>94</v>
      </c>
    </row>
    <row r="206">
      <c r="A206" s="40">
        <v>44278.0</v>
      </c>
      <c r="B206" s="41" t="s">
        <v>94</v>
      </c>
      <c r="C206" s="42" t="str">
        <f>VLOOKUP(A206,Table!A:B,2,false)</f>
        <v>P8 W2</v>
      </c>
      <c r="D206" s="42" t="str">
        <f>VLOOKUP(A206,Table!A:D,4,false)</f>
        <v>Period 8</v>
      </c>
      <c r="E206" s="41" t="s">
        <v>101</v>
      </c>
      <c r="F206" s="43">
        <v>0.9166666666666666</v>
      </c>
      <c r="J206" s="45" t="b">
        <f t="shared" si="1"/>
        <v>0</v>
      </c>
      <c r="L206" s="41" t="s">
        <v>96</v>
      </c>
    </row>
    <row r="207">
      <c r="A207" s="40">
        <v>44279.0</v>
      </c>
      <c r="B207" s="41" t="s">
        <v>96</v>
      </c>
      <c r="C207" s="42" t="str">
        <f>VLOOKUP(A207,Table!A:B,2,false)</f>
        <v>P8 W2</v>
      </c>
      <c r="D207" s="42" t="str">
        <f>VLOOKUP(A207,Table!A:D,4,false)</f>
        <v>Period 8</v>
      </c>
      <c r="E207" s="41" t="s">
        <v>101</v>
      </c>
      <c r="F207" s="43">
        <v>0.9166666666666666</v>
      </c>
      <c r="J207" s="45" t="b">
        <f t="shared" si="1"/>
        <v>0</v>
      </c>
      <c r="L207" s="41" t="s">
        <v>97</v>
      </c>
    </row>
    <row r="208">
      <c r="A208" s="40">
        <v>44280.0</v>
      </c>
      <c r="B208" s="41" t="s">
        <v>97</v>
      </c>
      <c r="C208" s="42" t="str">
        <f>VLOOKUP(A208,Table!A:B,2,false)</f>
        <v>P8 W2</v>
      </c>
      <c r="D208" s="42" t="str">
        <f>VLOOKUP(A208,Table!A:D,4,false)</f>
        <v>Period 8</v>
      </c>
      <c r="E208" s="41" t="s">
        <v>101</v>
      </c>
      <c r="F208" s="43">
        <v>0.9166666666666666</v>
      </c>
      <c r="J208" s="45" t="b">
        <f t="shared" si="1"/>
        <v>0</v>
      </c>
      <c r="L208" s="41" t="s">
        <v>98</v>
      </c>
    </row>
    <row r="209">
      <c r="A209" s="40">
        <v>44281.0</v>
      </c>
      <c r="B209" s="41" t="s">
        <v>98</v>
      </c>
      <c r="C209" s="42" t="str">
        <f>VLOOKUP(A209,Table!A:B,2,false)</f>
        <v>P8 W2</v>
      </c>
      <c r="D209" s="42" t="str">
        <f>VLOOKUP(A209,Table!A:D,4,false)</f>
        <v>Period 8</v>
      </c>
      <c r="E209" s="41" t="s">
        <v>101</v>
      </c>
      <c r="F209" s="43">
        <v>0.9166666666666666</v>
      </c>
      <c r="J209" s="45" t="b">
        <f t="shared" si="1"/>
        <v>0</v>
      </c>
      <c r="L209" s="41" t="s">
        <v>99</v>
      </c>
    </row>
    <row r="210">
      <c r="A210" s="40">
        <v>44282.0</v>
      </c>
      <c r="B210" s="41" t="s">
        <v>99</v>
      </c>
      <c r="C210" s="42" t="str">
        <f>VLOOKUP(A210,Table!A:B,2,false)</f>
        <v>P8 W2</v>
      </c>
      <c r="D210" s="42" t="str">
        <f>VLOOKUP(A210,Table!A:D,4,false)</f>
        <v>Period 8</v>
      </c>
      <c r="E210" s="41" t="s">
        <v>101</v>
      </c>
      <c r="F210" s="43">
        <v>0.9166666666666666</v>
      </c>
      <c r="J210" s="45" t="b">
        <f t="shared" si="1"/>
        <v>0</v>
      </c>
      <c r="L210" s="41" t="s">
        <v>100</v>
      </c>
    </row>
    <row r="211">
      <c r="A211" s="40">
        <v>44283.0</v>
      </c>
      <c r="B211" s="41" t="s">
        <v>100</v>
      </c>
      <c r="C211" s="42" t="str">
        <f>VLOOKUP(A211,Table!A:B,2,false)</f>
        <v>P8 W2</v>
      </c>
      <c r="D211" s="42" t="str">
        <f>VLOOKUP(A211,Table!A:D,4,false)</f>
        <v>Period 8</v>
      </c>
      <c r="E211" s="41" t="s">
        <v>101</v>
      </c>
      <c r="F211" s="43">
        <v>0.9166666666666666</v>
      </c>
      <c r="J211" s="45" t="b">
        <f t="shared" si="1"/>
        <v>0</v>
      </c>
      <c r="L211" s="41" t="s">
        <v>92</v>
      </c>
    </row>
    <row r="212">
      <c r="A212" s="40">
        <v>44284.0</v>
      </c>
      <c r="B212" s="41" t="s">
        <v>92</v>
      </c>
      <c r="C212" s="42" t="str">
        <f>VLOOKUP(A212,Table!A:B,2,false)</f>
        <v>P8 W3</v>
      </c>
      <c r="D212" s="42" t="str">
        <f>VLOOKUP(A212,Table!A:D,4,false)</f>
        <v>Period 8</v>
      </c>
      <c r="E212" s="41" t="s">
        <v>106</v>
      </c>
      <c r="F212" s="43">
        <v>0.9166666666666666</v>
      </c>
      <c r="J212" s="45" t="b">
        <f t="shared" si="1"/>
        <v>0</v>
      </c>
      <c r="L212" s="41" t="s">
        <v>94</v>
      </c>
    </row>
    <row r="213">
      <c r="A213" s="40">
        <v>44285.0</v>
      </c>
      <c r="B213" s="41" t="s">
        <v>94</v>
      </c>
      <c r="C213" s="42" t="str">
        <f>VLOOKUP(A213,Table!A:B,2,false)</f>
        <v>P8 W3</v>
      </c>
      <c r="D213" s="42" t="str">
        <f>VLOOKUP(A213,Table!A:D,4,false)</f>
        <v>Period 8</v>
      </c>
      <c r="E213" s="41" t="s">
        <v>106</v>
      </c>
      <c r="F213" s="43">
        <v>0.9166666666666666</v>
      </c>
      <c r="J213" s="45" t="b">
        <f t="shared" si="1"/>
        <v>0</v>
      </c>
      <c r="L213" s="41" t="s">
        <v>96</v>
      </c>
    </row>
    <row r="214">
      <c r="A214" s="40">
        <v>44286.0</v>
      </c>
      <c r="B214" s="41" t="s">
        <v>96</v>
      </c>
      <c r="C214" s="42" t="str">
        <f>VLOOKUP(A214,Table!A:B,2,false)</f>
        <v>P8 W3</v>
      </c>
      <c r="D214" s="42" t="str">
        <f>VLOOKUP(A214,Table!A:D,4,false)</f>
        <v>Period 8</v>
      </c>
      <c r="E214" s="41" t="s">
        <v>106</v>
      </c>
      <c r="F214" s="43">
        <v>0.9166666666666666</v>
      </c>
      <c r="J214" s="45" t="b">
        <f t="shared" si="1"/>
        <v>0</v>
      </c>
      <c r="L214" s="41" t="s">
        <v>97</v>
      </c>
    </row>
    <row r="215">
      <c r="A215" s="40">
        <v>44287.0</v>
      </c>
      <c r="B215" s="41" t="s">
        <v>97</v>
      </c>
      <c r="C215" s="42" t="str">
        <f>VLOOKUP(A215,Table!A:B,2,false)</f>
        <v>P8 W3</v>
      </c>
      <c r="D215" s="42" t="str">
        <f>VLOOKUP(A215,Table!A:D,4,false)</f>
        <v>Period 8</v>
      </c>
      <c r="E215" s="41" t="s">
        <v>106</v>
      </c>
      <c r="F215" s="43">
        <v>0.9166666666666666</v>
      </c>
      <c r="J215" s="45" t="b">
        <f t="shared" si="1"/>
        <v>0</v>
      </c>
      <c r="L215" s="41" t="s">
        <v>98</v>
      </c>
    </row>
    <row r="216">
      <c r="A216" s="40">
        <v>44288.0</v>
      </c>
      <c r="B216" s="41" t="s">
        <v>98</v>
      </c>
      <c r="C216" s="42" t="str">
        <f>VLOOKUP(A216,Table!A:B,2,false)</f>
        <v>P8 W3</v>
      </c>
      <c r="D216" s="42" t="str">
        <f>VLOOKUP(A216,Table!A:D,4,false)</f>
        <v>Period 8</v>
      </c>
      <c r="E216" s="41" t="s">
        <v>106</v>
      </c>
      <c r="F216" s="43">
        <v>0.9166666666666666</v>
      </c>
      <c r="J216" s="45" t="b">
        <f t="shared" si="1"/>
        <v>0</v>
      </c>
      <c r="L216" s="41" t="s">
        <v>99</v>
      </c>
    </row>
    <row r="217">
      <c r="A217" s="40">
        <v>44289.0</v>
      </c>
      <c r="B217" s="41" t="s">
        <v>99</v>
      </c>
      <c r="C217" s="42" t="str">
        <f>VLOOKUP(A217,Table!A:B,2,false)</f>
        <v>P8 W3</v>
      </c>
      <c r="D217" s="42" t="str">
        <f>VLOOKUP(A217,Table!A:D,4,false)</f>
        <v>Period 8</v>
      </c>
      <c r="E217" s="41" t="s">
        <v>106</v>
      </c>
      <c r="F217" s="43">
        <v>0.9166666666666666</v>
      </c>
      <c r="J217" s="45" t="b">
        <f t="shared" si="1"/>
        <v>0</v>
      </c>
      <c r="L217" s="41" t="s">
        <v>100</v>
      </c>
    </row>
    <row r="218">
      <c r="A218" s="40">
        <v>44290.0</v>
      </c>
      <c r="B218" s="41" t="s">
        <v>100</v>
      </c>
      <c r="C218" s="42" t="str">
        <f>VLOOKUP(A218,Table!A:B,2,false)</f>
        <v>P8 W3</v>
      </c>
      <c r="D218" s="42" t="str">
        <f>VLOOKUP(A218,Table!A:D,4,false)</f>
        <v>Period 8</v>
      </c>
      <c r="E218" s="41" t="s">
        <v>106</v>
      </c>
      <c r="F218" s="43">
        <v>0.9166666666666666</v>
      </c>
      <c r="J218" s="45" t="b">
        <f t="shared" si="1"/>
        <v>0</v>
      </c>
      <c r="L218" s="41" t="s">
        <v>92</v>
      </c>
    </row>
    <row r="219">
      <c r="A219" s="40">
        <v>44291.0</v>
      </c>
      <c r="B219" s="41" t="s">
        <v>92</v>
      </c>
      <c r="C219" s="42" t="str">
        <f>VLOOKUP(A219,Table!A:B,2,false)</f>
        <v>P8 W4</v>
      </c>
      <c r="D219" s="42" t="str">
        <f>VLOOKUP(A219,Table!A:D,4,false)</f>
        <v>Period 8</v>
      </c>
      <c r="E219" s="41" t="s">
        <v>110</v>
      </c>
      <c r="F219" s="43">
        <v>0.9166666666666666</v>
      </c>
      <c r="J219" s="45" t="b">
        <f t="shared" si="1"/>
        <v>0</v>
      </c>
      <c r="L219" s="41" t="s">
        <v>94</v>
      </c>
    </row>
    <row r="220">
      <c r="A220" s="40">
        <v>44292.0</v>
      </c>
      <c r="B220" s="41" t="s">
        <v>94</v>
      </c>
      <c r="C220" s="42" t="str">
        <f>VLOOKUP(A220,Table!A:B,2,false)</f>
        <v>P8 W4</v>
      </c>
      <c r="D220" s="42" t="str">
        <f>VLOOKUP(A220,Table!A:D,4,false)</f>
        <v>Period 8</v>
      </c>
      <c r="E220" s="41" t="s">
        <v>110</v>
      </c>
      <c r="F220" s="43">
        <v>0.9166666666666666</v>
      </c>
      <c r="J220" s="45" t="b">
        <f t="shared" si="1"/>
        <v>0</v>
      </c>
      <c r="L220" s="41" t="s">
        <v>96</v>
      </c>
    </row>
    <row r="221">
      <c r="A221" s="40">
        <v>44293.0</v>
      </c>
      <c r="B221" s="41" t="s">
        <v>96</v>
      </c>
      <c r="C221" s="42" t="str">
        <f>VLOOKUP(A221,Table!A:B,2,false)</f>
        <v>P8 W4</v>
      </c>
      <c r="D221" s="42" t="str">
        <f>VLOOKUP(A221,Table!A:D,4,false)</f>
        <v>Period 8</v>
      </c>
      <c r="E221" s="41" t="s">
        <v>110</v>
      </c>
      <c r="F221" s="43">
        <v>0.9166666666666666</v>
      </c>
      <c r="J221" s="45" t="b">
        <f t="shared" si="1"/>
        <v>0</v>
      </c>
      <c r="L221" s="41" t="s">
        <v>97</v>
      </c>
    </row>
    <row r="222">
      <c r="A222" s="40">
        <v>44294.0</v>
      </c>
      <c r="B222" s="41" t="s">
        <v>97</v>
      </c>
      <c r="C222" s="42" t="str">
        <f>VLOOKUP(A222,Table!A:B,2,false)</f>
        <v>P8 W4</v>
      </c>
      <c r="D222" s="42" t="str">
        <f>VLOOKUP(A222,Table!A:D,4,false)</f>
        <v>Period 8</v>
      </c>
      <c r="E222" s="41" t="s">
        <v>110</v>
      </c>
      <c r="F222" s="43">
        <v>0.9166666666666666</v>
      </c>
      <c r="J222" s="45" t="b">
        <f t="shared" si="1"/>
        <v>0</v>
      </c>
      <c r="L222" s="41" t="s">
        <v>98</v>
      </c>
    </row>
    <row r="223">
      <c r="A223" s="40">
        <v>44295.0</v>
      </c>
      <c r="B223" s="41" t="s">
        <v>98</v>
      </c>
      <c r="C223" s="42" t="str">
        <f>VLOOKUP(A223,Table!A:B,2,false)</f>
        <v>P8 W4</v>
      </c>
      <c r="D223" s="42" t="str">
        <f>VLOOKUP(A223,Table!A:D,4,false)</f>
        <v>Period 8</v>
      </c>
      <c r="E223" s="41" t="s">
        <v>110</v>
      </c>
      <c r="F223" s="43">
        <v>0.9166666666666666</v>
      </c>
      <c r="J223" s="45" t="b">
        <f t="shared" si="1"/>
        <v>0</v>
      </c>
      <c r="L223" s="41" t="s">
        <v>99</v>
      </c>
    </row>
    <row r="224">
      <c r="A224" s="40">
        <v>44296.0</v>
      </c>
      <c r="B224" s="41" t="s">
        <v>99</v>
      </c>
      <c r="C224" s="42" t="str">
        <f>VLOOKUP(A224,Table!A:B,2,false)</f>
        <v>P8 W4</v>
      </c>
      <c r="D224" s="42" t="str">
        <f>VLOOKUP(A224,Table!A:D,4,false)</f>
        <v>Period 8</v>
      </c>
      <c r="E224" s="41" t="s">
        <v>110</v>
      </c>
      <c r="F224" s="43">
        <v>0.9166666666666666</v>
      </c>
      <c r="J224" s="45" t="b">
        <f t="shared" si="1"/>
        <v>0</v>
      </c>
      <c r="L224" s="41" t="s">
        <v>100</v>
      </c>
    </row>
    <row r="225">
      <c r="A225" s="40">
        <v>44297.0</v>
      </c>
      <c r="B225" s="41" t="s">
        <v>100</v>
      </c>
      <c r="C225" s="42" t="str">
        <f>VLOOKUP(A225,Table!A:B,2,false)</f>
        <v>P8 W4</v>
      </c>
      <c r="D225" s="42" t="str">
        <f>VLOOKUP(A225,Table!A:D,4,false)</f>
        <v>Period 8</v>
      </c>
      <c r="E225" s="41" t="s">
        <v>110</v>
      </c>
      <c r="F225" s="43">
        <v>0.9166666666666666</v>
      </c>
      <c r="J225" s="45" t="b">
        <f t="shared" si="1"/>
        <v>0</v>
      </c>
      <c r="L225" s="41" t="s">
        <v>92</v>
      </c>
    </row>
    <row r="226">
      <c r="A226" s="40">
        <v>44298.0</v>
      </c>
      <c r="B226" s="41" t="s">
        <v>92</v>
      </c>
      <c r="C226" s="42" t="str">
        <f>VLOOKUP(A226,Table!A:B,2,false)</f>
        <v>P9 W1</v>
      </c>
      <c r="D226" s="42" t="str">
        <f>VLOOKUP(A226,Table!A:D,4,false)</f>
        <v>Period 9</v>
      </c>
      <c r="E226" s="41" t="s">
        <v>93</v>
      </c>
      <c r="F226" s="54">
        <v>0.9166666666666666</v>
      </c>
      <c r="J226" s="45" t="b">
        <f t="shared" si="1"/>
        <v>0</v>
      </c>
      <c r="L226" s="41" t="s">
        <v>94</v>
      </c>
    </row>
    <row r="227">
      <c r="A227" s="40">
        <v>44299.0</v>
      </c>
      <c r="B227" s="41" t="s">
        <v>94</v>
      </c>
      <c r="C227" s="42" t="str">
        <f>VLOOKUP(A227,Table!A:B,2,false)</f>
        <v>P9 W1</v>
      </c>
      <c r="D227" s="42" t="str">
        <f>VLOOKUP(A227,Table!A:D,4,false)</f>
        <v>Period 9</v>
      </c>
      <c r="E227" s="41" t="s">
        <v>93</v>
      </c>
      <c r="F227" s="43">
        <v>0.9166666666666666</v>
      </c>
      <c r="J227" s="45" t="b">
        <f t="shared" si="1"/>
        <v>0</v>
      </c>
      <c r="L227" s="41" t="s">
        <v>96</v>
      </c>
    </row>
    <row r="228">
      <c r="A228" s="40">
        <v>44300.0</v>
      </c>
      <c r="B228" s="41" t="s">
        <v>96</v>
      </c>
      <c r="C228" s="42" t="str">
        <f>VLOOKUP(A228,Table!A:B,2,false)</f>
        <v>P9 W1</v>
      </c>
      <c r="D228" s="42" t="str">
        <f>VLOOKUP(A228,Table!A:D,4,false)</f>
        <v>Period 9</v>
      </c>
      <c r="E228" s="41" t="s">
        <v>93</v>
      </c>
      <c r="F228" s="43">
        <v>0.9166666666666666</v>
      </c>
      <c r="J228" s="45" t="b">
        <f t="shared" si="1"/>
        <v>0</v>
      </c>
      <c r="L228" s="41" t="s">
        <v>97</v>
      </c>
    </row>
    <row r="229">
      <c r="A229" s="40">
        <v>44301.0</v>
      </c>
      <c r="B229" s="41" t="s">
        <v>97</v>
      </c>
      <c r="C229" s="42" t="str">
        <f>VLOOKUP(A229,Table!A:B,2,false)</f>
        <v>P9 W1</v>
      </c>
      <c r="D229" s="42" t="str">
        <f>VLOOKUP(A229,Table!A:D,4,false)</f>
        <v>Period 9</v>
      </c>
      <c r="E229" s="41" t="s">
        <v>93</v>
      </c>
      <c r="F229" s="43">
        <v>0.9166666666666666</v>
      </c>
      <c r="J229" s="45" t="b">
        <f t="shared" si="1"/>
        <v>0</v>
      </c>
      <c r="L229" s="41" t="s">
        <v>98</v>
      </c>
    </row>
    <row r="230">
      <c r="A230" s="40">
        <v>44302.0</v>
      </c>
      <c r="B230" s="41" t="s">
        <v>98</v>
      </c>
      <c r="C230" s="42" t="str">
        <f>VLOOKUP(A230,Table!A:B,2,false)</f>
        <v>P9 W1</v>
      </c>
      <c r="D230" s="42" t="str">
        <f>VLOOKUP(A230,Table!A:D,4,false)</f>
        <v>Period 9</v>
      </c>
      <c r="E230" s="41" t="s">
        <v>93</v>
      </c>
      <c r="F230" s="43">
        <v>0.9166666666666666</v>
      </c>
      <c r="J230" s="45" t="b">
        <f t="shared" si="1"/>
        <v>0</v>
      </c>
      <c r="L230" s="41" t="s">
        <v>99</v>
      </c>
    </row>
    <row r="231">
      <c r="A231" s="40">
        <v>44303.0</v>
      </c>
      <c r="B231" s="41" t="s">
        <v>99</v>
      </c>
      <c r="C231" s="42" t="str">
        <f>VLOOKUP(A231,Table!A:B,2,false)</f>
        <v>P9 W1</v>
      </c>
      <c r="D231" s="42" t="str">
        <f>VLOOKUP(A231,Table!A:D,4,false)</f>
        <v>Period 9</v>
      </c>
      <c r="E231" s="41" t="s">
        <v>93</v>
      </c>
      <c r="F231" s="43">
        <v>0.9166666666666666</v>
      </c>
      <c r="J231" s="45" t="b">
        <f t="shared" si="1"/>
        <v>0</v>
      </c>
      <c r="L231" s="41" t="s">
        <v>100</v>
      </c>
    </row>
    <row r="232">
      <c r="A232" s="40">
        <v>44304.0</v>
      </c>
      <c r="B232" s="41" t="s">
        <v>100</v>
      </c>
      <c r="C232" s="42" t="str">
        <f>VLOOKUP(A232,Table!A:B,2,false)</f>
        <v>P9 W1</v>
      </c>
      <c r="D232" s="42" t="str">
        <f>VLOOKUP(A232,Table!A:D,4,false)</f>
        <v>Period 9</v>
      </c>
      <c r="E232" s="41" t="s">
        <v>93</v>
      </c>
      <c r="F232" s="43">
        <v>0.9166666666666666</v>
      </c>
      <c r="J232" s="45" t="b">
        <f t="shared" si="1"/>
        <v>0</v>
      </c>
      <c r="L232" s="41" t="s">
        <v>92</v>
      </c>
    </row>
    <row r="233">
      <c r="A233" s="40">
        <v>44305.0</v>
      </c>
      <c r="B233" s="41" t="s">
        <v>92</v>
      </c>
      <c r="C233" s="42" t="str">
        <f>VLOOKUP(A233,Table!A:B,2,false)</f>
        <v>P9 W2</v>
      </c>
      <c r="D233" s="42" t="str">
        <f>VLOOKUP(A233,Table!A:D,4,false)</f>
        <v>Period 9</v>
      </c>
      <c r="E233" s="41" t="s">
        <v>101</v>
      </c>
      <c r="F233" s="43">
        <v>0.9166666666666666</v>
      </c>
      <c r="J233" s="45" t="b">
        <f t="shared" si="1"/>
        <v>0</v>
      </c>
      <c r="L233" s="41" t="s">
        <v>94</v>
      </c>
    </row>
    <row r="234">
      <c r="A234" s="40">
        <v>44306.0</v>
      </c>
      <c r="B234" s="41" t="s">
        <v>94</v>
      </c>
      <c r="C234" s="42" t="str">
        <f>VLOOKUP(A234,Table!A:B,2,false)</f>
        <v>P9 W2</v>
      </c>
      <c r="D234" s="42" t="str">
        <f>VLOOKUP(A234,Table!A:D,4,false)</f>
        <v>Period 9</v>
      </c>
      <c r="E234" s="41" t="s">
        <v>101</v>
      </c>
      <c r="F234" s="43">
        <v>0.9166666666666666</v>
      </c>
      <c r="J234" s="45" t="b">
        <f t="shared" si="1"/>
        <v>0</v>
      </c>
      <c r="L234" s="41" t="s">
        <v>96</v>
      </c>
    </row>
    <row r="235">
      <c r="A235" s="40">
        <v>44307.0</v>
      </c>
      <c r="B235" s="41" t="s">
        <v>96</v>
      </c>
      <c r="C235" s="42" t="str">
        <f>VLOOKUP(A235,Table!A:B,2,false)</f>
        <v>P9 W2</v>
      </c>
      <c r="D235" s="42" t="str">
        <f>VLOOKUP(A235,Table!A:D,4,false)</f>
        <v>Period 9</v>
      </c>
      <c r="E235" s="41" t="s">
        <v>101</v>
      </c>
      <c r="F235" s="43">
        <v>0.9166666666666666</v>
      </c>
      <c r="J235" s="45" t="b">
        <f t="shared" si="1"/>
        <v>0</v>
      </c>
      <c r="L235" s="41" t="s">
        <v>97</v>
      </c>
    </row>
    <row r="236">
      <c r="A236" s="40">
        <v>44308.0</v>
      </c>
      <c r="B236" s="41" t="s">
        <v>97</v>
      </c>
      <c r="C236" s="42" t="str">
        <f>VLOOKUP(A236,Table!A:B,2,false)</f>
        <v>P9 W2</v>
      </c>
      <c r="D236" s="42" t="str">
        <f>VLOOKUP(A236,Table!A:D,4,false)</f>
        <v>Period 9</v>
      </c>
      <c r="E236" s="41" t="s">
        <v>101</v>
      </c>
      <c r="F236" s="43">
        <v>0.9166666666666666</v>
      </c>
      <c r="J236" s="45" t="b">
        <f t="shared" si="1"/>
        <v>0</v>
      </c>
      <c r="L236" s="41" t="s">
        <v>98</v>
      </c>
    </row>
    <row r="237">
      <c r="A237" s="40">
        <v>44309.0</v>
      </c>
      <c r="B237" s="41" t="s">
        <v>98</v>
      </c>
      <c r="C237" s="42" t="str">
        <f>VLOOKUP(A237,Table!A:B,2,false)</f>
        <v>P9 W2</v>
      </c>
      <c r="D237" s="42" t="str">
        <f>VLOOKUP(A237,Table!A:D,4,false)</f>
        <v>Period 9</v>
      </c>
      <c r="E237" s="41" t="s">
        <v>101</v>
      </c>
      <c r="F237" s="43">
        <v>0.9166666666666666</v>
      </c>
      <c r="J237" s="45" t="b">
        <f t="shared" si="1"/>
        <v>0</v>
      </c>
      <c r="L237" s="41" t="s">
        <v>99</v>
      </c>
    </row>
    <row r="238">
      <c r="A238" s="40">
        <v>44310.0</v>
      </c>
      <c r="B238" s="41" t="s">
        <v>99</v>
      </c>
      <c r="C238" s="42" t="str">
        <f>VLOOKUP(A238,Table!A:B,2,false)</f>
        <v>P9 W2</v>
      </c>
      <c r="D238" s="42" t="str">
        <f>VLOOKUP(A238,Table!A:D,4,false)</f>
        <v>Period 9</v>
      </c>
      <c r="E238" s="41" t="s">
        <v>101</v>
      </c>
      <c r="F238" s="43">
        <v>0.9166666666666666</v>
      </c>
      <c r="J238" s="45" t="b">
        <f t="shared" si="1"/>
        <v>0</v>
      </c>
      <c r="L238" s="41" t="s">
        <v>100</v>
      </c>
    </row>
    <row r="239">
      <c r="A239" s="40">
        <v>44311.0</v>
      </c>
      <c r="B239" s="41" t="s">
        <v>100</v>
      </c>
      <c r="C239" s="42" t="str">
        <f>VLOOKUP(A239,Table!A:B,2,false)</f>
        <v>P9 W2</v>
      </c>
      <c r="D239" s="42" t="str">
        <f>VLOOKUP(A239,Table!A:D,4,false)</f>
        <v>Period 9</v>
      </c>
      <c r="E239" s="41" t="s">
        <v>101</v>
      </c>
      <c r="F239" s="43">
        <v>0.9166666666666666</v>
      </c>
      <c r="J239" s="45" t="b">
        <f t="shared" si="1"/>
        <v>0</v>
      </c>
      <c r="L239" s="41" t="s">
        <v>92</v>
      </c>
    </row>
    <row r="240">
      <c r="A240" s="40">
        <v>44312.0</v>
      </c>
      <c r="B240" s="41" t="s">
        <v>92</v>
      </c>
      <c r="C240" s="42" t="str">
        <f>VLOOKUP(A240,Table!A:B,2,false)</f>
        <v>P9 W3</v>
      </c>
      <c r="D240" s="42" t="str">
        <f>VLOOKUP(A240,Table!A:D,4,false)</f>
        <v>Period 9</v>
      </c>
      <c r="E240" s="41" t="s">
        <v>106</v>
      </c>
      <c r="F240" s="43">
        <v>0.9166666666666666</v>
      </c>
      <c r="J240" s="45" t="b">
        <f t="shared" si="1"/>
        <v>0</v>
      </c>
      <c r="L240" s="41" t="s">
        <v>94</v>
      </c>
    </row>
    <row r="241">
      <c r="A241" s="40">
        <v>44313.0</v>
      </c>
      <c r="B241" s="41" t="s">
        <v>94</v>
      </c>
      <c r="C241" s="42" t="str">
        <f>VLOOKUP(A241,Table!A:B,2,false)</f>
        <v>P9 W3</v>
      </c>
      <c r="D241" s="42" t="str">
        <f>VLOOKUP(A241,Table!A:D,4,false)</f>
        <v>Period 9</v>
      </c>
      <c r="E241" s="41" t="s">
        <v>106</v>
      </c>
      <c r="F241" s="43">
        <v>0.9166666666666666</v>
      </c>
      <c r="J241" s="45" t="b">
        <f t="shared" si="1"/>
        <v>0</v>
      </c>
      <c r="L241" s="41" t="s">
        <v>96</v>
      </c>
    </row>
    <row r="242">
      <c r="A242" s="40">
        <v>44314.0</v>
      </c>
      <c r="B242" s="41" t="s">
        <v>96</v>
      </c>
      <c r="C242" s="42" t="str">
        <f>VLOOKUP(A242,Table!A:B,2,false)</f>
        <v>P9 W3</v>
      </c>
      <c r="D242" s="42" t="str">
        <f>VLOOKUP(A242,Table!A:D,4,false)</f>
        <v>Period 9</v>
      </c>
      <c r="E242" s="41" t="s">
        <v>106</v>
      </c>
      <c r="F242" s="43">
        <v>0.9166666666666666</v>
      </c>
      <c r="J242" s="45" t="b">
        <f t="shared" si="1"/>
        <v>0</v>
      </c>
      <c r="L242" s="41" t="s">
        <v>97</v>
      </c>
    </row>
    <row r="243">
      <c r="A243" s="40">
        <v>44315.0</v>
      </c>
      <c r="B243" s="41" t="s">
        <v>97</v>
      </c>
      <c r="C243" s="42" t="str">
        <f>VLOOKUP(A243,Table!A:B,2,false)</f>
        <v>P9 W3</v>
      </c>
      <c r="D243" s="42" t="str">
        <f>VLOOKUP(A243,Table!A:D,4,false)</f>
        <v>Period 9</v>
      </c>
      <c r="E243" s="41" t="s">
        <v>106</v>
      </c>
      <c r="F243" s="43">
        <v>0.9166666666666666</v>
      </c>
      <c r="J243" s="45" t="b">
        <f t="shared" si="1"/>
        <v>0</v>
      </c>
      <c r="L243" s="41" t="s">
        <v>98</v>
      </c>
    </row>
    <row r="244">
      <c r="A244" s="40">
        <v>44316.0</v>
      </c>
      <c r="B244" s="41" t="s">
        <v>98</v>
      </c>
      <c r="C244" s="42" t="str">
        <f>VLOOKUP(A244,Table!A:B,2,false)</f>
        <v>P9 W3</v>
      </c>
      <c r="D244" s="42" t="str">
        <f>VLOOKUP(A244,Table!A:D,4,false)</f>
        <v>Period 9</v>
      </c>
      <c r="E244" s="41" t="s">
        <v>106</v>
      </c>
      <c r="F244" s="43">
        <v>0.9166666666666666</v>
      </c>
      <c r="J244" s="45" t="b">
        <f t="shared" si="1"/>
        <v>0</v>
      </c>
      <c r="L244" s="41" t="s">
        <v>99</v>
      </c>
    </row>
    <row r="245">
      <c r="A245" s="40">
        <v>44317.0</v>
      </c>
      <c r="B245" s="41" t="s">
        <v>99</v>
      </c>
      <c r="C245" s="42" t="str">
        <f>VLOOKUP(A245,Table!A:B,2,false)</f>
        <v>P9 W3</v>
      </c>
      <c r="D245" s="42" t="str">
        <f>VLOOKUP(A245,Table!A:D,4,false)</f>
        <v>Period 9</v>
      </c>
      <c r="E245" s="41" t="s">
        <v>106</v>
      </c>
      <c r="F245" s="43">
        <v>0.9166666666666666</v>
      </c>
      <c r="J245" s="45" t="b">
        <f t="shared" si="1"/>
        <v>0</v>
      </c>
      <c r="L245" s="41" t="s">
        <v>100</v>
      </c>
    </row>
    <row r="246">
      <c r="A246" s="40">
        <v>44318.0</v>
      </c>
      <c r="B246" s="41" t="s">
        <v>100</v>
      </c>
      <c r="C246" s="42" t="str">
        <f>VLOOKUP(A246,Table!A:B,2,false)</f>
        <v>P9 W3</v>
      </c>
      <c r="D246" s="42" t="str">
        <f>VLOOKUP(A246,Table!A:D,4,false)</f>
        <v>Period 9</v>
      </c>
      <c r="E246" s="41" t="s">
        <v>106</v>
      </c>
      <c r="F246" s="43">
        <v>0.9166666666666666</v>
      </c>
      <c r="J246" s="45" t="b">
        <f t="shared" si="1"/>
        <v>0</v>
      </c>
      <c r="L246" s="41" t="s">
        <v>92</v>
      </c>
    </row>
    <row r="247">
      <c r="A247" s="40">
        <v>44319.0</v>
      </c>
      <c r="B247" s="41" t="s">
        <v>92</v>
      </c>
      <c r="C247" s="42" t="str">
        <f>VLOOKUP(A247,Table!A:B,2,false)</f>
        <v>P9 W4</v>
      </c>
      <c r="D247" s="42" t="str">
        <f>VLOOKUP(A247,Table!A:D,4,false)</f>
        <v>Period 9</v>
      </c>
      <c r="E247" s="41" t="s">
        <v>110</v>
      </c>
      <c r="F247" s="43">
        <v>0.9166666666666666</v>
      </c>
      <c r="J247" s="45" t="b">
        <f t="shared" si="1"/>
        <v>0</v>
      </c>
      <c r="L247" s="41" t="s">
        <v>94</v>
      </c>
    </row>
    <row r="248">
      <c r="A248" s="40">
        <v>44320.0</v>
      </c>
      <c r="B248" s="41" t="s">
        <v>94</v>
      </c>
      <c r="C248" s="42" t="str">
        <f>VLOOKUP(A248,Table!A:B,2,false)</f>
        <v>P9 W4</v>
      </c>
      <c r="D248" s="42" t="str">
        <f>VLOOKUP(A248,Table!A:D,4,false)</f>
        <v>Period 9</v>
      </c>
      <c r="E248" s="41" t="s">
        <v>110</v>
      </c>
      <c r="F248" s="43">
        <v>0.9166666666666666</v>
      </c>
      <c r="J248" s="45" t="b">
        <f t="shared" si="1"/>
        <v>0</v>
      </c>
      <c r="L248" s="41" t="s">
        <v>96</v>
      </c>
    </row>
    <row r="249">
      <c r="A249" s="40">
        <v>44321.0</v>
      </c>
      <c r="B249" s="41" t="s">
        <v>96</v>
      </c>
      <c r="C249" s="42" t="str">
        <f>VLOOKUP(A249,Table!A:B,2,false)</f>
        <v>P9 W4</v>
      </c>
      <c r="D249" s="42" t="str">
        <f>VLOOKUP(A249,Table!A:D,4,false)</f>
        <v>Period 9</v>
      </c>
      <c r="E249" s="41" t="s">
        <v>110</v>
      </c>
      <c r="F249" s="43">
        <v>0.9166666666666666</v>
      </c>
      <c r="J249" s="45" t="b">
        <f t="shared" si="1"/>
        <v>0</v>
      </c>
      <c r="L249" s="41" t="s">
        <v>97</v>
      </c>
    </row>
    <row r="250">
      <c r="A250" s="40">
        <v>44322.0</v>
      </c>
      <c r="B250" s="41" t="s">
        <v>97</v>
      </c>
      <c r="C250" s="42" t="str">
        <f>VLOOKUP(A250,Table!A:B,2,false)</f>
        <v>P9 W4</v>
      </c>
      <c r="D250" s="42" t="str">
        <f>VLOOKUP(A250,Table!A:D,4,false)</f>
        <v>Period 9</v>
      </c>
      <c r="E250" s="41" t="s">
        <v>110</v>
      </c>
      <c r="F250" s="43">
        <v>0.9166666666666666</v>
      </c>
      <c r="J250" s="45" t="b">
        <f t="shared" si="1"/>
        <v>0</v>
      </c>
      <c r="L250" s="41" t="s">
        <v>98</v>
      </c>
    </row>
    <row r="251">
      <c r="A251" s="40">
        <v>44323.0</v>
      </c>
      <c r="B251" s="41" t="s">
        <v>98</v>
      </c>
      <c r="C251" s="42" t="str">
        <f>VLOOKUP(A251,Table!A:B,2,false)</f>
        <v>P9 W4</v>
      </c>
      <c r="D251" s="42" t="str">
        <f>VLOOKUP(A251,Table!A:D,4,false)</f>
        <v>Period 9</v>
      </c>
      <c r="E251" s="41" t="s">
        <v>110</v>
      </c>
      <c r="F251" s="43">
        <v>0.9166666666666666</v>
      </c>
      <c r="J251" s="45" t="b">
        <f t="shared" si="1"/>
        <v>0</v>
      </c>
      <c r="L251" s="41" t="s">
        <v>99</v>
      </c>
    </row>
    <row r="252">
      <c r="A252" s="40">
        <v>44324.0</v>
      </c>
      <c r="B252" s="41" t="s">
        <v>99</v>
      </c>
      <c r="C252" s="42" t="str">
        <f>VLOOKUP(A252,Table!A:B,2,false)</f>
        <v>P9 W4</v>
      </c>
      <c r="D252" s="42" t="str">
        <f>VLOOKUP(A252,Table!A:D,4,false)</f>
        <v>Period 9</v>
      </c>
      <c r="E252" s="41" t="s">
        <v>110</v>
      </c>
      <c r="F252" s="43">
        <v>0.9166666666666666</v>
      </c>
      <c r="J252" s="45" t="b">
        <f t="shared" si="1"/>
        <v>0</v>
      </c>
      <c r="L252" s="41" t="s">
        <v>100</v>
      </c>
    </row>
    <row r="253">
      <c r="A253" s="40">
        <v>44325.0</v>
      </c>
      <c r="B253" s="41" t="s">
        <v>100</v>
      </c>
      <c r="C253" s="42" t="str">
        <f>VLOOKUP(A253,Table!A:B,2,false)</f>
        <v>P9 W4</v>
      </c>
      <c r="D253" s="42" t="str">
        <f>VLOOKUP(A253,Table!A:D,4,false)</f>
        <v>Period 9</v>
      </c>
      <c r="E253" s="41" t="s">
        <v>110</v>
      </c>
      <c r="F253" s="43">
        <v>0.9166666666666666</v>
      </c>
      <c r="J253" s="45" t="b">
        <f t="shared" si="1"/>
        <v>0</v>
      </c>
      <c r="L253" s="41" t="s">
        <v>92</v>
      </c>
    </row>
    <row r="254">
      <c r="A254" s="40">
        <v>44326.0</v>
      </c>
      <c r="B254" s="41" t="s">
        <v>92</v>
      </c>
      <c r="C254" s="42" t="str">
        <f>VLOOKUP(A254,Table!A:B,2,false)</f>
        <v>P10 W1</v>
      </c>
      <c r="D254" s="42" t="str">
        <f>VLOOKUP(A254,Table!A:D,4,false)</f>
        <v>Period 10</v>
      </c>
      <c r="E254" s="41" t="s">
        <v>93</v>
      </c>
      <c r="F254" s="54">
        <v>0.9166666666666666</v>
      </c>
      <c r="J254" s="45" t="b">
        <f t="shared" si="1"/>
        <v>0</v>
      </c>
      <c r="L254" s="41" t="s">
        <v>94</v>
      </c>
    </row>
    <row r="255">
      <c r="A255" s="40">
        <v>44327.0</v>
      </c>
      <c r="B255" s="41" t="s">
        <v>94</v>
      </c>
      <c r="C255" s="42" t="str">
        <f>VLOOKUP(A255,Table!A:B,2,false)</f>
        <v>P10 W1</v>
      </c>
      <c r="D255" s="42" t="str">
        <f>VLOOKUP(A255,Table!A:D,4,false)</f>
        <v>Period 10</v>
      </c>
      <c r="E255" s="41" t="s">
        <v>93</v>
      </c>
      <c r="F255" s="43">
        <v>0.9166666666666666</v>
      </c>
      <c r="J255" s="45" t="b">
        <f t="shared" si="1"/>
        <v>0</v>
      </c>
      <c r="L255" s="41" t="s">
        <v>96</v>
      </c>
    </row>
    <row r="256">
      <c r="A256" s="40">
        <v>44328.0</v>
      </c>
      <c r="B256" s="41" t="s">
        <v>96</v>
      </c>
      <c r="C256" s="42" t="str">
        <f>VLOOKUP(A256,Table!A:B,2,false)</f>
        <v>P10 W1</v>
      </c>
      <c r="D256" s="42" t="str">
        <f>VLOOKUP(A256,Table!A:D,4,false)</f>
        <v>Period 10</v>
      </c>
      <c r="E256" s="41" t="s">
        <v>93</v>
      </c>
      <c r="F256" s="43">
        <v>0.9166666666666666</v>
      </c>
      <c r="J256" s="45" t="b">
        <f t="shared" si="1"/>
        <v>0</v>
      </c>
      <c r="L256" s="41" t="s">
        <v>97</v>
      </c>
    </row>
    <row r="257">
      <c r="A257" s="40">
        <v>44329.0</v>
      </c>
      <c r="B257" s="41" t="s">
        <v>97</v>
      </c>
      <c r="C257" s="42" t="str">
        <f>VLOOKUP(A257,Table!A:B,2,false)</f>
        <v>P10 W1</v>
      </c>
      <c r="D257" s="42" t="str">
        <f>VLOOKUP(A257,Table!A:D,4,false)</f>
        <v>Period 10</v>
      </c>
      <c r="E257" s="41" t="s">
        <v>93</v>
      </c>
      <c r="F257" s="43">
        <v>0.9166666666666666</v>
      </c>
      <c r="J257" s="45" t="b">
        <f t="shared" si="1"/>
        <v>0</v>
      </c>
      <c r="L257" s="41" t="s">
        <v>98</v>
      </c>
    </row>
    <row r="258">
      <c r="A258" s="40">
        <v>44330.0</v>
      </c>
      <c r="B258" s="41" t="s">
        <v>98</v>
      </c>
      <c r="C258" s="42" t="str">
        <f>VLOOKUP(A258,Table!A:B,2,false)</f>
        <v>P10 W1</v>
      </c>
      <c r="D258" s="42" t="str">
        <f>VLOOKUP(A258,Table!A:D,4,false)</f>
        <v>Period 10</v>
      </c>
      <c r="E258" s="41" t="s">
        <v>93</v>
      </c>
      <c r="F258" s="43">
        <v>0.9166666666666666</v>
      </c>
      <c r="J258" s="45" t="b">
        <f t="shared" si="1"/>
        <v>0</v>
      </c>
      <c r="L258" s="41" t="s">
        <v>99</v>
      </c>
    </row>
    <row r="259">
      <c r="A259" s="40">
        <v>44331.0</v>
      </c>
      <c r="B259" s="41" t="s">
        <v>99</v>
      </c>
      <c r="C259" s="42" t="str">
        <f>VLOOKUP(A259,Table!A:B,2,false)</f>
        <v>P10 W1</v>
      </c>
      <c r="D259" s="42" t="str">
        <f>VLOOKUP(A259,Table!A:D,4,false)</f>
        <v>Period 10</v>
      </c>
      <c r="E259" s="41" t="s">
        <v>93</v>
      </c>
      <c r="F259" s="43">
        <v>0.9166666666666666</v>
      </c>
      <c r="J259" s="45" t="b">
        <f t="shared" si="1"/>
        <v>0</v>
      </c>
      <c r="L259" s="41" t="s">
        <v>100</v>
      </c>
    </row>
    <row r="260">
      <c r="A260" s="40">
        <v>44332.0</v>
      </c>
      <c r="B260" s="41" t="s">
        <v>100</v>
      </c>
      <c r="C260" s="42" t="str">
        <f>VLOOKUP(A260,Table!A:B,2,false)</f>
        <v>P10 W1</v>
      </c>
      <c r="D260" s="42" t="str">
        <f>VLOOKUP(A260,Table!A:D,4,false)</f>
        <v>Period 10</v>
      </c>
      <c r="E260" s="41" t="s">
        <v>93</v>
      </c>
      <c r="F260" s="43">
        <v>0.9166666666666666</v>
      </c>
      <c r="J260" s="45" t="b">
        <f t="shared" si="1"/>
        <v>0</v>
      </c>
      <c r="L260" s="41" t="s">
        <v>92</v>
      </c>
    </row>
    <row r="261">
      <c r="A261" s="40">
        <v>44333.0</v>
      </c>
      <c r="B261" s="41" t="s">
        <v>92</v>
      </c>
      <c r="C261" s="42" t="str">
        <f>VLOOKUP(A261,Table!A:B,2,false)</f>
        <v>P10 W2</v>
      </c>
      <c r="D261" s="42" t="str">
        <f>VLOOKUP(A261,Table!A:D,4,false)</f>
        <v>Period 10</v>
      </c>
      <c r="E261" s="41" t="s">
        <v>101</v>
      </c>
      <c r="F261" s="43">
        <v>0.9166666666666666</v>
      </c>
      <c r="J261" s="45" t="b">
        <f t="shared" si="1"/>
        <v>0</v>
      </c>
      <c r="L261" s="41" t="s">
        <v>94</v>
      </c>
    </row>
    <row r="262">
      <c r="A262" s="40">
        <v>44334.0</v>
      </c>
      <c r="B262" s="41" t="s">
        <v>94</v>
      </c>
      <c r="C262" s="42" t="str">
        <f>VLOOKUP(A262,Table!A:B,2,false)</f>
        <v>P10 W2</v>
      </c>
      <c r="D262" s="42" t="str">
        <f>VLOOKUP(A262,Table!A:D,4,false)</f>
        <v>Period 10</v>
      </c>
      <c r="E262" s="41" t="s">
        <v>101</v>
      </c>
      <c r="F262" s="43">
        <v>0.9166666666666666</v>
      </c>
      <c r="J262" s="45" t="b">
        <f t="shared" si="1"/>
        <v>0</v>
      </c>
      <c r="L262" s="41" t="s">
        <v>96</v>
      </c>
    </row>
    <row r="263">
      <c r="A263" s="40">
        <v>44335.0</v>
      </c>
      <c r="B263" s="41" t="s">
        <v>96</v>
      </c>
      <c r="C263" s="42" t="str">
        <f>VLOOKUP(A263,Table!A:B,2,false)</f>
        <v>P10 W2</v>
      </c>
      <c r="D263" s="42" t="str">
        <f>VLOOKUP(A263,Table!A:D,4,false)</f>
        <v>Period 10</v>
      </c>
      <c r="E263" s="41" t="s">
        <v>101</v>
      </c>
      <c r="F263" s="43">
        <v>0.9166666666666666</v>
      </c>
      <c r="J263" s="45" t="b">
        <f t="shared" si="1"/>
        <v>0</v>
      </c>
      <c r="L263" s="41" t="s">
        <v>97</v>
      </c>
    </row>
    <row r="264">
      <c r="A264" s="40">
        <v>44336.0</v>
      </c>
      <c r="B264" s="41" t="s">
        <v>97</v>
      </c>
      <c r="C264" s="42" t="str">
        <f>VLOOKUP(A264,Table!A:B,2,false)</f>
        <v>P10 W2</v>
      </c>
      <c r="D264" s="42" t="str">
        <f>VLOOKUP(A264,Table!A:D,4,false)</f>
        <v>Period 10</v>
      </c>
      <c r="E264" s="41" t="s">
        <v>101</v>
      </c>
      <c r="F264" s="43">
        <v>0.9166666666666666</v>
      </c>
      <c r="J264" s="45" t="b">
        <f t="shared" si="1"/>
        <v>0</v>
      </c>
      <c r="L264" s="41" t="s">
        <v>98</v>
      </c>
    </row>
    <row r="265">
      <c r="A265" s="40">
        <v>44337.0</v>
      </c>
      <c r="B265" s="41" t="s">
        <v>98</v>
      </c>
      <c r="C265" s="42" t="str">
        <f>VLOOKUP(A265,Table!A:B,2,false)</f>
        <v>P10 W2</v>
      </c>
      <c r="D265" s="42" t="str">
        <f>VLOOKUP(A265,Table!A:D,4,false)</f>
        <v>Period 10</v>
      </c>
      <c r="E265" s="41" t="s">
        <v>101</v>
      </c>
      <c r="F265" s="43">
        <v>0.9166666666666666</v>
      </c>
      <c r="J265" s="45" t="b">
        <f t="shared" si="1"/>
        <v>0</v>
      </c>
      <c r="L265" s="41" t="s">
        <v>99</v>
      </c>
    </row>
    <row r="266">
      <c r="A266" s="40">
        <v>44338.0</v>
      </c>
      <c r="B266" s="41" t="s">
        <v>99</v>
      </c>
      <c r="C266" s="42" t="str">
        <f>VLOOKUP(A266,Table!A:B,2,false)</f>
        <v>P10 W2</v>
      </c>
      <c r="D266" s="42" t="str">
        <f>VLOOKUP(A266,Table!A:D,4,false)</f>
        <v>Period 10</v>
      </c>
      <c r="E266" s="41" t="s">
        <v>101</v>
      </c>
      <c r="F266" s="43">
        <v>0.9166666666666666</v>
      </c>
      <c r="J266" s="45" t="b">
        <f t="shared" si="1"/>
        <v>0</v>
      </c>
      <c r="L266" s="41" t="s">
        <v>100</v>
      </c>
    </row>
    <row r="267">
      <c r="A267" s="40">
        <v>44339.0</v>
      </c>
      <c r="B267" s="41" t="s">
        <v>100</v>
      </c>
      <c r="C267" s="42" t="str">
        <f>VLOOKUP(A267,Table!A:B,2,false)</f>
        <v>P10 W2</v>
      </c>
      <c r="D267" s="42" t="str">
        <f>VLOOKUP(A267,Table!A:D,4,false)</f>
        <v>Period 10</v>
      </c>
      <c r="E267" s="41" t="s">
        <v>101</v>
      </c>
      <c r="F267" s="43">
        <v>0.9166666666666666</v>
      </c>
      <c r="J267" s="45" t="b">
        <f t="shared" si="1"/>
        <v>0</v>
      </c>
      <c r="L267" s="41" t="s">
        <v>92</v>
      </c>
    </row>
    <row r="268">
      <c r="A268" s="40">
        <v>44340.0</v>
      </c>
      <c r="B268" s="41" t="s">
        <v>92</v>
      </c>
      <c r="C268" s="42" t="str">
        <f>VLOOKUP(A268,Table!A:B,2,false)</f>
        <v>P10 W3</v>
      </c>
      <c r="D268" s="42" t="str">
        <f>VLOOKUP(A268,Table!A:D,4,false)</f>
        <v>Period 10</v>
      </c>
      <c r="E268" s="41" t="s">
        <v>106</v>
      </c>
      <c r="F268" s="43">
        <v>0.9166666666666666</v>
      </c>
      <c r="J268" s="45" t="b">
        <f t="shared" si="1"/>
        <v>0</v>
      </c>
      <c r="L268" s="41" t="s">
        <v>94</v>
      </c>
    </row>
    <row r="269">
      <c r="A269" s="40">
        <v>44341.0</v>
      </c>
      <c r="B269" s="41" t="s">
        <v>94</v>
      </c>
      <c r="C269" s="42" t="str">
        <f>VLOOKUP(A269,Table!A:B,2,false)</f>
        <v>P10 W3</v>
      </c>
      <c r="D269" s="42" t="str">
        <f>VLOOKUP(A269,Table!A:D,4,false)</f>
        <v>Period 10</v>
      </c>
      <c r="E269" s="41" t="s">
        <v>106</v>
      </c>
      <c r="F269" s="43">
        <v>0.9166666666666666</v>
      </c>
      <c r="J269" s="45" t="b">
        <f t="shared" si="1"/>
        <v>0</v>
      </c>
      <c r="L269" s="41" t="s">
        <v>96</v>
      </c>
    </row>
    <row r="270">
      <c r="A270" s="40">
        <v>44342.0</v>
      </c>
      <c r="B270" s="41" t="s">
        <v>96</v>
      </c>
      <c r="C270" s="42" t="str">
        <f>VLOOKUP(A270,Table!A:B,2,false)</f>
        <v>P10 W3</v>
      </c>
      <c r="D270" s="42" t="str">
        <f>VLOOKUP(A270,Table!A:D,4,false)</f>
        <v>Period 10</v>
      </c>
      <c r="E270" s="41" t="s">
        <v>106</v>
      </c>
      <c r="F270" s="43">
        <v>0.9166666666666666</v>
      </c>
      <c r="J270" s="45" t="b">
        <f t="shared" si="1"/>
        <v>0</v>
      </c>
      <c r="L270" s="41" t="s">
        <v>97</v>
      </c>
    </row>
    <row r="271">
      <c r="A271" s="40">
        <v>44343.0</v>
      </c>
      <c r="B271" s="41" t="s">
        <v>97</v>
      </c>
      <c r="C271" s="42" t="str">
        <f>VLOOKUP(A271,Table!A:B,2,false)</f>
        <v>P10 W3</v>
      </c>
      <c r="D271" s="42" t="str">
        <f>VLOOKUP(A271,Table!A:D,4,false)</f>
        <v>Period 10</v>
      </c>
      <c r="E271" s="41" t="s">
        <v>106</v>
      </c>
      <c r="F271" s="43">
        <v>0.9166666666666666</v>
      </c>
      <c r="J271" s="45" t="b">
        <f t="shared" si="1"/>
        <v>0</v>
      </c>
      <c r="L271" s="41" t="s">
        <v>98</v>
      </c>
    </row>
    <row r="272">
      <c r="A272" s="40">
        <v>44344.0</v>
      </c>
      <c r="B272" s="41" t="s">
        <v>98</v>
      </c>
      <c r="C272" s="42" t="str">
        <f>VLOOKUP(A272,Table!A:B,2,false)</f>
        <v>P10 W3</v>
      </c>
      <c r="D272" s="42" t="str">
        <f>VLOOKUP(A272,Table!A:D,4,false)</f>
        <v>Period 10</v>
      </c>
      <c r="E272" s="41" t="s">
        <v>106</v>
      </c>
      <c r="F272" s="43">
        <v>0.9166666666666666</v>
      </c>
      <c r="J272" s="45" t="b">
        <f t="shared" si="1"/>
        <v>0</v>
      </c>
      <c r="L272" s="41" t="s">
        <v>99</v>
      </c>
    </row>
    <row r="273">
      <c r="A273" s="40">
        <v>44345.0</v>
      </c>
      <c r="B273" s="41" t="s">
        <v>99</v>
      </c>
      <c r="C273" s="42" t="str">
        <f>VLOOKUP(A273,Table!A:B,2,false)</f>
        <v>P10 W3</v>
      </c>
      <c r="D273" s="42" t="str">
        <f>VLOOKUP(A273,Table!A:D,4,false)</f>
        <v>Period 10</v>
      </c>
      <c r="E273" s="41" t="s">
        <v>106</v>
      </c>
      <c r="F273" s="43">
        <v>0.9166666666666666</v>
      </c>
      <c r="J273" s="45" t="b">
        <f t="shared" si="1"/>
        <v>0</v>
      </c>
      <c r="L273" s="41" t="s">
        <v>100</v>
      </c>
    </row>
    <row r="274">
      <c r="A274" s="40">
        <v>44346.0</v>
      </c>
      <c r="B274" s="41" t="s">
        <v>100</v>
      </c>
      <c r="C274" s="42" t="str">
        <f>VLOOKUP(A274,Table!A:B,2,false)</f>
        <v>P10 W3</v>
      </c>
      <c r="D274" s="42" t="str">
        <f>VLOOKUP(A274,Table!A:D,4,false)</f>
        <v>Period 10</v>
      </c>
      <c r="E274" s="41" t="s">
        <v>106</v>
      </c>
      <c r="F274" s="43">
        <v>0.9166666666666666</v>
      </c>
      <c r="J274" s="45" t="b">
        <f t="shared" si="1"/>
        <v>0</v>
      </c>
      <c r="L274" s="41" t="s">
        <v>92</v>
      </c>
    </row>
    <row r="275">
      <c r="A275" s="40">
        <v>44347.0</v>
      </c>
      <c r="B275" s="41" t="s">
        <v>92</v>
      </c>
      <c r="C275" s="42" t="str">
        <f>VLOOKUP(A275,Table!A:B,2,false)</f>
        <v>P10 W4</v>
      </c>
      <c r="D275" s="42" t="str">
        <f>VLOOKUP(A275,Table!A:D,4,false)</f>
        <v>Period 10</v>
      </c>
      <c r="E275" s="41" t="s">
        <v>110</v>
      </c>
      <c r="F275" s="43">
        <v>0.9166666666666666</v>
      </c>
      <c r="J275" s="45" t="b">
        <f t="shared" si="1"/>
        <v>0</v>
      </c>
      <c r="L275" s="41" t="s">
        <v>94</v>
      </c>
    </row>
    <row r="276">
      <c r="A276" s="40">
        <v>44348.0</v>
      </c>
      <c r="B276" s="41" t="s">
        <v>94</v>
      </c>
      <c r="C276" s="42" t="str">
        <f>VLOOKUP(A276,Table!A:B,2,false)</f>
        <v>P10 W4</v>
      </c>
      <c r="D276" s="42" t="str">
        <f>VLOOKUP(A276,Table!A:D,4,false)</f>
        <v>Period 10</v>
      </c>
      <c r="E276" s="41" t="s">
        <v>110</v>
      </c>
      <c r="F276" s="43">
        <v>0.9166666666666666</v>
      </c>
      <c r="J276" s="45" t="b">
        <f t="shared" si="1"/>
        <v>0</v>
      </c>
      <c r="L276" s="41" t="s">
        <v>96</v>
      </c>
    </row>
    <row r="277">
      <c r="A277" s="40">
        <v>44349.0</v>
      </c>
      <c r="B277" s="41" t="s">
        <v>96</v>
      </c>
      <c r="C277" s="42" t="str">
        <f>VLOOKUP(A277,Table!A:B,2,false)</f>
        <v>P10 W4</v>
      </c>
      <c r="D277" s="42" t="str">
        <f>VLOOKUP(A277,Table!A:D,4,false)</f>
        <v>Period 10</v>
      </c>
      <c r="E277" s="41" t="s">
        <v>110</v>
      </c>
      <c r="F277" s="43">
        <v>0.9166666666666666</v>
      </c>
      <c r="J277" s="45" t="b">
        <f t="shared" si="1"/>
        <v>0</v>
      </c>
      <c r="L277" s="41" t="s">
        <v>97</v>
      </c>
    </row>
    <row r="278">
      <c r="A278" s="40">
        <v>44350.0</v>
      </c>
      <c r="B278" s="41" t="s">
        <v>97</v>
      </c>
      <c r="C278" s="42" t="str">
        <f>VLOOKUP(A278,Table!A:B,2,false)</f>
        <v>P10 W4</v>
      </c>
      <c r="D278" s="42" t="str">
        <f>VLOOKUP(A278,Table!A:D,4,false)</f>
        <v>Period 10</v>
      </c>
      <c r="E278" s="41" t="s">
        <v>110</v>
      </c>
      <c r="F278" s="43">
        <v>0.9166666666666666</v>
      </c>
      <c r="J278" s="45" t="b">
        <f t="shared" si="1"/>
        <v>0</v>
      </c>
      <c r="L278" s="41" t="s">
        <v>98</v>
      </c>
    </row>
    <row r="279">
      <c r="A279" s="40">
        <v>44351.0</v>
      </c>
      <c r="B279" s="41" t="s">
        <v>98</v>
      </c>
      <c r="C279" s="42" t="str">
        <f>VLOOKUP(A279,Table!A:B,2,false)</f>
        <v>P10 W4</v>
      </c>
      <c r="D279" s="42" t="str">
        <f>VLOOKUP(A279,Table!A:D,4,false)</f>
        <v>Period 10</v>
      </c>
      <c r="E279" s="41" t="s">
        <v>110</v>
      </c>
      <c r="F279" s="43">
        <v>0.9166666666666666</v>
      </c>
      <c r="J279" s="45" t="b">
        <f t="shared" si="1"/>
        <v>0</v>
      </c>
      <c r="L279" s="41" t="s">
        <v>99</v>
      </c>
    </row>
    <row r="280">
      <c r="A280" s="40">
        <v>44352.0</v>
      </c>
      <c r="B280" s="41" t="s">
        <v>99</v>
      </c>
      <c r="C280" s="42" t="str">
        <f>VLOOKUP(A280,Table!A:B,2,false)</f>
        <v>P10 W4</v>
      </c>
      <c r="D280" s="42" t="str">
        <f>VLOOKUP(A280,Table!A:D,4,false)</f>
        <v>Period 10</v>
      </c>
      <c r="E280" s="41" t="s">
        <v>110</v>
      </c>
      <c r="F280" s="43">
        <v>0.9166666666666666</v>
      </c>
      <c r="J280" s="45" t="b">
        <f t="shared" si="1"/>
        <v>0</v>
      </c>
      <c r="L280" s="41" t="s">
        <v>100</v>
      </c>
    </row>
    <row r="281">
      <c r="A281" s="40">
        <v>44353.0</v>
      </c>
      <c r="B281" s="41" t="s">
        <v>100</v>
      </c>
      <c r="C281" s="42" t="str">
        <f>VLOOKUP(A281,Table!A:B,2,false)</f>
        <v>P10 W4</v>
      </c>
      <c r="D281" s="42" t="str">
        <f>VLOOKUP(A281,Table!A:D,4,false)</f>
        <v>Period 10</v>
      </c>
      <c r="E281" s="41" t="s">
        <v>110</v>
      </c>
      <c r="F281" s="43">
        <v>0.9166666666666666</v>
      </c>
      <c r="J281" s="45" t="b">
        <f t="shared" si="1"/>
        <v>0</v>
      </c>
      <c r="L281" s="41" t="s">
        <v>92</v>
      </c>
    </row>
    <row r="282">
      <c r="A282" s="40">
        <v>44354.0</v>
      </c>
      <c r="B282" s="41" t="s">
        <v>92</v>
      </c>
      <c r="C282" s="42" t="str">
        <f>VLOOKUP(A282,Table!A:B,2,false)</f>
        <v>P11 W1</v>
      </c>
      <c r="D282" s="42" t="str">
        <f>VLOOKUP(A282,Table!A:D,4,false)</f>
        <v>Period 11</v>
      </c>
      <c r="E282" s="41" t="s">
        <v>93</v>
      </c>
      <c r="F282" s="54">
        <v>0.9166666666666666</v>
      </c>
      <c r="J282" s="45" t="b">
        <f t="shared" si="1"/>
        <v>0</v>
      </c>
      <c r="L282" s="41" t="s">
        <v>94</v>
      </c>
    </row>
    <row r="283">
      <c r="A283" s="40">
        <v>44355.0</v>
      </c>
      <c r="B283" s="41" t="s">
        <v>94</v>
      </c>
      <c r="C283" s="42" t="str">
        <f>VLOOKUP(A283,Table!A:B,2,false)</f>
        <v>P11 W1</v>
      </c>
      <c r="D283" s="42" t="str">
        <f>VLOOKUP(A283,Table!A:D,4,false)</f>
        <v>Period 11</v>
      </c>
      <c r="E283" s="41" t="s">
        <v>93</v>
      </c>
      <c r="F283" s="43">
        <v>0.9166666666666666</v>
      </c>
      <c r="J283" s="45" t="b">
        <f t="shared" si="1"/>
        <v>0</v>
      </c>
      <c r="L283" s="41" t="s">
        <v>96</v>
      </c>
    </row>
    <row r="284">
      <c r="A284" s="40">
        <v>44356.0</v>
      </c>
      <c r="B284" s="41" t="s">
        <v>96</v>
      </c>
      <c r="C284" s="42" t="str">
        <f>VLOOKUP(A284,Table!A:B,2,false)</f>
        <v>P11 W1</v>
      </c>
      <c r="D284" s="42" t="str">
        <f>VLOOKUP(A284,Table!A:D,4,false)</f>
        <v>Period 11</v>
      </c>
      <c r="E284" s="41" t="s">
        <v>93</v>
      </c>
      <c r="F284" s="43">
        <v>0.9166666666666666</v>
      </c>
      <c r="J284" s="45" t="b">
        <f t="shared" si="1"/>
        <v>0</v>
      </c>
      <c r="L284" s="41" t="s">
        <v>97</v>
      </c>
    </row>
    <row r="285">
      <c r="A285" s="40">
        <v>44357.0</v>
      </c>
      <c r="B285" s="41" t="s">
        <v>97</v>
      </c>
      <c r="C285" s="42" t="str">
        <f>VLOOKUP(A285,Table!A:B,2,false)</f>
        <v>P11 W1</v>
      </c>
      <c r="D285" s="42" t="str">
        <f>VLOOKUP(A285,Table!A:D,4,false)</f>
        <v>Period 11</v>
      </c>
      <c r="E285" s="41" t="s">
        <v>93</v>
      </c>
      <c r="F285" s="43">
        <v>0.9166666666666666</v>
      </c>
      <c r="J285" s="45" t="b">
        <f t="shared" si="1"/>
        <v>0</v>
      </c>
      <c r="L285" s="41" t="s">
        <v>98</v>
      </c>
    </row>
    <row r="286">
      <c r="A286" s="40">
        <v>44358.0</v>
      </c>
      <c r="B286" s="41" t="s">
        <v>98</v>
      </c>
      <c r="C286" s="42" t="str">
        <f>VLOOKUP(A286,Table!A:B,2,false)</f>
        <v>P11 W1</v>
      </c>
      <c r="D286" s="42" t="str">
        <f>VLOOKUP(A286,Table!A:D,4,false)</f>
        <v>Period 11</v>
      </c>
      <c r="E286" s="41" t="s">
        <v>93</v>
      </c>
      <c r="F286" s="43">
        <v>0.9166666666666666</v>
      </c>
      <c r="J286" s="45" t="b">
        <f t="shared" si="1"/>
        <v>0</v>
      </c>
      <c r="L286" s="41" t="s">
        <v>99</v>
      </c>
    </row>
    <row r="287">
      <c r="A287" s="40">
        <v>44359.0</v>
      </c>
      <c r="B287" s="41" t="s">
        <v>99</v>
      </c>
      <c r="C287" s="42" t="str">
        <f>VLOOKUP(A287,Table!A:B,2,false)</f>
        <v>P11 W1</v>
      </c>
      <c r="D287" s="42" t="str">
        <f>VLOOKUP(A287,Table!A:D,4,false)</f>
        <v>Period 11</v>
      </c>
      <c r="E287" s="41" t="s">
        <v>93</v>
      </c>
      <c r="F287" s="43">
        <v>0.9166666666666666</v>
      </c>
      <c r="J287" s="45" t="b">
        <f t="shared" si="1"/>
        <v>0</v>
      </c>
      <c r="L287" s="41" t="s">
        <v>100</v>
      </c>
    </row>
    <row r="288">
      <c r="A288" s="40">
        <v>44360.0</v>
      </c>
      <c r="B288" s="41" t="s">
        <v>100</v>
      </c>
      <c r="C288" s="42" t="str">
        <f>VLOOKUP(A288,Table!A:B,2,false)</f>
        <v>P11 W1</v>
      </c>
      <c r="D288" s="42" t="str">
        <f>VLOOKUP(A288,Table!A:D,4,false)</f>
        <v>Period 11</v>
      </c>
      <c r="E288" s="41" t="s">
        <v>93</v>
      </c>
      <c r="F288" s="43">
        <v>0.9166666666666666</v>
      </c>
      <c r="J288" s="45" t="b">
        <f t="shared" si="1"/>
        <v>0</v>
      </c>
      <c r="L288" s="41" t="s">
        <v>92</v>
      </c>
    </row>
    <row r="289">
      <c r="A289" s="40">
        <v>44361.0</v>
      </c>
      <c r="B289" s="41" t="s">
        <v>92</v>
      </c>
      <c r="C289" s="42" t="str">
        <f>VLOOKUP(A289,Table!A:B,2,false)</f>
        <v>P11 W2</v>
      </c>
      <c r="D289" s="42" t="str">
        <f>VLOOKUP(A289,Table!A:D,4,false)</f>
        <v>Period 11</v>
      </c>
      <c r="E289" s="41" t="s">
        <v>101</v>
      </c>
      <c r="F289" s="43">
        <v>0.9166666666666666</v>
      </c>
      <c r="J289" s="45" t="b">
        <f t="shared" si="1"/>
        <v>0</v>
      </c>
      <c r="L289" s="41" t="s">
        <v>94</v>
      </c>
    </row>
    <row r="290">
      <c r="A290" s="40">
        <v>44362.0</v>
      </c>
      <c r="B290" s="41" t="s">
        <v>94</v>
      </c>
      <c r="C290" s="42" t="str">
        <f>VLOOKUP(A290,Table!A:B,2,false)</f>
        <v>P11 W2</v>
      </c>
      <c r="D290" s="42" t="str">
        <f>VLOOKUP(A290,Table!A:D,4,false)</f>
        <v>Period 11</v>
      </c>
      <c r="E290" s="41" t="s">
        <v>101</v>
      </c>
      <c r="F290" s="43">
        <v>0.9166666666666666</v>
      </c>
      <c r="J290" s="45" t="b">
        <f t="shared" si="1"/>
        <v>0</v>
      </c>
      <c r="L290" s="41" t="s">
        <v>96</v>
      </c>
    </row>
    <row r="291">
      <c r="A291" s="40">
        <v>44363.0</v>
      </c>
      <c r="B291" s="41" t="s">
        <v>96</v>
      </c>
      <c r="C291" s="42" t="str">
        <f>VLOOKUP(A291,Table!A:B,2,false)</f>
        <v>P11 W2</v>
      </c>
      <c r="D291" s="42" t="str">
        <f>VLOOKUP(A291,Table!A:D,4,false)</f>
        <v>Period 11</v>
      </c>
      <c r="E291" s="41" t="s">
        <v>101</v>
      </c>
      <c r="F291" s="43">
        <v>0.9166666666666666</v>
      </c>
      <c r="J291" s="45" t="b">
        <f t="shared" si="1"/>
        <v>0</v>
      </c>
      <c r="L291" s="41" t="s">
        <v>97</v>
      </c>
    </row>
    <row r="292">
      <c r="A292" s="40">
        <v>44364.0</v>
      </c>
      <c r="B292" s="41" t="s">
        <v>97</v>
      </c>
      <c r="C292" s="42" t="str">
        <f>VLOOKUP(A292,Table!A:B,2,false)</f>
        <v>P11 W2</v>
      </c>
      <c r="D292" s="42" t="str">
        <f>VLOOKUP(A292,Table!A:D,4,false)</f>
        <v>Period 11</v>
      </c>
      <c r="E292" s="41" t="s">
        <v>101</v>
      </c>
      <c r="F292" s="43">
        <v>0.9166666666666666</v>
      </c>
      <c r="J292" s="45" t="b">
        <f t="shared" si="1"/>
        <v>0</v>
      </c>
      <c r="L292" s="41" t="s">
        <v>98</v>
      </c>
    </row>
    <row r="293">
      <c r="A293" s="40">
        <v>44365.0</v>
      </c>
      <c r="B293" s="41" t="s">
        <v>98</v>
      </c>
      <c r="C293" s="42" t="str">
        <f>VLOOKUP(A293,Table!A:B,2,false)</f>
        <v>P11 W2</v>
      </c>
      <c r="D293" s="42" t="str">
        <f>VLOOKUP(A293,Table!A:D,4,false)</f>
        <v>Period 11</v>
      </c>
      <c r="E293" s="41" t="s">
        <v>101</v>
      </c>
      <c r="F293" s="43">
        <v>0.9166666666666666</v>
      </c>
      <c r="J293" s="45" t="b">
        <f t="shared" si="1"/>
        <v>0</v>
      </c>
      <c r="L293" s="41" t="s">
        <v>99</v>
      </c>
    </row>
    <row r="294">
      <c r="A294" s="40">
        <v>44366.0</v>
      </c>
      <c r="B294" s="41" t="s">
        <v>99</v>
      </c>
      <c r="C294" s="42" t="str">
        <f>VLOOKUP(A294,Table!A:B,2,false)</f>
        <v>P11 W2</v>
      </c>
      <c r="D294" s="42" t="str">
        <f>VLOOKUP(A294,Table!A:D,4,false)</f>
        <v>Period 11</v>
      </c>
      <c r="E294" s="41" t="s">
        <v>101</v>
      </c>
      <c r="F294" s="43">
        <v>0.9166666666666666</v>
      </c>
      <c r="J294" s="45" t="b">
        <f t="shared" si="1"/>
        <v>0</v>
      </c>
      <c r="L294" s="41" t="s">
        <v>100</v>
      </c>
    </row>
    <row r="295">
      <c r="A295" s="40">
        <v>44367.0</v>
      </c>
      <c r="B295" s="41" t="s">
        <v>100</v>
      </c>
      <c r="C295" s="42" t="str">
        <f>VLOOKUP(A295,Table!A:B,2,false)</f>
        <v>P11 W2</v>
      </c>
      <c r="D295" s="42" t="str">
        <f>VLOOKUP(A295,Table!A:D,4,false)</f>
        <v>Period 11</v>
      </c>
      <c r="E295" s="41" t="s">
        <v>101</v>
      </c>
      <c r="F295" s="43">
        <v>0.9166666666666666</v>
      </c>
      <c r="J295" s="45" t="b">
        <f t="shared" si="1"/>
        <v>0</v>
      </c>
      <c r="L295" s="41" t="s">
        <v>92</v>
      </c>
    </row>
    <row r="296">
      <c r="A296" s="40">
        <v>44368.0</v>
      </c>
      <c r="B296" s="41" t="s">
        <v>92</v>
      </c>
      <c r="C296" s="42" t="str">
        <f>VLOOKUP(A296,Table!A:B,2,false)</f>
        <v>P11 W3</v>
      </c>
      <c r="D296" s="42" t="str">
        <f>VLOOKUP(A296,Table!A:D,4,false)</f>
        <v>Period 11</v>
      </c>
      <c r="E296" s="41" t="s">
        <v>106</v>
      </c>
      <c r="F296" s="43">
        <v>0.9166666666666666</v>
      </c>
      <c r="J296" s="45" t="b">
        <f t="shared" si="1"/>
        <v>0</v>
      </c>
      <c r="L296" s="41" t="s">
        <v>94</v>
      </c>
    </row>
    <row r="297">
      <c r="A297" s="40">
        <v>44369.0</v>
      </c>
      <c r="B297" s="41" t="s">
        <v>94</v>
      </c>
      <c r="C297" s="42" t="str">
        <f>VLOOKUP(A297,Table!A:B,2,false)</f>
        <v>P11 W3</v>
      </c>
      <c r="D297" s="42" t="str">
        <f>VLOOKUP(A297,Table!A:D,4,false)</f>
        <v>Period 11</v>
      </c>
      <c r="E297" s="41" t="s">
        <v>106</v>
      </c>
      <c r="F297" s="43">
        <v>0.9166666666666666</v>
      </c>
      <c r="J297" s="45" t="b">
        <f t="shared" si="1"/>
        <v>0</v>
      </c>
      <c r="L297" s="41" t="s">
        <v>96</v>
      </c>
    </row>
    <row r="298">
      <c r="A298" s="40">
        <v>44370.0</v>
      </c>
      <c r="B298" s="41" t="s">
        <v>96</v>
      </c>
      <c r="C298" s="42" t="str">
        <f>VLOOKUP(A298,Table!A:B,2,false)</f>
        <v>P11 W3</v>
      </c>
      <c r="D298" s="42" t="str">
        <f>VLOOKUP(A298,Table!A:D,4,false)</f>
        <v>Period 11</v>
      </c>
      <c r="E298" s="41" t="s">
        <v>106</v>
      </c>
      <c r="F298" s="43">
        <v>0.9166666666666666</v>
      </c>
      <c r="J298" s="45" t="b">
        <f t="shared" si="1"/>
        <v>0</v>
      </c>
      <c r="L298" s="41" t="s">
        <v>97</v>
      </c>
    </row>
    <row r="299">
      <c r="A299" s="40">
        <v>44371.0</v>
      </c>
      <c r="B299" s="41" t="s">
        <v>97</v>
      </c>
      <c r="C299" s="42" t="str">
        <f>VLOOKUP(A299,Table!A:B,2,false)</f>
        <v>P11 W3</v>
      </c>
      <c r="D299" s="42" t="str">
        <f>VLOOKUP(A299,Table!A:D,4,false)</f>
        <v>Period 11</v>
      </c>
      <c r="E299" s="41" t="s">
        <v>106</v>
      </c>
      <c r="F299" s="43">
        <v>0.9166666666666666</v>
      </c>
      <c r="J299" s="45" t="b">
        <f t="shared" si="1"/>
        <v>0</v>
      </c>
      <c r="L299" s="41" t="s">
        <v>98</v>
      </c>
    </row>
    <row r="300">
      <c r="A300" s="40">
        <v>44372.0</v>
      </c>
      <c r="B300" s="41" t="s">
        <v>98</v>
      </c>
      <c r="C300" s="42" t="str">
        <f>VLOOKUP(A300,Table!A:B,2,false)</f>
        <v>P11 W3</v>
      </c>
      <c r="D300" s="42" t="str">
        <f>VLOOKUP(A300,Table!A:D,4,false)</f>
        <v>Period 11</v>
      </c>
      <c r="E300" s="41" t="s">
        <v>106</v>
      </c>
      <c r="F300" s="43">
        <v>0.9166666666666666</v>
      </c>
      <c r="J300" s="45" t="b">
        <f t="shared" si="1"/>
        <v>0</v>
      </c>
      <c r="L300" s="41" t="s">
        <v>99</v>
      </c>
    </row>
    <row r="301">
      <c r="A301" s="40">
        <v>44373.0</v>
      </c>
      <c r="B301" s="41" t="s">
        <v>99</v>
      </c>
      <c r="C301" s="42" t="str">
        <f>VLOOKUP(A301,Table!A:B,2,false)</f>
        <v>P11 W3</v>
      </c>
      <c r="D301" s="42" t="str">
        <f>VLOOKUP(A301,Table!A:D,4,false)</f>
        <v>Period 11</v>
      </c>
      <c r="E301" s="41" t="s">
        <v>106</v>
      </c>
      <c r="F301" s="43">
        <v>0.9166666666666666</v>
      </c>
      <c r="J301" s="45" t="b">
        <f t="shared" si="1"/>
        <v>0</v>
      </c>
      <c r="L301" s="41" t="s">
        <v>100</v>
      </c>
    </row>
    <row r="302">
      <c r="A302" s="40">
        <v>44374.0</v>
      </c>
      <c r="B302" s="41" t="s">
        <v>100</v>
      </c>
      <c r="C302" s="42" t="str">
        <f>VLOOKUP(A302,Table!A:B,2,false)</f>
        <v>P11 W3</v>
      </c>
      <c r="D302" s="42" t="str">
        <f>VLOOKUP(A302,Table!A:D,4,false)</f>
        <v>Period 11</v>
      </c>
      <c r="E302" s="41" t="s">
        <v>106</v>
      </c>
      <c r="F302" s="43">
        <v>0.9166666666666666</v>
      </c>
      <c r="J302" s="45" t="b">
        <f t="shared" si="1"/>
        <v>0</v>
      </c>
      <c r="L302" s="41" t="s">
        <v>92</v>
      </c>
    </row>
    <row r="303">
      <c r="A303" s="40">
        <v>44375.0</v>
      </c>
      <c r="B303" s="41" t="s">
        <v>92</v>
      </c>
      <c r="C303" s="42" t="str">
        <f>VLOOKUP(A303,Table!A:B,2,false)</f>
        <v>P11 W4</v>
      </c>
      <c r="D303" s="42" t="str">
        <f>VLOOKUP(A303,Table!A:D,4,false)</f>
        <v>Period 11</v>
      </c>
      <c r="E303" s="41" t="s">
        <v>110</v>
      </c>
      <c r="F303" s="43">
        <v>0.9166666666666666</v>
      </c>
      <c r="J303" s="45" t="b">
        <f t="shared" si="1"/>
        <v>0</v>
      </c>
      <c r="L303" s="41" t="s">
        <v>94</v>
      </c>
    </row>
    <row r="304">
      <c r="A304" s="40">
        <v>44376.0</v>
      </c>
      <c r="B304" s="41" t="s">
        <v>94</v>
      </c>
      <c r="C304" s="42" t="str">
        <f>VLOOKUP(A304,Table!A:B,2,false)</f>
        <v>P11 W4</v>
      </c>
      <c r="D304" s="42" t="str">
        <f>VLOOKUP(A304,Table!A:D,4,false)</f>
        <v>Period 11</v>
      </c>
      <c r="E304" s="41" t="s">
        <v>110</v>
      </c>
      <c r="F304" s="43">
        <v>0.9166666666666666</v>
      </c>
      <c r="J304" s="45" t="b">
        <f t="shared" si="1"/>
        <v>0</v>
      </c>
      <c r="L304" s="41" t="s">
        <v>96</v>
      </c>
    </row>
    <row r="305">
      <c r="A305" s="40">
        <v>44377.0</v>
      </c>
      <c r="B305" s="41" t="s">
        <v>96</v>
      </c>
      <c r="C305" s="42" t="str">
        <f>VLOOKUP(A305,Table!A:B,2,false)</f>
        <v>P11 W4</v>
      </c>
      <c r="D305" s="42" t="str">
        <f>VLOOKUP(A305,Table!A:D,4,false)</f>
        <v>Period 11</v>
      </c>
      <c r="E305" s="41" t="s">
        <v>110</v>
      </c>
      <c r="F305" s="43">
        <v>0.9166666666666666</v>
      </c>
      <c r="J305" s="45" t="b">
        <f t="shared" si="1"/>
        <v>0</v>
      </c>
      <c r="L305" s="41" t="s">
        <v>97</v>
      </c>
    </row>
    <row r="306">
      <c r="A306" s="40">
        <v>44378.0</v>
      </c>
      <c r="B306" s="41" t="s">
        <v>97</v>
      </c>
      <c r="C306" s="42" t="str">
        <f>VLOOKUP(A306,Table!A:B,2,false)</f>
        <v>P11 W4</v>
      </c>
      <c r="D306" s="42" t="str">
        <f>VLOOKUP(A306,Table!A:D,4,false)</f>
        <v>Period 11</v>
      </c>
      <c r="E306" s="41" t="s">
        <v>110</v>
      </c>
      <c r="F306" s="43">
        <v>0.9166666666666666</v>
      </c>
      <c r="J306" s="45" t="b">
        <f t="shared" si="1"/>
        <v>0</v>
      </c>
      <c r="L306" s="41" t="s">
        <v>98</v>
      </c>
    </row>
    <row r="307">
      <c r="A307" s="40">
        <v>44379.0</v>
      </c>
      <c r="B307" s="41" t="s">
        <v>98</v>
      </c>
      <c r="C307" s="42" t="str">
        <f>VLOOKUP(A307,Table!A:B,2,false)</f>
        <v>P11 W4</v>
      </c>
      <c r="D307" s="42" t="str">
        <f>VLOOKUP(A307,Table!A:D,4,false)</f>
        <v>Period 11</v>
      </c>
      <c r="E307" s="41" t="s">
        <v>110</v>
      </c>
      <c r="F307" s="43">
        <v>0.9166666666666666</v>
      </c>
      <c r="J307" s="45" t="b">
        <f t="shared" si="1"/>
        <v>0</v>
      </c>
      <c r="L307" s="41" t="s">
        <v>99</v>
      </c>
    </row>
    <row r="308">
      <c r="A308" s="40">
        <v>44380.0</v>
      </c>
      <c r="B308" s="41" t="s">
        <v>99</v>
      </c>
      <c r="C308" s="42" t="str">
        <f>VLOOKUP(A308,Table!A:B,2,false)</f>
        <v>P11 W4</v>
      </c>
      <c r="D308" s="42" t="str">
        <f>VLOOKUP(A308,Table!A:D,4,false)</f>
        <v>Period 11</v>
      </c>
      <c r="E308" s="41" t="s">
        <v>110</v>
      </c>
      <c r="F308" s="43">
        <v>0.9166666666666666</v>
      </c>
      <c r="J308" s="45" t="b">
        <f t="shared" si="1"/>
        <v>0</v>
      </c>
      <c r="L308" s="41" t="s">
        <v>100</v>
      </c>
    </row>
    <row r="309">
      <c r="A309" s="40">
        <v>44381.0</v>
      </c>
      <c r="B309" s="41" t="s">
        <v>100</v>
      </c>
      <c r="C309" s="42" t="str">
        <f>VLOOKUP(A309,Table!A:B,2,false)</f>
        <v>P11 W4</v>
      </c>
      <c r="D309" s="42" t="str">
        <f>VLOOKUP(A309,Table!A:D,4,false)</f>
        <v>Period 11</v>
      </c>
      <c r="E309" s="41" t="s">
        <v>110</v>
      </c>
      <c r="F309" s="43">
        <v>0.9166666666666666</v>
      </c>
      <c r="J309" s="45" t="b">
        <f t="shared" si="1"/>
        <v>0</v>
      </c>
      <c r="L309" s="41" t="s">
        <v>92</v>
      </c>
    </row>
    <row r="310">
      <c r="A310" s="40">
        <v>44382.0</v>
      </c>
      <c r="B310" s="41" t="s">
        <v>92</v>
      </c>
      <c r="C310" s="42" t="str">
        <f>VLOOKUP(A310,Table!A:B,2,false)</f>
        <v>P12 W1</v>
      </c>
      <c r="D310" s="42" t="str">
        <f>VLOOKUP(A310,Table!A:D,4,false)</f>
        <v>Period 12</v>
      </c>
      <c r="E310" s="41" t="s">
        <v>93</v>
      </c>
      <c r="F310" s="54">
        <v>0.9166666666666666</v>
      </c>
      <c r="J310" s="45" t="b">
        <f t="shared" si="1"/>
        <v>0</v>
      </c>
      <c r="L310" s="41" t="s">
        <v>94</v>
      </c>
    </row>
    <row r="311">
      <c r="A311" s="40">
        <v>44383.0</v>
      </c>
      <c r="B311" s="41" t="s">
        <v>94</v>
      </c>
      <c r="C311" s="42" t="str">
        <f>VLOOKUP(A311,Table!A:B,2,false)</f>
        <v>P12 W1</v>
      </c>
      <c r="D311" s="42" t="str">
        <f>VLOOKUP(A311,Table!A:D,4,false)</f>
        <v>Period 12</v>
      </c>
      <c r="E311" s="41" t="s">
        <v>93</v>
      </c>
      <c r="F311" s="43">
        <v>0.9166666666666666</v>
      </c>
      <c r="J311" s="45" t="b">
        <f t="shared" si="1"/>
        <v>0</v>
      </c>
      <c r="L311" s="41" t="s">
        <v>96</v>
      </c>
    </row>
    <row r="312">
      <c r="A312" s="40">
        <v>44384.0</v>
      </c>
      <c r="B312" s="41" t="s">
        <v>96</v>
      </c>
      <c r="C312" s="42" t="str">
        <f>VLOOKUP(A312,Table!A:B,2,false)</f>
        <v>P12 W1</v>
      </c>
      <c r="D312" s="42" t="str">
        <f>VLOOKUP(A312,Table!A:D,4,false)</f>
        <v>Period 12</v>
      </c>
      <c r="E312" s="41" t="s">
        <v>93</v>
      </c>
      <c r="F312" s="43">
        <v>0.9166666666666666</v>
      </c>
      <c r="J312" s="45" t="b">
        <f t="shared" si="1"/>
        <v>0</v>
      </c>
      <c r="L312" s="41" t="s">
        <v>97</v>
      </c>
    </row>
    <row r="313">
      <c r="A313" s="40">
        <v>44385.0</v>
      </c>
      <c r="B313" s="41" t="s">
        <v>97</v>
      </c>
      <c r="C313" s="42" t="str">
        <f>VLOOKUP(A313,Table!A:B,2,false)</f>
        <v>P12 W1</v>
      </c>
      <c r="D313" s="42" t="str">
        <f>VLOOKUP(A313,Table!A:D,4,false)</f>
        <v>Period 12</v>
      </c>
      <c r="E313" s="41" t="s">
        <v>93</v>
      </c>
      <c r="F313" s="43">
        <v>0.9166666666666666</v>
      </c>
      <c r="J313" s="45" t="b">
        <f t="shared" si="1"/>
        <v>0</v>
      </c>
      <c r="L313" s="41" t="s">
        <v>98</v>
      </c>
    </row>
    <row r="314">
      <c r="A314" s="40">
        <v>44386.0</v>
      </c>
      <c r="B314" s="41" t="s">
        <v>98</v>
      </c>
      <c r="C314" s="42" t="str">
        <f>VLOOKUP(A314,Table!A:B,2,false)</f>
        <v>P12 W1</v>
      </c>
      <c r="D314" s="42" t="str">
        <f>VLOOKUP(A314,Table!A:D,4,false)</f>
        <v>Period 12</v>
      </c>
      <c r="E314" s="41" t="s">
        <v>93</v>
      </c>
      <c r="F314" s="43">
        <v>0.9166666666666666</v>
      </c>
      <c r="J314" s="45" t="b">
        <f t="shared" si="1"/>
        <v>0</v>
      </c>
      <c r="L314" s="41" t="s">
        <v>99</v>
      </c>
    </row>
    <row r="315">
      <c r="A315" s="40">
        <v>44387.0</v>
      </c>
      <c r="B315" s="41" t="s">
        <v>99</v>
      </c>
      <c r="C315" s="42" t="str">
        <f>VLOOKUP(A315,Table!A:B,2,false)</f>
        <v>P12 W1</v>
      </c>
      <c r="D315" s="42" t="str">
        <f>VLOOKUP(A315,Table!A:D,4,false)</f>
        <v>Period 12</v>
      </c>
      <c r="E315" s="41" t="s">
        <v>93</v>
      </c>
      <c r="F315" s="43">
        <v>0.9166666666666666</v>
      </c>
      <c r="J315" s="45" t="b">
        <f t="shared" si="1"/>
        <v>0</v>
      </c>
      <c r="L315" s="41" t="s">
        <v>100</v>
      </c>
    </row>
    <row r="316">
      <c r="A316" s="40">
        <v>44388.0</v>
      </c>
      <c r="B316" s="41" t="s">
        <v>100</v>
      </c>
      <c r="C316" s="42" t="str">
        <f>VLOOKUP(A316,Table!A:B,2,false)</f>
        <v>P12 W1</v>
      </c>
      <c r="D316" s="42" t="str">
        <f>VLOOKUP(A316,Table!A:D,4,false)</f>
        <v>Period 12</v>
      </c>
      <c r="E316" s="41" t="s">
        <v>93</v>
      </c>
      <c r="F316" s="43">
        <v>0.9166666666666666</v>
      </c>
      <c r="J316" s="45" t="b">
        <f t="shared" si="1"/>
        <v>0</v>
      </c>
      <c r="L316" s="41" t="s">
        <v>92</v>
      </c>
    </row>
    <row r="317">
      <c r="A317" s="40">
        <v>44389.0</v>
      </c>
      <c r="B317" s="41" t="s">
        <v>92</v>
      </c>
      <c r="C317" s="42" t="str">
        <f>VLOOKUP(A317,Table!A:B,2,false)</f>
        <v>P12 W2</v>
      </c>
      <c r="D317" s="42" t="str">
        <f>VLOOKUP(A317,Table!A:D,4,false)</f>
        <v>Period 12</v>
      </c>
      <c r="E317" s="41" t="s">
        <v>101</v>
      </c>
      <c r="F317" s="43">
        <v>0.9166666666666666</v>
      </c>
      <c r="J317" s="45" t="b">
        <f t="shared" si="1"/>
        <v>0</v>
      </c>
      <c r="L317" s="41" t="s">
        <v>94</v>
      </c>
    </row>
    <row r="318">
      <c r="A318" s="40">
        <v>44390.0</v>
      </c>
      <c r="B318" s="41" t="s">
        <v>94</v>
      </c>
      <c r="C318" s="42" t="str">
        <f>VLOOKUP(A318,Table!A:B,2,false)</f>
        <v>P12 W2</v>
      </c>
      <c r="D318" s="42" t="str">
        <f>VLOOKUP(A318,Table!A:D,4,false)</f>
        <v>Period 12</v>
      </c>
      <c r="E318" s="41" t="s">
        <v>101</v>
      </c>
      <c r="F318" s="43">
        <v>0.9166666666666666</v>
      </c>
      <c r="J318" s="45" t="b">
        <f t="shared" si="1"/>
        <v>0</v>
      </c>
      <c r="L318" s="41" t="s">
        <v>96</v>
      </c>
    </row>
    <row r="319">
      <c r="A319" s="40">
        <v>44391.0</v>
      </c>
      <c r="B319" s="41" t="s">
        <v>96</v>
      </c>
      <c r="C319" s="42" t="str">
        <f>VLOOKUP(A319,Table!A:B,2,false)</f>
        <v>P12 W2</v>
      </c>
      <c r="D319" s="42" t="str">
        <f>VLOOKUP(A319,Table!A:D,4,false)</f>
        <v>Period 12</v>
      </c>
      <c r="E319" s="41" t="s">
        <v>101</v>
      </c>
      <c r="F319" s="43">
        <v>0.9166666666666666</v>
      </c>
      <c r="J319" s="45" t="b">
        <f t="shared" si="1"/>
        <v>0</v>
      </c>
      <c r="L319" s="41" t="s">
        <v>97</v>
      </c>
    </row>
    <row r="320">
      <c r="A320" s="40">
        <v>44392.0</v>
      </c>
      <c r="B320" s="41" t="s">
        <v>97</v>
      </c>
      <c r="C320" s="42" t="str">
        <f>VLOOKUP(A320,Table!A:B,2,false)</f>
        <v>P12 W2</v>
      </c>
      <c r="D320" s="42" t="str">
        <f>VLOOKUP(A320,Table!A:D,4,false)</f>
        <v>Period 12</v>
      </c>
      <c r="E320" s="41" t="s">
        <v>101</v>
      </c>
      <c r="F320" s="43">
        <v>0.9166666666666666</v>
      </c>
      <c r="J320" s="45" t="b">
        <f t="shared" si="1"/>
        <v>0</v>
      </c>
      <c r="L320" s="41" t="s">
        <v>98</v>
      </c>
    </row>
    <row r="321">
      <c r="A321" s="40">
        <v>44393.0</v>
      </c>
      <c r="B321" s="41" t="s">
        <v>98</v>
      </c>
      <c r="C321" s="42" t="str">
        <f>VLOOKUP(A321,Table!A:B,2,false)</f>
        <v>P12 W2</v>
      </c>
      <c r="D321" s="42" t="str">
        <f>VLOOKUP(A321,Table!A:D,4,false)</f>
        <v>Period 12</v>
      </c>
      <c r="E321" s="41" t="s">
        <v>101</v>
      </c>
      <c r="F321" s="43">
        <v>0.9166666666666666</v>
      </c>
      <c r="J321" s="45" t="b">
        <f t="shared" si="1"/>
        <v>0</v>
      </c>
      <c r="L321" s="41" t="s">
        <v>99</v>
      </c>
    </row>
    <row r="322">
      <c r="A322" s="40">
        <v>44394.0</v>
      </c>
      <c r="B322" s="41" t="s">
        <v>99</v>
      </c>
      <c r="C322" s="42" t="str">
        <f>VLOOKUP(A322,Table!A:B,2,false)</f>
        <v>P12 W2</v>
      </c>
      <c r="D322" s="42" t="str">
        <f>VLOOKUP(A322,Table!A:D,4,false)</f>
        <v>Period 12</v>
      </c>
      <c r="E322" s="41" t="s">
        <v>101</v>
      </c>
      <c r="F322" s="43">
        <v>0.9166666666666666</v>
      </c>
      <c r="J322" s="45" t="b">
        <f t="shared" si="1"/>
        <v>0</v>
      </c>
      <c r="L322" s="41" t="s">
        <v>100</v>
      </c>
    </row>
    <row r="323">
      <c r="A323" s="40">
        <v>44395.0</v>
      </c>
      <c r="B323" s="41" t="s">
        <v>100</v>
      </c>
      <c r="C323" s="42" t="str">
        <f>VLOOKUP(A323,Table!A:B,2,false)</f>
        <v>P12 W2</v>
      </c>
      <c r="D323" s="42" t="str">
        <f>VLOOKUP(A323,Table!A:D,4,false)</f>
        <v>Period 12</v>
      </c>
      <c r="E323" s="41" t="s">
        <v>101</v>
      </c>
      <c r="F323" s="43">
        <v>0.9166666666666666</v>
      </c>
      <c r="J323" s="45" t="b">
        <f t="shared" si="1"/>
        <v>0</v>
      </c>
      <c r="L323" s="41" t="s">
        <v>92</v>
      </c>
    </row>
    <row r="324">
      <c r="A324" s="40">
        <v>44396.0</v>
      </c>
      <c r="B324" s="41" t="s">
        <v>92</v>
      </c>
      <c r="C324" s="42" t="str">
        <f>VLOOKUP(A324,Table!A:B,2,false)</f>
        <v>P12 W3</v>
      </c>
      <c r="D324" s="42" t="str">
        <f>VLOOKUP(A324,Table!A:D,4,false)</f>
        <v>Period 12</v>
      </c>
      <c r="E324" s="41" t="s">
        <v>106</v>
      </c>
      <c r="F324" s="43">
        <v>0.9166666666666666</v>
      </c>
      <c r="J324" s="45" t="b">
        <f t="shared" si="1"/>
        <v>0</v>
      </c>
      <c r="L324" s="41" t="s">
        <v>94</v>
      </c>
    </row>
    <row r="325">
      <c r="A325" s="40">
        <v>44397.0</v>
      </c>
      <c r="B325" s="41" t="s">
        <v>94</v>
      </c>
      <c r="C325" s="42" t="str">
        <f>VLOOKUP(A325,Table!A:B,2,false)</f>
        <v>P12 W3</v>
      </c>
      <c r="D325" s="42" t="str">
        <f>VLOOKUP(A325,Table!A:D,4,false)</f>
        <v>Period 12</v>
      </c>
      <c r="E325" s="41" t="s">
        <v>106</v>
      </c>
      <c r="F325" s="43">
        <v>0.9166666666666666</v>
      </c>
      <c r="J325" s="45" t="b">
        <f t="shared" si="1"/>
        <v>0</v>
      </c>
      <c r="L325" s="41" t="s">
        <v>96</v>
      </c>
    </row>
    <row r="326">
      <c r="A326" s="40">
        <v>44398.0</v>
      </c>
      <c r="B326" s="41" t="s">
        <v>96</v>
      </c>
      <c r="C326" s="42" t="str">
        <f>VLOOKUP(A326,Table!A:B,2,false)</f>
        <v>P12 W3</v>
      </c>
      <c r="D326" s="42" t="str">
        <f>VLOOKUP(A326,Table!A:D,4,false)</f>
        <v>Period 12</v>
      </c>
      <c r="E326" s="41" t="s">
        <v>106</v>
      </c>
      <c r="F326" s="43">
        <v>0.9166666666666666</v>
      </c>
      <c r="J326" s="45" t="b">
        <f t="shared" si="1"/>
        <v>0</v>
      </c>
      <c r="L326" s="41" t="s">
        <v>97</v>
      </c>
    </row>
    <row r="327">
      <c r="A327" s="40">
        <v>44399.0</v>
      </c>
      <c r="B327" s="41" t="s">
        <v>97</v>
      </c>
      <c r="C327" s="42" t="str">
        <f>VLOOKUP(A327,Table!A:B,2,false)</f>
        <v>P12 W3</v>
      </c>
      <c r="D327" s="42" t="str">
        <f>VLOOKUP(A327,Table!A:D,4,false)</f>
        <v>Period 12</v>
      </c>
      <c r="E327" s="41" t="s">
        <v>106</v>
      </c>
      <c r="F327" s="43">
        <v>0.9166666666666666</v>
      </c>
      <c r="J327" s="45" t="b">
        <f t="shared" si="1"/>
        <v>0</v>
      </c>
      <c r="L327" s="41" t="s">
        <v>98</v>
      </c>
    </row>
    <row r="328">
      <c r="A328" s="40">
        <v>44400.0</v>
      </c>
      <c r="B328" s="41" t="s">
        <v>98</v>
      </c>
      <c r="C328" s="42" t="str">
        <f>VLOOKUP(A328,Table!A:B,2,false)</f>
        <v>P12 W3</v>
      </c>
      <c r="D328" s="42" t="str">
        <f>VLOOKUP(A328,Table!A:D,4,false)</f>
        <v>Period 12</v>
      </c>
      <c r="E328" s="41" t="s">
        <v>106</v>
      </c>
      <c r="F328" s="43">
        <v>0.9166666666666666</v>
      </c>
      <c r="J328" s="45" t="b">
        <f t="shared" si="1"/>
        <v>0</v>
      </c>
      <c r="L328" s="41" t="s">
        <v>99</v>
      </c>
    </row>
    <row r="329">
      <c r="A329" s="40">
        <v>44401.0</v>
      </c>
      <c r="B329" s="41" t="s">
        <v>99</v>
      </c>
      <c r="C329" s="42" t="str">
        <f>VLOOKUP(A329,Table!A:B,2,false)</f>
        <v>P12 W3</v>
      </c>
      <c r="D329" s="42" t="str">
        <f>VLOOKUP(A329,Table!A:D,4,false)</f>
        <v>Period 12</v>
      </c>
      <c r="E329" s="41" t="s">
        <v>106</v>
      </c>
      <c r="F329" s="43">
        <v>0.9166666666666666</v>
      </c>
      <c r="J329" s="45" t="b">
        <f t="shared" si="1"/>
        <v>0</v>
      </c>
      <c r="L329" s="41" t="s">
        <v>100</v>
      </c>
    </row>
    <row r="330">
      <c r="A330" s="40">
        <v>44402.0</v>
      </c>
      <c r="B330" s="41" t="s">
        <v>100</v>
      </c>
      <c r="C330" s="42" t="str">
        <f>VLOOKUP(A330,Table!A:B,2,false)</f>
        <v>P12 W3</v>
      </c>
      <c r="D330" s="42" t="str">
        <f>VLOOKUP(A330,Table!A:D,4,false)</f>
        <v>Period 12</v>
      </c>
      <c r="E330" s="41" t="s">
        <v>106</v>
      </c>
      <c r="F330" s="43">
        <v>0.9166666666666666</v>
      </c>
      <c r="J330" s="45" t="b">
        <f t="shared" si="1"/>
        <v>0</v>
      </c>
      <c r="L330" s="41" t="s">
        <v>92</v>
      </c>
    </row>
    <row r="331">
      <c r="A331" s="40">
        <v>44403.0</v>
      </c>
      <c r="B331" s="41" t="s">
        <v>92</v>
      </c>
      <c r="C331" s="42" t="str">
        <f>VLOOKUP(A331,Table!A:B,2,false)</f>
        <v>P12 W4</v>
      </c>
      <c r="D331" s="42" t="str">
        <f>VLOOKUP(A331,Table!A:D,4,false)</f>
        <v>Period 12</v>
      </c>
      <c r="E331" s="41" t="s">
        <v>110</v>
      </c>
      <c r="F331" s="43">
        <v>0.9166666666666666</v>
      </c>
      <c r="J331" s="45" t="b">
        <f t="shared" si="1"/>
        <v>0</v>
      </c>
      <c r="L331" s="41" t="s">
        <v>94</v>
      </c>
    </row>
    <row r="332">
      <c r="A332" s="40">
        <v>44404.0</v>
      </c>
      <c r="B332" s="41" t="s">
        <v>94</v>
      </c>
      <c r="C332" s="42" t="str">
        <f>VLOOKUP(A332,Table!A:B,2,false)</f>
        <v>P12 W4</v>
      </c>
      <c r="D332" s="42" t="str">
        <f>VLOOKUP(A332,Table!A:D,4,false)</f>
        <v>Period 12</v>
      </c>
      <c r="E332" s="41" t="s">
        <v>110</v>
      </c>
      <c r="F332" s="43">
        <v>0.9166666666666666</v>
      </c>
      <c r="J332" s="45" t="b">
        <f t="shared" si="1"/>
        <v>0</v>
      </c>
      <c r="L332" s="41" t="s">
        <v>96</v>
      </c>
    </row>
    <row r="333">
      <c r="A333" s="40">
        <v>44405.0</v>
      </c>
      <c r="B333" s="41" t="s">
        <v>96</v>
      </c>
      <c r="C333" s="42" t="str">
        <f>VLOOKUP(A333,Table!A:B,2,false)</f>
        <v>P12 W4</v>
      </c>
      <c r="D333" s="42" t="str">
        <f>VLOOKUP(A333,Table!A:D,4,false)</f>
        <v>Period 12</v>
      </c>
      <c r="E333" s="41" t="s">
        <v>110</v>
      </c>
      <c r="F333" s="43">
        <v>0.9166666666666666</v>
      </c>
      <c r="J333" s="45" t="b">
        <f t="shared" si="1"/>
        <v>0</v>
      </c>
      <c r="L333" s="41" t="s">
        <v>97</v>
      </c>
    </row>
    <row r="334">
      <c r="A334" s="40">
        <v>44406.0</v>
      </c>
      <c r="B334" s="41" t="s">
        <v>97</v>
      </c>
      <c r="C334" s="42" t="str">
        <f>VLOOKUP(A334,Table!A:B,2,false)</f>
        <v>P12 W4</v>
      </c>
      <c r="D334" s="42" t="str">
        <f>VLOOKUP(A334,Table!A:D,4,false)</f>
        <v>Period 12</v>
      </c>
      <c r="E334" s="41" t="s">
        <v>110</v>
      </c>
      <c r="F334" s="43">
        <v>0.9166666666666666</v>
      </c>
      <c r="J334" s="45" t="b">
        <f t="shared" si="1"/>
        <v>0</v>
      </c>
      <c r="L334" s="41" t="s">
        <v>98</v>
      </c>
    </row>
    <row r="335">
      <c r="A335" s="40">
        <v>44407.0</v>
      </c>
      <c r="B335" s="41" t="s">
        <v>98</v>
      </c>
      <c r="C335" s="42" t="str">
        <f>VLOOKUP(A335,Table!A:B,2,false)</f>
        <v>P12 W4</v>
      </c>
      <c r="D335" s="42" t="str">
        <f>VLOOKUP(A335,Table!A:D,4,false)</f>
        <v>Period 12</v>
      </c>
      <c r="E335" s="41" t="s">
        <v>110</v>
      </c>
      <c r="F335" s="43">
        <v>0.9166666666666666</v>
      </c>
      <c r="J335" s="45" t="b">
        <f t="shared" si="1"/>
        <v>0</v>
      </c>
      <c r="L335" s="41" t="s">
        <v>99</v>
      </c>
    </row>
    <row r="336">
      <c r="A336" s="40">
        <v>44408.0</v>
      </c>
      <c r="B336" s="41" t="s">
        <v>99</v>
      </c>
      <c r="C336" s="42" t="str">
        <f>VLOOKUP(A336,Table!A:B,2,false)</f>
        <v>P12 W4</v>
      </c>
      <c r="D336" s="42" t="str">
        <f>VLOOKUP(A336,Table!A:D,4,false)</f>
        <v>Period 12</v>
      </c>
      <c r="E336" s="41" t="s">
        <v>110</v>
      </c>
      <c r="F336" s="43">
        <v>0.9166666666666666</v>
      </c>
      <c r="J336" s="45" t="b">
        <f t="shared" si="1"/>
        <v>0</v>
      </c>
      <c r="L336" s="41" t="s">
        <v>100</v>
      </c>
    </row>
    <row r="337">
      <c r="A337" s="40">
        <v>44409.0</v>
      </c>
      <c r="B337" s="41" t="s">
        <v>100</v>
      </c>
      <c r="C337" s="42" t="str">
        <f>VLOOKUP(A337,Table!A:B,2,false)</f>
        <v>P12 W4</v>
      </c>
      <c r="D337" s="42" t="str">
        <f>VLOOKUP(A337,Table!A:D,4,false)</f>
        <v>Period 12</v>
      </c>
      <c r="E337" s="41" t="s">
        <v>110</v>
      </c>
      <c r="F337" s="43">
        <v>0.9166666666666666</v>
      </c>
      <c r="J337" s="45" t="b">
        <f t="shared" si="1"/>
        <v>0</v>
      </c>
      <c r="L337" s="41" t="s">
        <v>92</v>
      </c>
    </row>
    <row r="338">
      <c r="A338" s="40">
        <v>44410.0</v>
      </c>
      <c r="B338" s="41" t="s">
        <v>92</v>
      </c>
      <c r="C338" s="42" t="str">
        <f>VLOOKUP(A338,Table!A:B,2,false)</f>
        <v>P13 W1</v>
      </c>
      <c r="D338" s="42" t="str">
        <f>VLOOKUP(A338,Table!A:D,4,false)</f>
        <v>Period 13</v>
      </c>
      <c r="E338" s="41" t="s">
        <v>93</v>
      </c>
      <c r="F338" s="54">
        <v>0.9166666666666666</v>
      </c>
      <c r="J338" s="45" t="b">
        <f t="shared" si="1"/>
        <v>0</v>
      </c>
      <c r="L338" s="41" t="s">
        <v>94</v>
      </c>
    </row>
    <row r="339">
      <c r="A339" s="40">
        <v>44411.0</v>
      </c>
      <c r="B339" s="41" t="s">
        <v>94</v>
      </c>
      <c r="C339" s="42" t="str">
        <f>VLOOKUP(A339,Table!A:B,2,false)</f>
        <v>P13 W1</v>
      </c>
      <c r="D339" s="42" t="str">
        <f>VLOOKUP(A339,Table!A:D,4,false)</f>
        <v>Period 13</v>
      </c>
      <c r="E339" s="41" t="s">
        <v>93</v>
      </c>
      <c r="F339" s="43">
        <v>0.9166666666666666</v>
      </c>
      <c r="J339" s="45" t="b">
        <f t="shared" si="1"/>
        <v>0</v>
      </c>
      <c r="L339" s="41" t="s">
        <v>96</v>
      </c>
    </row>
    <row r="340">
      <c r="A340" s="40">
        <v>44412.0</v>
      </c>
      <c r="B340" s="41" t="s">
        <v>96</v>
      </c>
      <c r="C340" s="42" t="str">
        <f>VLOOKUP(A340,Table!A:B,2,false)</f>
        <v>P13 W1</v>
      </c>
      <c r="D340" s="42" t="str">
        <f>VLOOKUP(A340,Table!A:D,4,false)</f>
        <v>Period 13</v>
      </c>
      <c r="E340" s="41" t="s">
        <v>93</v>
      </c>
      <c r="F340" s="43">
        <v>0.9166666666666666</v>
      </c>
      <c r="J340" s="45" t="b">
        <f t="shared" si="1"/>
        <v>0</v>
      </c>
      <c r="L340" s="41" t="s">
        <v>97</v>
      </c>
    </row>
    <row r="341">
      <c r="A341" s="40">
        <v>44413.0</v>
      </c>
      <c r="B341" s="41" t="s">
        <v>97</v>
      </c>
      <c r="C341" s="42" t="str">
        <f>VLOOKUP(A341,Table!A:B,2,false)</f>
        <v>P13 W1</v>
      </c>
      <c r="D341" s="42" t="str">
        <f>VLOOKUP(A341,Table!A:D,4,false)</f>
        <v>Period 13</v>
      </c>
      <c r="E341" s="41" t="s">
        <v>93</v>
      </c>
      <c r="F341" s="43">
        <v>0.9166666666666666</v>
      </c>
      <c r="J341" s="45" t="b">
        <f t="shared" si="1"/>
        <v>0</v>
      </c>
      <c r="L341" s="41" t="s">
        <v>98</v>
      </c>
    </row>
    <row r="342">
      <c r="A342" s="40">
        <v>44414.0</v>
      </c>
      <c r="B342" s="41" t="s">
        <v>98</v>
      </c>
      <c r="C342" s="42" t="str">
        <f>VLOOKUP(A342,Table!A:B,2,false)</f>
        <v>P13 W1</v>
      </c>
      <c r="D342" s="42" t="str">
        <f>VLOOKUP(A342,Table!A:D,4,false)</f>
        <v>Period 13</v>
      </c>
      <c r="E342" s="41" t="s">
        <v>93</v>
      </c>
      <c r="F342" s="43">
        <v>0.9166666666666666</v>
      </c>
      <c r="J342" s="45" t="b">
        <f t="shared" si="1"/>
        <v>0</v>
      </c>
      <c r="L342" s="41" t="s">
        <v>99</v>
      </c>
    </row>
    <row r="343">
      <c r="A343" s="40">
        <v>44415.0</v>
      </c>
      <c r="B343" s="41" t="s">
        <v>99</v>
      </c>
      <c r="C343" s="42" t="str">
        <f>VLOOKUP(A343,Table!A:B,2,false)</f>
        <v>P13 W1</v>
      </c>
      <c r="D343" s="42" t="str">
        <f>VLOOKUP(A343,Table!A:D,4,false)</f>
        <v>Period 13</v>
      </c>
      <c r="E343" s="41" t="s">
        <v>93</v>
      </c>
      <c r="F343" s="43">
        <v>0.9166666666666666</v>
      </c>
      <c r="J343" s="45" t="b">
        <f t="shared" si="1"/>
        <v>0</v>
      </c>
      <c r="L343" s="41" t="s">
        <v>100</v>
      </c>
    </row>
    <row r="344">
      <c r="A344" s="40">
        <v>44416.0</v>
      </c>
      <c r="B344" s="41" t="s">
        <v>100</v>
      </c>
      <c r="C344" s="42" t="str">
        <f>VLOOKUP(A344,Table!A:B,2,false)</f>
        <v>P13 W1</v>
      </c>
      <c r="D344" s="42" t="str">
        <f>VLOOKUP(A344,Table!A:D,4,false)</f>
        <v>Period 13</v>
      </c>
      <c r="E344" s="41" t="s">
        <v>93</v>
      </c>
      <c r="F344" s="43">
        <v>0.9166666666666666</v>
      </c>
      <c r="J344" s="45" t="b">
        <f t="shared" si="1"/>
        <v>0</v>
      </c>
      <c r="L344" s="41" t="s">
        <v>92</v>
      </c>
    </row>
    <row r="345">
      <c r="A345" s="40">
        <v>44417.0</v>
      </c>
      <c r="B345" s="41" t="s">
        <v>92</v>
      </c>
      <c r="C345" s="42" t="str">
        <f>VLOOKUP(A345,Table!A:B,2,false)</f>
        <v>P13 W2</v>
      </c>
      <c r="D345" s="42" t="str">
        <f>VLOOKUP(A345,Table!A:D,4,false)</f>
        <v>Period 13</v>
      </c>
      <c r="E345" s="41" t="s">
        <v>101</v>
      </c>
      <c r="F345" s="43">
        <v>0.9166666666666666</v>
      </c>
      <c r="J345" s="45" t="b">
        <f t="shared" si="1"/>
        <v>0</v>
      </c>
      <c r="L345" s="41" t="s">
        <v>94</v>
      </c>
    </row>
    <row r="346">
      <c r="A346" s="40">
        <v>44418.0</v>
      </c>
      <c r="B346" s="41" t="s">
        <v>94</v>
      </c>
      <c r="C346" s="42" t="str">
        <f>VLOOKUP(A346,Table!A:B,2,false)</f>
        <v>P13 W2</v>
      </c>
      <c r="D346" s="42" t="str">
        <f>VLOOKUP(A346,Table!A:D,4,false)</f>
        <v>Period 13</v>
      </c>
      <c r="E346" s="41" t="s">
        <v>101</v>
      </c>
      <c r="F346" s="43">
        <v>0.9166666666666666</v>
      </c>
      <c r="J346" s="45" t="b">
        <f t="shared" si="1"/>
        <v>0</v>
      </c>
      <c r="L346" s="41" t="s">
        <v>96</v>
      </c>
    </row>
    <row r="347">
      <c r="A347" s="40">
        <v>44419.0</v>
      </c>
      <c r="B347" s="41" t="s">
        <v>96</v>
      </c>
      <c r="C347" s="42" t="str">
        <f>VLOOKUP(A347,Table!A:B,2,false)</f>
        <v>P13 W2</v>
      </c>
      <c r="D347" s="42" t="str">
        <f>VLOOKUP(A347,Table!A:D,4,false)</f>
        <v>Period 13</v>
      </c>
      <c r="E347" s="41" t="s">
        <v>101</v>
      </c>
      <c r="F347" s="43">
        <v>0.9166666666666666</v>
      </c>
      <c r="J347" s="45" t="b">
        <f t="shared" si="1"/>
        <v>0</v>
      </c>
      <c r="L347" s="41" t="s">
        <v>97</v>
      </c>
    </row>
    <row r="348">
      <c r="A348" s="40">
        <v>44420.0</v>
      </c>
      <c r="B348" s="41" t="s">
        <v>97</v>
      </c>
      <c r="C348" s="42" t="str">
        <f>VLOOKUP(A348,Table!A:B,2,false)</f>
        <v>P13 W2</v>
      </c>
      <c r="D348" s="42" t="str">
        <f>VLOOKUP(A348,Table!A:D,4,false)</f>
        <v>Period 13</v>
      </c>
      <c r="E348" s="41" t="s">
        <v>101</v>
      </c>
      <c r="F348" s="43">
        <v>0.9166666666666666</v>
      </c>
      <c r="J348" s="45" t="b">
        <f t="shared" si="1"/>
        <v>0</v>
      </c>
      <c r="L348" s="41" t="s">
        <v>98</v>
      </c>
    </row>
    <row r="349">
      <c r="A349" s="40">
        <v>44421.0</v>
      </c>
      <c r="B349" s="41" t="s">
        <v>98</v>
      </c>
      <c r="C349" s="42" t="str">
        <f>VLOOKUP(A349,Table!A:B,2,false)</f>
        <v>P13 W2</v>
      </c>
      <c r="D349" s="42" t="str">
        <f>VLOOKUP(A349,Table!A:D,4,false)</f>
        <v>Period 13</v>
      </c>
      <c r="E349" s="41" t="s">
        <v>101</v>
      </c>
      <c r="F349" s="43">
        <v>0.9166666666666666</v>
      </c>
      <c r="J349" s="45" t="b">
        <f t="shared" si="1"/>
        <v>0</v>
      </c>
      <c r="L349" s="41" t="s">
        <v>99</v>
      </c>
    </row>
    <row r="350">
      <c r="A350" s="40">
        <v>44422.0</v>
      </c>
      <c r="B350" s="41" t="s">
        <v>99</v>
      </c>
      <c r="C350" s="42" t="str">
        <f>VLOOKUP(A350,Table!A:B,2,false)</f>
        <v>P13 W2</v>
      </c>
      <c r="D350" s="42" t="str">
        <f>VLOOKUP(A350,Table!A:D,4,false)</f>
        <v>Period 13</v>
      </c>
      <c r="E350" s="41" t="s">
        <v>101</v>
      </c>
      <c r="F350" s="43">
        <v>0.9166666666666666</v>
      </c>
      <c r="J350" s="45" t="b">
        <f t="shared" si="1"/>
        <v>0</v>
      </c>
      <c r="L350" s="41" t="s">
        <v>100</v>
      </c>
    </row>
    <row r="351">
      <c r="A351" s="40">
        <v>44423.0</v>
      </c>
      <c r="B351" s="41" t="s">
        <v>100</v>
      </c>
      <c r="C351" s="42" t="str">
        <f>VLOOKUP(A351,Table!A:B,2,false)</f>
        <v>P13 W2</v>
      </c>
      <c r="D351" s="42" t="str">
        <f>VLOOKUP(A351,Table!A:D,4,false)</f>
        <v>Period 13</v>
      </c>
      <c r="E351" s="41" t="s">
        <v>101</v>
      </c>
      <c r="F351" s="43">
        <v>0.9166666666666666</v>
      </c>
      <c r="J351" s="45" t="b">
        <f t="shared" si="1"/>
        <v>0</v>
      </c>
      <c r="L351" s="41" t="s">
        <v>92</v>
      </c>
    </row>
    <row r="352">
      <c r="A352" s="40">
        <v>44424.0</v>
      </c>
      <c r="B352" s="41" t="s">
        <v>92</v>
      </c>
      <c r="C352" s="42" t="str">
        <f>VLOOKUP(A352,Table!A:B,2,false)</f>
        <v>P13 W3</v>
      </c>
      <c r="D352" s="42" t="str">
        <f>VLOOKUP(A352,Table!A:D,4,false)</f>
        <v>Period 13</v>
      </c>
      <c r="E352" s="41" t="s">
        <v>106</v>
      </c>
      <c r="F352" s="43">
        <v>0.9166666666666666</v>
      </c>
      <c r="J352" s="45" t="b">
        <f t="shared" si="1"/>
        <v>0</v>
      </c>
      <c r="L352" s="41" t="s">
        <v>94</v>
      </c>
    </row>
    <row r="353">
      <c r="A353" s="40">
        <v>44425.0</v>
      </c>
      <c r="B353" s="41" t="s">
        <v>94</v>
      </c>
      <c r="C353" s="42" t="str">
        <f>VLOOKUP(A353,Table!A:B,2,false)</f>
        <v>P13 W3</v>
      </c>
      <c r="D353" s="42" t="str">
        <f>VLOOKUP(A353,Table!A:D,4,false)</f>
        <v>Period 13</v>
      </c>
      <c r="E353" s="41" t="s">
        <v>106</v>
      </c>
      <c r="F353" s="43">
        <v>0.9166666666666666</v>
      </c>
      <c r="J353" s="45" t="b">
        <f t="shared" si="1"/>
        <v>0</v>
      </c>
      <c r="L353" s="41" t="s">
        <v>96</v>
      </c>
    </row>
    <row r="354">
      <c r="A354" s="40">
        <v>44426.0</v>
      </c>
      <c r="B354" s="41" t="s">
        <v>96</v>
      </c>
      <c r="C354" s="42" t="str">
        <f>VLOOKUP(A354,Table!A:B,2,false)</f>
        <v>P13 W3</v>
      </c>
      <c r="D354" s="42" t="str">
        <f>VLOOKUP(A354,Table!A:D,4,false)</f>
        <v>Period 13</v>
      </c>
      <c r="E354" s="41" t="s">
        <v>106</v>
      </c>
      <c r="F354" s="43">
        <v>0.9166666666666666</v>
      </c>
      <c r="J354" s="45" t="b">
        <f t="shared" si="1"/>
        <v>0</v>
      </c>
      <c r="L354" s="41" t="s">
        <v>97</v>
      </c>
    </row>
    <row r="355">
      <c r="A355" s="40">
        <v>44427.0</v>
      </c>
      <c r="B355" s="41" t="s">
        <v>97</v>
      </c>
      <c r="C355" s="42" t="str">
        <f>VLOOKUP(A355,Table!A:B,2,false)</f>
        <v>P13 W3</v>
      </c>
      <c r="D355" s="42" t="str">
        <f>VLOOKUP(A355,Table!A:D,4,false)</f>
        <v>Period 13</v>
      </c>
      <c r="E355" s="41" t="s">
        <v>106</v>
      </c>
      <c r="F355" s="43">
        <v>0.9166666666666666</v>
      </c>
      <c r="J355" s="45" t="b">
        <f t="shared" si="1"/>
        <v>0</v>
      </c>
      <c r="L355" s="41" t="s">
        <v>98</v>
      </c>
    </row>
    <row r="356">
      <c r="A356" s="40">
        <v>44428.0</v>
      </c>
      <c r="B356" s="41" t="s">
        <v>98</v>
      </c>
      <c r="C356" s="42" t="str">
        <f>VLOOKUP(A356,Table!A:B,2,false)</f>
        <v>P13 W3</v>
      </c>
      <c r="D356" s="42" t="str">
        <f>VLOOKUP(A356,Table!A:D,4,false)</f>
        <v>Period 13</v>
      </c>
      <c r="E356" s="41" t="s">
        <v>106</v>
      </c>
      <c r="F356" s="43">
        <v>0.9166666666666666</v>
      </c>
      <c r="J356" s="45" t="b">
        <f t="shared" si="1"/>
        <v>0</v>
      </c>
      <c r="L356" s="41" t="s">
        <v>99</v>
      </c>
    </row>
    <row r="357">
      <c r="A357" s="40">
        <v>44429.0</v>
      </c>
      <c r="B357" s="41" t="s">
        <v>99</v>
      </c>
      <c r="C357" s="42" t="str">
        <f>VLOOKUP(A357,Table!A:B,2,false)</f>
        <v>P13 W3</v>
      </c>
      <c r="D357" s="42" t="str">
        <f>VLOOKUP(A357,Table!A:D,4,false)</f>
        <v>Period 13</v>
      </c>
      <c r="E357" s="41" t="s">
        <v>106</v>
      </c>
      <c r="F357" s="43">
        <v>0.9166666666666666</v>
      </c>
      <c r="J357" s="45" t="b">
        <f t="shared" si="1"/>
        <v>0</v>
      </c>
      <c r="L357" s="41" t="s">
        <v>100</v>
      </c>
    </row>
    <row r="358">
      <c r="A358" s="40">
        <v>44430.0</v>
      </c>
      <c r="B358" s="41" t="s">
        <v>100</v>
      </c>
      <c r="C358" s="42" t="str">
        <f>VLOOKUP(A358,Table!A:B,2,false)</f>
        <v>P13 W3</v>
      </c>
      <c r="D358" s="42" t="str">
        <f>VLOOKUP(A358,Table!A:D,4,false)</f>
        <v>Period 13</v>
      </c>
      <c r="E358" s="41" t="s">
        <v>106</v>
      </c>
      <c r="F358" s="43">
        <v>0.9166666666666666</v>
      </c>
      <c r="J358" s="45" t="b">
        <f t="shared" si="1"/>
        <v>0</v>
      </c>
      <c r="L358" s="41" t="s">
        <v>92</v>
      </c>
    </row>
    <row r="359">
      <c r="A359" s="40">
        <v>44431.0</v>
      </c>
      <c r="B359" s="41" t="s">
        <v>92</v>
      </c>
      <c r="C359" s="42" t="str">
        <f>VLOOKUP(A359,Table!A:B,2,false)</f>
        <v>P13 W4</v>
      </c>
      <c r="D359" s="42" t="str">
        <f>VLOOKUP(A359,Table!A:D,4,false)</f>
        <v>Period 13</v>
      </c>
      <c r="E359" s="41" t="s">
        <v>110</v>
      </c>
      <c r="F359" s="43">
        <v>0.9166666666666666</v>
      </c>
      <c r="J359" s="45" t="b">
        <f t="shared" si="1"/>
        <v>0</v>
      </c>
      <c r="L359" s="41" t="s">
        <v>94</v>
      </c>
    </row>
    <row r="360">
      <c r="A360" s="40">
        <v>44432.0</v>
      </c>
      <c r="B360" s="41" t="s">
        <v>94</v>
      </c>
      <c r="C360" s="42" t="str">
        <f>VLOOKUP(A360,Table!A:B,2,false)</f>
        <v>P13 W4</v>
      </c>
      <c r="D360" s="42" t="str">
        <f>VLOOKUP(A360,Table!A:D,4,false)</f>
        <v>Period 13</v>
      </c>
      <c r="E360" s="41" t="s">
        <v>110</v>
      </c>
      <c r="F360" s="43">
        <v>0.9166666666666666</v>
      </c>
      <c r="J360" s="45" t="b">
        <f t="shared" si="1"/>
        <v>0</v>
      </c>
      <c r="L360" s="41" t="s">
        <v>96</v>
      </c>
    </row>
    <row r="361">
      <c r="A361" s="40">
        <v>44433.0</v>
      </c>
      <c r="B361" s="41" t="s">
        <v>96</v>
      </c>
      <c r="C361" s="42" t="str">
        <f>VLOOKUP(A361,Table!A:B,2,false)</f>
        <v>P13 W4</v>
      </c>
      <c r="D361" s="42" t="str">
        <f>VLOOKUP(A361,Table!A:D,4,false)</f>
        <v>Period 13</v>
      </c>
      <c r="E361" s="41" t="s">
        <v>110</v>
      </c>
      <c r="F361" s="43">
        <v>0.9166666666666666</v>
      </c>
      <c r="J361" s="45" t="b">
        <f t="shared" si="1"/>
        <v>0</v>
      </c>
      <c r="L361" s="41" t="s">
        <v>97</v>
      </c>
    </row>
    <row r="362">
      <c r="A362" s="40">
        <v>44434.0</v>
      </c>
      <c r="B362" s="41" t="s">
        <v>97</v>
      </c>
      <c r="C362" s="42" t="str">
        <f>VLOOKUP(A362,Table!A:B,2,false)</f>
        <v>P13 W4</v>
      </c>
      <c r="D362" s="42" t="str">
        <f>VLOOKUP(A362,Table!A:D,4,false)</f>
        <v>Period 13</v>
      </c>
      <c r="E362" s="41" t="s">
        <v>110</v>
      </c>
      <c r="F362" s="43">
        <v>0.9166666666666666</v>
      </c>
      <c r="J362" s="45" t="b">
        <f t="shared" si="1"/>
        <v>0</v>
      </c>
      <c r="L362" s="41" t="s">
        <v>98</v>
      </c>
    </row>
    <row r="363">
      <c r="A363" s="40">
        <v>44435.0</v>
      </c>
      <c r="B363" s="41" t="s">
        <v>98</v>
      </c>
      <c r="C363" s="42" t="str">
        <f>VLOOKUP(A363,Table!A:B,2,false)</f>
        <v>P13 W4</v>
      </c>
      <c r="D363" s="42" t="str">
        <f>VLOOKUP(A363,Table!A:D,4,false)</f>
        <v>Period 13</v>
      </c>
      <c r="E363" s="41" t="s">
        <v>110</v>
      </c>
      <c r="F363" s="43">
        <v>0.9166666666666666</v>
      </c>
      <c r="J363" s="45" t="b">
        <f t="shared" si="1"/>
        <v>0</v>
      </c>
      <c r="L363" s="41" t="s">
        <v>99</v>
      </c>
    </row>
    <row r="364">
      <c r="A364" s="40">
        <v>44436.0</v>
      </c>
      <c r="B364" s="41" t="s">
        <v>99</v>
      </c>
      <c r="C364" s="42" t="str">
        <f>VLOOKUP(A364,Table!A:B,2,false)</f>
        <v>P13 W4</v>
      </c>
      <c r="D364" s="42" t="str">
        <f>VLOOKUP(A364,Table!A:D,4,false)</f>
        <v>Period 13</v>
      </c>
      <c r="E364" s="41" t="s">
        <v>110</v>
      </c>
      <c r="F364" s="43">
        <v>0.9166666666666666</v>
      </c>
      <c r="J364" s="45" t="b">
        <f t="shared" si="1"/>
        <v>0</v>
      </c>
      <c r="L364" s="41" t="s">
        <v>100</v>
      </c>
    </row>
    <row r="365">
      <c r="A365" s="40">
        <v>44437.0</v>
      </c>
      <c r="B365" s="41" t="s">
        <v>100</v>
      </c>
      <c r="C365" s="42" t="str">
        <f>VLOOKUP(A365,Table!A:B,2,false)</f>
        <v>P13 W4</v>
      </c>
      <c r="D365" s="42" t="str">
        <f>VLOOKUP(A365,Table!A:D,4,false)</f>
        <v>Period 13</v>
      </c>
      <c r="E365" s="41" t="s">
        <v>110</v>
      </c>
      <c r="F365" s="43">
        <v>0.9166666666666666</v>
      </c>
      <c r="J365" s="45" t="b">
        <f t="shared" si="1"/>
        <v>0</v>
      </c>
      <c r="L365" s="41" t="s">
        <v>92</v>
      </c>
    </row>
    <row r="366">
      <c r="C366" s="27"/>
      <c r="D366" s="27"/>
      <c r="E366" s="27"/>
    </row>
    <row r="367">
      <c r="C367" s="27"/>
      <c r="D367" s="27"/>
      <c r="E367" s="27"/>
    </row>
    <row r="368">
      <c r="C368" s="27"/>
      <c r="D368" s="27"/>
      <c r="E368" s="27"/>
    </row>
    <row r="369">
      <c r="C369" s="27"/>
      <c r="D369" s="27"/>
      <c r="E369" s="27"/>
    </row>
    <row r="370">
      <c r="C370" s="27"/>
      <c r="D370" s="27"/>
      <c r="E370" s="27"/>
    </row>
    <row r="371">
      <c r="C371" s="27"/>
      <c r="D371" s="27"/>
      <c r="E371" s="27"/>
    </row>
    <row r="372">
      <c r="C372" s="27"/>
      <c r="D372" s="27"/>
      <c r="E372" s="27"/>
    </row>
    <row r="373">
      <c r="C373" s="27"/>
      <c r="D373" s="27"/>
      <c r="E373" s="27"/>
    </row>
    <row r="374">
      <c r="C374" s="27"/>
      <c r="D374" s="27"/>
      <c r="E374" s="27"/>
    </row>
    <row r="375">
      <c r="C375" s="27"/>
      <c r="D375" s="27"/>
      <c r="E375" s="27"/>
    </row>
    <row r="376">
      <c r="C376" s="27"/>
      <c r="D376" s="27"/>
      <c r="E376" s="27"/>
    </row>
    <row r="377">
      <c r="C377" s="27"/>
      <c r="D377" s="27"/>
      <c r="E377" s="27"/>
    </row>
    <row r="378">
      <c r="C378" s="27"/>
      <c r="D378" s="27"/>
      <c r="E378" s="27"/>
    </row>
    <row r="379">
      <c r="C379" s="27"/>
      <c r="D379" s="27"/>
      <c r="E379" s="27"/>
    </row>
    <row r="380">
      <c r="C380" s="27"/>
      <c r="D380" s="27"/>
      <c r="E380" s="27"/>
    </row>
    <row r="381">
      <c r="C381" s="27"/>
      <c r="D381" s="27"/>
      <c r="E381" s="27"/>
    </row>
    <row r="382">
      <c r="C382" s="27"/>
      <c r="D382" s="27"/>
      <c r="E382" s="27"/>
    </row>
    <row r="383">
      <c r="C383" s="27"/>
      <c r="D383" s="27"/>
      <c r="E383" s="27"/>
    </row>
    <row r="384">
      <c r="C384" s="27"/>
      <c r="D384" s="27"/>
      <c r="E384" s="27"/>
    </row>
    <row r="385">
      <c r="C385" s="27"/>
      <c r="D385" s="27"/>
      <c r="E385" s="27"/>
    </row>
    <row r="386">
      <c r="C386" s="27"/>
      <c r="D386" s="27"/>
      <c r="E386" s="27"/>
    </row>
    <row r="387">
      <c r="C387" s="27"/>
      <c r="D387" s="27"/>
      <c r="E387" s="27"/>
    </row>
    <row r="388">
      <c r="C388" s="27"/>
      <c r="D388" s="27"/>
      <c r="E388" s="27"/>
    </row>
    <row r="389">
      <c r="C389" s="27"/>
      <c r="D389" s="27"/>
      <c r="E389" s="27"/>
    </row>
    <row r="390">
      <c r="C390" s="27"/>
      <c r="D390" s="27"/>
      <c r="E390" s="27"/>
    </row>
    <row r="391">
      <c r="C391" s="27"/>
      <c r="D391" s="27"/>
      <c r="E391" s="27"/>
    </row>
    <row r="392">
      <c r="C392" s="27"/>
      <c r="D392" s="27"/>
      <c r="E392" s="27"/>
    </row>
    <row r="393">
      <c r="C393" s="27"/>
      <c r="D393" s="27"/>
      <c r="E393" s="27"/>
    </row>
    <row r="394">
      <c r="C394" s="27"/>
      <c r="D394" s="27"/>
      <c r="E394" s="27"/>
    </row>
    <row r="395">
      <c r="C395" s="27"/>
      <c r="D395" s="27"/>
      <c r="E395" s="27"/>
    </row>
    <row r="396">
      <c r="C396" s="27"/>
      <c r="D396" s="27"/>
      <c r="E396" s="27"/>
    </row>
    <row r="397">
      <c r="C397" s="27"/>
      <c r="D397" s="27"/>
      <c r="E397" s="27"/>
    </row>
    <row r="398">
      <c r="C398" s="27"/>
      <c r="D398" s="27"/>
      <c r="E398" s="27"/>
    </row>
    <row r="399">
      <c r="C399" s="27"/>
      <c r="D399" s="27"/>
      <c r="E399" s="27"/>
    </row>
    <row r="400">
      <c r="C400" s="27"/>
      <c r="D400" s="27"/>
      <c r="E400" s="27"/>
    </row>
    <row r="401">
      <c r="C401" s="27"/>
      <c r="D401" s="27"/>
      <c r="E401" s="27"/>
    </row>
    <row r="402">
      <c r="C402" s="27"/>
      <c r="D402" s="27"/>
      <c r="E402" s="27"/>
    </row>
    <row r="403">
      <c r="C403" s="27"/>
      <c r="D403" s="27"/>
      <c r="E403" s="27"/>
    </row>
    <row r="404">
      <c r="C404" s="27"/>
      <c r="D404" s="27"/>
      <c r="E404" s="27"/>
    </row>
    <row r="405">
      <c r="C405" s="27"/>
      <c r="D405" s="27"/>
      <c r="E405" s="27"/>
    </row>
    <row r="406">
      <c r="C406" s="27"/>
      <c r="D406" s="27"/>
      <c r="E406" s="27"/>
    </row>
    <row r="407">
      <c r="C407" s="27"/>
      <c r="D407" s="27"/>
      <c r="E407" s="27"/>
    </row>
    <row r="408">
      <c r="C408" s="27"/>
      <c r="D408" s="27"/>
      <c r="E408" s="27"/>
    </row>
    <row r="409">
      <c r="C409" s="27"/>
      <c r="D409" s="27"/>
      <c r="E409" s="27"/>
    </row>
    <row r="410">
      <c r="C410" s="27"/>
      <c r="D410" s="27"/>
      <c r="E410" s="27"/>
    </row>
    <row r="411">
      <c r="C411" s="27"/>
      <c r="D411" s="27"/>
      <c r="E411" s="27"/>
    </row>
    <row r="412">
      <c r="C412" s="27"/>
      <c r="D412" s="27"/>
      <c r="E412" s="27"/>
    </row>
    <row r="413">
      <c r="C413" s="27"/>
      <c r="D413" s="27"/>
      <c r="E413" s="27"/>
    </row>
    <row r="414">
      <c r="C414" s="27"/>
      <c r="D414" s="27"/>
      <c r="E414" s="27"/>
    </row>
    <row r="415">
      <c r="C415" s="27"/>
      <c r="D415" s="27"/>
      <c r="E415" s="27"/>
    </row>
    <row r="416">
      <c r="C416" s="27"/>
      <c r="D416" s="27"/>
      <c r="E416" s="27"/>
    </row>
    <row r="417">
      <c r="C417" s="27"/>
      <c r="D417" s="27"/>
      <c r="E417" s="27"/>
    </row>
    <row r="418">
      <c r="C418" s="27"/>
      <c r="D418" s="27"/>
      <c r="E418" s="27"/>
    </row>
    <row r="419">
      <c r="C419" s="27"/>
      <c r="D419" s="27"/>
      <c r="E419" s="27"/>
    </row>
    <row r="420">
      <c r="C420" s="27"/>
      <c r="D420" s="27"/>
      <c r="E420" s="27"/>
    </row>
    <row r="421">
      <c r="C421" s="27"/>
      <c r="D421" s="27"/>
      <c r="E421" s="27"/>
    </row>
    <row r="422">
      <c r="C422" s="27"/>
      <c r="D422" s="27"/>
      <c r="E422" s="27"/>
    </row>
    <row r="423">
      <c r="C423" s="27"/>
      <c r="D423" s="27"/>
      <c r="E423" s="27"/>
    </row>
    <row r="424">
      <c r="C424" s="27"/>
      <c r="D424" s="27"/>
      <c r="E424" s="27"/>
    </row>
    <row r="425">
      <c r="C425" s="27"/>
      <c r="D425" s="27"/>
      <c r="E425" s="27"/>
    </row>
    <row r="426">
      <c r="C426" s="27"/>
      <c r="D426" s="27"/>
      <c r="E426" s="27"/>
    </row>
    <row r="427">
      <c r="C427" s="27"/>
      <c r="D427" s="27"/>
      <c r="E427" s="27"/>
    </row>
    <row r="428">
      <c r="C428" s="27"/>
      <c r="D428" s="27"/>
      <c r="E428" s="27"/>
    </row>
    <row r="429">
      <c r="C429" s="27"/>
      <c r="D429" s="27"/>
      <c r="E429" s="27"/>
    </row>
    <row r="430">
      <c r="C430" s="27"/>
      <c r="D430" s="27"/>
      <c r="E430" s="27"/>
    </row>
    <row r="431">
      <c r="C431" s="27"/>
      <c r="D431" s="27"/>
      <c r="E431" s="27"/>
    </row>
    <row r="432">
      <c r="C432" s="27"/>
      <c r="D432" s="27"/>
      <c r="E432" s="27"/>
    </row>
    <row r="433">
      <c r="C433" s="27"/>
      <c r="D433" s="27"/>
      <c r="E433" s="27"/>
    </row>
    <row r="434">
      <c r="C434" s="27"/>
      <c r="D434" s="27"/>
      <c r="E434" s="27"/>
    </row>
    <row r="435">
      <c r="C435" s="27"/>
      <c r="D435" s="27"/>
      <c r="E435" s="27"/>
    </row>
    <row r="436">
      <c r="C436" s="27"/>
      <c r="D436" s="27"/>
      <c r="E436" s="27"/>
    </row>
    <row r="437">
      <c r="C437" s="27"/>
      <c r="D437" s="27"/>
      <c r="E437" s="27"/>
    </row>
    <row r="438">
      <c r="C438" s="27"/>
      <c r="D438" s="27"/>
      <c r="E438" s="27"/>
    </row>
    <row r="439">
      <c r="C439" s="27"/>
      <c r="D439" s="27"/>
      <c r="E439" s="27"/>
    </row>
    <row r="440">
      <c r="C440" s="27"/>
      <c r="D440" s="27"/>
      <c r="E440" s="27"/>
    </row>
    <row r="441">
      <c r="C441" s="27"/>
      <c r="D441" s="27"/>
      <c r="E441" s="27"/>
    </row>
    <row r="442">
      <c r="C442" s="27"/>
      <c r="D442" s="27"/>
      <c r="E442" s="27"/>
    </row>
    <row r="443">
      <c r="C443" s="27"/>
      <c r="D443" s="27"/>
      <c r="E443" s="27"/>
    </row>
    <row r="444">
      <c r="C444" s="27"/>
      <c r="D444" s="27"/>
      <c r="E444" s="27"/>
    </row>
    <row r="445">
      <c r="C445" s="27"/>
      <c r="D445" s="27"/>
      <c r="E445" s="27"/>
    </row>
    <row r="446">
      <c r="C446" s="27"/>
      <c r="D446" s="27"/>
      <c r="E446" s="27"/>
    </row>
    <row r="447">
      <c r="C447" s="27"/>
      <c r="D447" s="27"/>
      <c r="E447" s="27"/>
    </row>
    <row r="448">
      <c r="C448" s="27"/>
      <c r="D448" s="27"/>
      <c r="E448" s="27"/>
    </row>
    <row r="449">
      <c r="C449" s="27"/>
      <c r="D449" s="27"/>
      <c r="E449" s="27"/>
    </row>
    <row r="450">
      <c r="C450" s="27"/>
      <c r="D450" s="27"/>
      <c r="E450" s="27"/>
    </row>
    <row r="451">
      <c r="C451" s="27"/>
      <c r="D451" s="27"/>
      <c r="E451" s="27"/>
    </row>
    <row r="452">
      <c r="C452" s="27"/>
      <c r="D452" s="27"/>
      <c r="E452" s="27"/>
    </row>
    <row r="453">
      <c r="C453" s="27"/>
      <c r="D453" s="27"/>
      <c r="E453" s="27"/>
    </row>
    <row r="454">
      <c r="C454" s="27"/>
      <c r="D454" s="27"/>
      <c r="E454" s="27"/>
    </row>
    <row r="455">
      <c r="C455" s="27"/>
      <c r="D455" s="27"/>
      <c r="E455" s="27"/>
    </row>
    <row r="456">
      <c r="C456" s="27"/>
      <c r="D456" s="27"/>
      <c r="E456" s="27"/>
    </row>
    <row r="457">
      <c r="C457" s="27"/>
      <c r="D457" s="27"/>
      <c r="E457" s="27"/>
    </row>
    <row r="458">
      <c r="C458" s="27"/>
      <c r="D458" s="27"/>
      <c r="E458" s="27"/>
    </row>
    <row r="459">
      <c r="C459" s="27"/>
      <c r="D459" s="27"/>
      <c r="E459" s="27"/>
    </row>
    <row r="460">
      <c r="C460" s="27"/>
      <c r="D460" s="27"/>
      <c r="E460" s="27"/>
    </row>
    <row r="461">
      <c r="C461" s="27"/>
      <c r="D461" s="27"/>
      <c r="E461" s="27"/>
    </row>
    <row r="462">
      <c r="C462" s="27"/>
      <c r="D462" s="27"/>
      <c r="E462" s="27"/>
    </row>
    <row r="463">
      <c r="C463" s="27"/>
      <c r="D463" s="27"/>
      <c r="E463" s="27"/>
    </row>
    <row r="464">
      <c r="C464" s="27"/>
      <c r="D464" s="27"/>
      <c r="E464" s="27"/>
    </row>
    <row r="465">
      <c r="C465" s="27"/>
      <c r="D465" s="27"/>
      <c r="E465" s="27"/>
    </row>
    <row r="466">
      <c r="C466" s="27"/>
      <c r="D466" s="27"/>
      <c r="E466" s="27"/>
    </row>
    <row r="467">
      <c r="C467" s="27"/>
      <c r="D467" s="27"/>
      <c r="E467" s="27"/>
    </row>
    <row r="468">
      <c r="C468" s="27"/>
      <c r="D468" s="27"/>
      <c r="E468" s="27"/>
    </row>
    <row r="469">
      <c r="C469" s="27"/>
      <c r="D469" s="27"/>
      <c r="E469" s="27"/>
    </row>
    <row r="470">
      <c r="C470" s="27"/>
      <c r="D470" s="27"/>
      <c r="E470" s="27"/>
    </row>
    <row r="471">
      <c r="C471" s="27"/>
      <c r="D471" s="27"/>
      <c r="E471" s="27"/>
    </row>
    <row r="472">
      <c r="C472" s="27"/>
      <c r="D472" s="27"/>
      <c r="E472" s="27"/>
    </row>
    <row r="473">
      <c r="C473" s="27"/>
      <c r="D473" s="27"/>
      <c r="E473" s="27"/>
    </row>
    <row r="474">
      <c r="C474" s="27"/>
      <c r="D474" s="27"/>
      <c r="E474" s="27"/>
    </row>
    <row r="475">
      <c r="C475" s="27"/>
      <c r="D475" s="27"/>
      <c r="E475" s="27"/>
    </row>
    <row r="476">
      <c r="C476" s="27"/>
      <c r="D476" s="27"/>
      <c r="E476" s="27"/>
    </row>
    <row r="477">
      <c r="C477" s="27"/>
      <c r="D477" s="27"/>
      <c r="E477" s="27"/>
    </row>
    <row r="478">
      <c r="C478" s="27"/>
      <c r="D478" s="27"/>
      <c r="E478" s="27"/>
    </row>
    <row r="479">
      <c r="C479" s="27"/>
      <c r="D479" s="27"/>
      <c r="E479" s="27"/>
    </row>
    <row r="480">
      <c r="C480" s="27"/>
      <c r="D480" s="27"/>
      <c r="E480" s="27"/>
    </row>
    <row r="481">
      <c r="C481" s="27"/>
      <c r="D481" s="27"/>
      <c r="E481" s="27"/>
    </row>
    <row r="482">
      <c r="C482" s="27"/>
      <c r="D482" s="27"/>
      <c r="E482" s="27"/>
    </row>
    <row r="483">
      <c r="C483" s="27"/>
      <c r="D483" s="27"/>
      <c r="E483" s="27"/>
    </row>
    <row r="484">
      <c r="C484" s="27"/>
      <c r="D484" s="27"/>
      <c r="E484" s="27"/>
    </row>
    <row r="485">
      <c r="C485" s="27"/>
      <c r="D485" s="27"/>
      <c r="E485" s="27"/>
    </row>
    <row r="486">
      <c r="C486" s="27"/>
      <c r="D486" s="27"/>
      <c r="E486" s="27"/>
    </row>
    <row r="487">
      <c r="C487" s="27"/>
      <c r="D487" s="27"/>
      <c r="E487" s="27"/>
    </row>
    <row r="488">
      <c r="C488" s="27"/>
      <c r="D488" s="27"/>
      <c r="E488" s="27"/>
    </row>
    <row r="489">
      <c r="C489" s="27"/>
      <c r="D489" s="27"/>
      <c r="E489" s="27"/>
    </row>
    <row r="490">
      <c r="C490" s="27"/>
      <c r="D490" s="27"/>
      <c r="E490" s="27"/>
    </row>
    <row r="491">
      <c r="C491" s="27"/>
      <c r="D491" s="27"/>
      <c r="E491" s="27"/>
    </row>
    <row r="492">
      <c r="C492" s="27"/>
      <c r="D492" s="27"/>
      <c r="E492" s="27"/>
    </row>
    <row r="493">
      <c r="C493" s="27"/>
      <c r="D493" s="27"/>
      <c r="E493" s="27"/>
    </row>
    <row r="494">
      <c r="C494" s="27"/>
      <c r="D494" s="27"/>
      <c r="E494" s="27"/>
    </row>
    <row r="495">
      <c r="C495" s="27"/>
      <c r="D495" s="27"/>
      <c r="E495" s="27"/>
    </row>
    <row r="496">
      <c r="C496" s="27"/>
      <c r="D496" s="27"/>
      <c r="E496" s="27"/>
    </row>
    <row r="497">
      <c r="C497" s="27"/>
      <c r="D497" s="27"/>
      <c r="E497" s="27"/>
    </row>
    <row r="498">
      <c r="C498" s="27"/>
      <c r="D498" s="27"/>
      <c r="E498" s="27"/>
    </row>
    <row r="499">
      <c r="C499" s="27"/>
      <c r="D499" s="27"/>
      <c r="E499" s="27"/>
    </row>
    <row r="500">
      <c r="C500" s="27"/>
      <c r="D500" s="27"/>
      <c r="E500" s="27"/>
    </row>
    <row r="501">
      <c r="C501" s="27"/>
      <c r="D501" s="27"/>
      <c r="E501" s="27"/>
    </row>
    <row r="502">
      <c r="C502" s="27"/>
      <c r="D502" s="27"/>
      <c r="E502" s="27"/>
    </row>
    <row r="503">
      <c r="C503" s="27"/>
      <c r="D503" s="27"/>
      <c r="E503" s="27"/>
    </row>
    <row r="504">
      <c r="C504" s="27"/>
      <c r="D504" s="27"/>
      <c r="E504" s="27"/>
    </row>
    <row r="505">
      <c r="C505" s="27"/>
      <c r="D505" s="27"/>
      <c r="E505" s="27"/>
    </row>
    <row r="506">
      <c r="C506" s="27"/>
      <c r="D506" s="27"/>
      <c r="E506" s="27"/>
    </row>
    <row r="507">
      <c r="C507" s="27"/>
      <c r="D507" s="27"/>
      <c r="E507" s="27"/>
    </row>
    <row r="508">
      <c r="C508" s="27"/>
      <c r="D508" s="27"/>
      <c r="E508" s="27"/>
    </row>
    <row r="509">
      <c r="C509" s="27"/>
      <c r="D509" s="27"/>
      <c r="E509" s="27"/>
    </row>
    <row r="510">
      <c r="C510" s="27"/>
      <c r="D510" s="27"/>
      <c r="E510" s="27"/>
    </row>
    <row r="511">
      <c r="C511" s="27"/>
      <c r="D511" s="27"/>
      <c r="E511" s="27"/>
    </row>
    <row r="512">
      <c r="C512" s="27"/>
      <c r="D512" s="27"/>
      <c r="E512" s="27"/>
    </row>
    <row r="513">
      <c r="C513" s="27"/>
      <c r="D513" s="27"/>
      <c r="E513" s="27"/>
    </row>
    <row r="514">
      <c r="C514" s="27"/>
      <c r="D514" s="27"/>
      <c r="E514" s="27"/>
    </row>
    <row r="515">
      <c r="C515" s="27"/>
      <c r="D515" s="27"/>
      <c r="E515" s="27"/>
    </row>
    <row r="516">
      <c r="C516" s="27"/>
      <c r="D516" s="27"/>
      <c r="E516" s="27"/>
    </row>
    <row r="517">
      <c r="C517" s="27"/>
      <c r="D517" s="27"/>
      <c r="E517" s="27"/>
    </row>
    <row r="518">
      <c r="C518" s="27"/>
      <c r="D518" s="27"/>
      <c r="E518" s="27"/>
    </row>
    <row r="519">
      <c r="C519" s="27"/>
      <c r="D519" s="27"/>
      <c r="E519" s="27"/>
    </row>
    <row r="520">
      <c r="C520" s="27"/>
      <c r="D520" s="27"/>
      <c r="E520" s="27"/>
    </row>
    <row r="521">
      <c r="C521" s="27"/>
      <c r="D521" s="27"/>
      <c r="E521" s="27"/>
    </row>
    <row r="522">
      <c r="C522" s="27"/>
      <c r="D522" s="27"/>
      <c r="E522" s="27"/>
    </row>
    <row r="523">
      <c r="C523" s="27"/>
      <c r="D523" s="27"/>
      <c r="E523" s="27"/>
    </row>
    <row r="524">
      <c r="C524" s="27"/>
      <c r="D524" s="27"/>
      <c r="E524" s="27"/>
    </row>
    <row r="525">
      <c r="C525" s="27"/>
      <c r="D525" s="27"/>
      <c r="E525" s="27"/>
    </row>
    <row r="526">
      <c r="C526" s="27"/>
      <c r="D526" s="27"/>
      <c r="E526" s="27"/>
    </row>
    <row r="527">
      <c r="C527" s="27"/>
      <c r="D527" s="27"/>
      <c r="E527" s="27"/>
    </row>
    <row r="528">
      <c r="C528" s="27"/>
      <c r="D528" s="27"/>
      <c r="E528" s="27"/>
    </row>
    <row r="529">
      <c r="C529" s="27"/>
      <c r="D529" s="27"/>
      <c r="E529" s="27"/>
    </row>
    <row r="530">
      <c r="C530" s="27"/>
      <c r="D530" s="27"/>
      <c r="E530" s="27"/>
    </row>
    <row r="531">
      <c r="C531" s="27"/>
      <c r="D531" s="27"/>
      <c r="E531" s="27"/>
    </row>
    <row r="532">
      <c r="C532" s="27"/>
      <c r="D532" s="27"/>
      <c r="E532" s="27"/>
    </row>
    <row r="533">
      <c r="C533" s="27"/>
      <c r="D533" s="27"/>
      <c r="E533" s="27"/>
    </row>
    <row r="534">
      <c r="C534" s="27"/>
      <c r="D534" s="27"/>
      <c r="E534" s="27"/>
    </row>
    <row r="535">
      <c r="C535" s="27"/>
      <c r="D535" s="27"/>
      <c r="E535" s="27"/>
    </row>
    <row r="536">
      <c r="C536" s="27"/>
      <c r="D536" s="27"/>
      <c r="E536" s="27"/>
    </row>
    <row r="537">
      <c r="C537" s="27"/>
      <c r="D537" s="27"/>
      <c r="E537" s="27"/>
    </row>
    <row r="538">
      <c r="C538" s="27"/>
      <c r="D538" s="27"/>
      <c r="E538" s="27"/>
    </row>
    <row r="539">
      <c r="C539" s="27"/>
      <c r="D539" s="27"/>
      <c r="E539" s="27"/>
    </row>
    <row r="540">
      <c r="C540" s="27"/>
      <c r="D540" s="27"/>
      <c r="E540" s="27"/>
    </row>
    <row r="541">
      <c r="C541" s="27"/>
      <c r="D541" s="27"/>
      <c r="E541" s="27"/>
    </row>
    <row r="542">
      <c r="C542" s="27"/>
      <c r="D542" s="27"/>
      <c r="E542" s="27"/>
    </row>
    <row r="543">
      <c r="C543" s="27"/>
      <c r="D543" s="27"/>
      <c r="E543" s="27"/>
    </row>
    <row r="544">
      <c r="C544" s="27"/>
      <c r="D544" s="27"/>
      <c r="E544" s="27"/>
    </row>
    <row r="545">
      <c r="C545" s="27"/>
      <c r="D545" s="27"/>
      <c r="E545" s="27"/>
    </row>
    <row r="546">
      <c r="C546" s="27"/>
      <c r="D546" s="27"/>
      <c r="E546" s="27"/>
    </row>
    <row r="547">
      <c r="C547" s="27"/>
      <c r="D547" s="27"/>
      <c r="E547" s="27"/>
    </row>
    <row r="548">
      <c r="C548" s="27"/>
      <c r="D548" s="27"/>
      <c r="E548" s="27"/>
    </row>
    <row r="549">
      <c r="C549" s="27"/>
      <c r="D549" s="27"/>
      <c r="E549" s="27"/>
    </row>
    <row r="550">
      <c r="C550" s="27"/>
      <c r="D550" s="27"/>
      <c r="E550" s="27"/>
    </row>
    <row r="551">
      <c r="C551" s="27"/>
      <c r="D551" s="27"/>
      <c r="E551" s="27"/>
    </row>
    <row r="552">
      <c r="C552" s="27"/>
      <c r="D552" s="27"/>
      <c r="E552" s="27"/>
    </row>
    <row r="553">
      <c r="C553" s="27"/>
      <c r="D553" s="27"/>
      <c r="E553" s="27"/>
    </row>
    <row r="554">
      <c r="C554" s="27"/>
      <c r="D554" s="27"/>
      <c r="E554" s="27"/>
    </row>
    <row r="555">
      <c r="C555" s="27"/>
      <c r="D555" s="27"/>
      <c r="E555" s="27"/>
    </row>
    <row r="556">
      <c r="C556" s="27"/>
      <c r="D556" s="27"/>
      <c r="E556" s="27"/>
    </row>
    <row r="557">
      <c r="C557" s="27"/>
      <c r="D557" s="27"/>
      <c r="E557" s="27"/>
    </row>
    <row r="558">
      <c r="C558" s="27"/>
      <c r="D558" s="27"/>
      <c r="E558" s="27"/>
    </row>
    <row r="559">
      <c r="C559" s="27"/>
      <c r="D559" s="27"/>
      <c r="E559" s="27"/>
    </row>
    <row r="560">
      <c r="C560" s="27"/>
      <c r="D560" s="27"/>
      <c r="E560" s="27"/>
    </row>
    <row r="561">
      <c r="C561" s="27"/>
      <c r="D561" s="27"/>
      <c r="E561" s="27"/>
    </row>
    <row r="562">
      <c r="C562" s="27"/>
      <c r="D562" s="27"/>
      <c r="E562" s="27"/>
    </row>
    <row r="563">
      <c r="C563" s="27"/>
      <c r="D563" s="27"/>
      <c r="E563" s="27"/>
    </row>
    <row r="564">
      <c r="C564" s="27"/>
      <c r="D564" s="27"/>
      <c r="E564" s="27"/>
    </row>
    <row r="565">
      <c r="C565" s="27"/>
      <c r="D565" s="27"/>
      <c r="E565" s="27"/>
    </row>
    <row r="566">
      <c r="C566" s="27"/>
      <c r="D566" s="27"/>
      <c r="E566" s="27"/>
    </row>
    <row r="567">
      <c r="C567" s="27"/>
      <c r="D567" s="27"/>
      <c r="E567" s="27"/>
    </row>
    <row r="568">
      <c r="C568" s="27"/>
      <c r="D568" s="27"/>
      <c r="E568" s="27"/>
    </row>
    <row r="569">
      <c r="C569" s="27"/>
      <c r="D569" s="27"/>
      <c r="E569" s="27"/>
    </row>
    <row r="570">
      <c r="C570" s="27"/>
      <c r="D570" s="27"/>
      <c r="E570" s="27"/>
    </row>
    <row r="571">
      <c r="C571" s="27"/>
      <c r="D571" s="27"/>
      <c r="E571" s="27"/>
    </row>
    <row r="572">
      <c r="C572" s="27"/>
      <c r="D572" s="27"/>
      <c r="E572" s="27"/>
    </row>
    <row r="573">
      <c r="C573" s="27"/>
      <c r="D573" s="27"/>
      <c r="E573" s="27"/>
    </row>
    <row r="574">
      <c r="C574" s="27"/>
      <c r="D574" s="27"/>
      <c r="E574" s="27"/>
    </row>
    <row r="575">
      <c r="C575" s="27"/>
      <c r="D575" s="27"/>
      <c r="E575" s="27"/>
    </row>
    <row r="576">
      <c r="C576" s="27"/>
      <c r="D576" s="27"/>
      <c r="E576" s="27"/>
    </row>
    <row r="577">
      <c r="C577" s="27"/>
      <c r="D577" s="27"/>
      <c r="E577" s="27"/>
    </row>
    <row r="578">
      <c r="C578" s="27"/>
      <c r="D578" s="27"/>
      <c r="E578" s="27"/>
    </row>
    <row r="579">
      <c r="C579" s="27"/>
      <c r="D579" s="27"/>
      <c r="E579" s="27"/>
    </row>
    <row r="580">
      <c r="C580" s="27"/>
      <c r="D580" s="27"/>
      <c r="E580" s="27"/>
    </row>
    <row r="581">
      <c r="C581" s="27"/>
      <c r="D581" s="27"/>
      <c r="E581" s="27"/>
    </row>
    <row r="582">
      <c r="C582" s="27"/>
      <c r="D582" s="27"/>
      <c r="E582" s="27"/>
    </row>
    <row r="583">
      <c r="C583" s="27"/>
      <c r="D583" s="27"/>
      <c r="E583" s="27"/>
    </row>
    <row r="584">
      <c r="C584" s="27"/>
      <c r="D584" s="27"/>
      <c r="E584" s="27"/>
    </row>
    <row r="585">
      <c r="C585" s="27"/>
      <c r="D585" s="27"/>
      <c r="E585" s="27"/>
    </row>
    <row r="586">
      <c r="C586" s="27"/>
      <c r="D586" s="27"/>
      <c r="E586" s="27"/>
    </row>
    <row r="587">
      <c r="C587" s="27"/>
      <c r="D587" s="27"/>
      <c r="E587" s="27"/>
    </row>
    <row r="588">
      <c r="C588" s="27"/>
      <c r="D588" s="27"/>
      <c r="E588" s="27"/>
    </row>
    <row r="589">
      <c r="C589" s="27"/>
      <c r="D589" s="27"/>
      <c r="E589" s="27"/>
    </row>
    <row r="590">
      <c r="C590" s="27"/>
      <c r="D590" s="27"/>
      <c r="E590" s="27"/>
    </row>
    <row r="591">
      <c r="C591" s="27"/>
      <c r="D591" s="27"/>
      <c r="E591" s="27"/>
    </row>
    <row r="592">
      <c r="C592" s="27"/>
      <c r="D592" s="27"/>
      <c r="E592" s="27"/>
    </row>
    <row r="593">
      <c r="C593" s="27"/>
      <c r="D593" s="27"/>
      <c r="E593" s="27"/>
    </row>
    <row r="594">
      <c r="C594" s="27"/>
      <c r="D594" s="27"/>
      <c r="E594" s="27"/>
    </row>
    <row r="595">
      <c r="C595" s="27"/>
      <c r="D595" s="27"/>
      <c r="E595" s="27"/>
    </row>
    <row r="596">
      <c r="C596" s="27"/>
      <c r="D596" s="27"/>
      <c r="E596" s="27"/>
    </row>
    <row r="597">
      <c r="C597" s="27"/>
      <c r="D597" s="27"/>
      <c r="E597" s="27"/>
    </row>
    <row r="598">
      <c r="C598" s="27"/>
      <c r="D598" s="27"/>
      <c r="E598" s="27"/>
    </row>
    <row r="599">
      <c r="C599" s="27"/>
      <c r="D599" s="27"/>
      <c r="E599" s="27"/>
    </row>
    <row r="600">
      <c r="C600" s="27"/>
      <c r="D600" s="27"/>
      <c r="E600" s="27"/>
    </row>
    <row r="601">
      <c r="C601" s="27"/>
      <c r="D601" s="27"/>
      <c r="E601" s="27"/>
    </row>
    <row r="602">
      <c r="C602" s="27"/>
      <c r="D602" s="27"/>
      <c r="E602" s="27"/>
    </row>
    <row r="603">
      <c r="C603" s="27"/>
      <c r="D603" s="27"/>
      <c r="E603" s="27"/>
    </row>
    <row r="604">
      <c r="C604" s="27"/>
      <c r="D604" s="27"/>
      <c r="E604" s="27"/>
    </row>
    <row r="605">
      <c r="C605" s="27"/>
      <c r="D605" s="27"/>
      <c r="E605" s="27"/>
    </row>
    <row r="606">
      <c r="C606" s="27"/>
      <c r="D606" s="27"/>
      <c r="E606" s="27"/>
    </row>
    <row r="607">
      <c r="C607" s="27"/>
      <c r="D607" s="27"/>
      <c r="E607" s="27"/>
    </row>
    <row r="608">
      <c r="C608" s="27"/>
      <c r="D608" s="27"/>
      <c r="E608" s="27"/>
    </row>
    <row r="609">
      <c r="C609" s="27"/>
      <c r="D609" s="27"/>
      <c r="E609" s="27"/>
    </row>
    <row r="610">
      <c r="C610" s="27"/>
      <c r="D610" s="27"/>
      <c r="E610" s="27"/>
    </row>
    <row r="611">
      <c r="C611" s="27"/>
      <c r="D611" s="27"/>
      <c r="E611" s="27"/>
    </row>
    <row r="612">
      <c r="C612" s="27"/>
      <c r="D612" s="27"/>
      <c r="E612" s="27"/>
    </row>
    <row r="613">
      <c r="C613" s="27"/>
      <c r="D613" s="27"/>
      <c r="E613" s="27"/>
    </row>
    <row r="614">
      <c r="C614" s="27"/>
      <c r="D614" s="27"/>
      <c r="E614" s="27"/>
    </row>
    <row r="615">
      <c r="C615" s="27"/>
      <c r="D615" s="27"/>
      <c r="E615" s="27"/>
    </row>
    <row r="616">
      <c r="C616" s="27"/>
      <c r="D616" s="27"/>
      <c r="E616" s="27"/>
    </row>
    <row r="617">
      <c r="C617" s="27"/>
      <c r="D617" s="27"/>
      <c r="E617" s="27"/>
    </row>
    <row r="618">
      <c r="C618" s="27"/>
      <c r="D618" s="27"/>
      <c r="E618" s="27"/>
    </row>
    <row r="619">
      <c r="C619" s="27"/>
      <c r="D619" s="27"/>
      <c r="E619" s="27"/>
    </row>
    <row r="620">
      <c r="C620" s="27"/>
      <c r="D620" s="27"/>
      <c r="E620" s="27"/>
    </row>
    <row r="621">
      <c r="C621" s="27"/>
      <c r="D621" s="27"/>
      <c r="E621" s="27"/>
    </row>
    <row r="622">
      <c r="C622" s="27"/>
      <c r="D622" s="27"/>
      <c r="E622" s="27"/>
    </row>
    <row r="623">
      <c r="C623" s="27"/>
      <c r="D623" s="27"/>
      <c r="E623" s="27"/>
    </row>
    <row r="624">
      <c r="C624" s="27"/>
      <c r="D624" s="27"/>
      <c r="E624" s="27"/>
    </row>
    <row r="625">
      <c r="C625" s="27"/>
      <c r="D625" s="27"/>
      <c r="E625" s="27"/>
    </row>
    <row r="626">
      <c r="C626" s="27"/>
      <c r="D626" s="27"/>
      <c r="E626" s="27"/>
    </row>
    <row r="627">
      <c r="C627" s="27"/>
      <c r="D627" s="27"/>
      <c r="E627" s="27"/>
    </row>
    <row r="628">
      <c r="C628" s="27"/>
      <c r="D628" s="27"/>
      <c r="E628" s="27"/>
    </row>
    <row r="629">
      <c r="C629" s="27"/>
      <c r="D629" s="27"/>
      <c r="E629" s="27"/>
    </row>
    <row r="630">
      <c r="C630" s="27"/>
      <c r="D630" s="27"/>
      <c r="E630" s="27"/>
    </row>
    <row r="631">
      <c r="C631" s="27"/>
      <c r="D631" s="27"/>
      <c r="E631" s="27"/>
    </row>
    <row r="632">
      <c r="C632" s="27"/>
      <c r="D632" s="27"/>
      <c r="E632" s="27"/>
    </row>
    <row r="633">
      <c r="C633" s="27"/>
      <c r="D633" s="27"/>
      <c r="E633" s="27"/>
    </row>
    <row r="634">
      <c r="C634" s="27"/>
      <c r="D634" s="27"/>
      <c r="E634" s="27"/>
    </row>
    <row r="635">
      <c r="C635" s="27"/>
      <c r="D635" s="27"/>
      <c r="E635" s="27"/>
    </row>
    <row r="636">
      <c r="C636" s="27"/>
      <c r="D636" s="27"/>
      <c r="E636" s="27"/>
    </row>
    <row r="637">
      <c r="C637" s="27"/>
      <c r="D637" s="27"/>
      <c r="E637" s="27"/>
    </row>
    <row r="638">
      <c r="C638" s="27"/>
      <c r="D638" s="27"/>
      <c r="E638" s="27"/>
    </row>
    <row r="639">
      <c r="C639" s="27"/>
      <c r="D639" s="27"/>
      <c r="E639" s="27"/>
    </row>
    <row r="640">
      <c r="C640" s="27"/>
      <c r="D640" s="27"/>
      <c r="E640" s="27"/>
    </row>
    <row r="641">
      <c r="C641" s="27"/>
      <c r="D641" s="27"/>
      <c r="E641" s="27"/>
    </row>
    <row r="642">
      <c r="C642" s="27"/>
      <c r="D642" s="27"/>
      <c r="E642" s="27"/>
    </row>
    <row r="643">
      <c r="C643" s="27"/>
      <c r="D643" s="27"/>
      <c r="E643" s="27"/>
    </row>
    <row r="644">
      <c r="C644" s="27"/>
      <c r="D644" s="27"/>
      <c r="E644" s="27"/>
    </row>
    <row r="645">
      <c r="C645" s="27"/>
      <c r="D645" s="27"/>
      <c r="E645" s="27"/>
    </row>
    <row r="646">
      <c r="C646" s="27"/>
      <c r="D646" s="27"/>
      <c r="E646" s="27"/>
    </row>
    <row r="647">
      <c r="C647" s="27"/>
      <c r="D647" s="27"/>
      <c r="E647" s="27"/>
    </row>
    <row r="648">
      <c r="C648" s="27"/>
      <c r="D648" s="27"/>
      <c r="E648" s="27"/>
    </row>
    <row r="649">
      <c r="C649" s="27"/>
      <c r="D649" s="27"/>
      <c r="E649" s="27"/>
    </row>
    <row r="650">
      <c r="C650" s="27"/>
      <c r="D650" s="27"/>
      <c r="E650" s="27"/>
    </row>
    <row r="651">
      <c r="C651" s="27"/>
      <c r="D651" s="27"/>
      <c r="E651" s="27"/>
    </row>
    <row r="652">
      <c r="C652" s="27"/>
      <c r="D652" s="27"/>
      <c r="E652" s="27"/>
    </row>
    <row r="653">
      <c r="C653" s="27"/>
      <c r="D653" s="27"/>
      <c r="E653" s="27"/>
    </row>
    <row r="654">
      <c r="C654" s="27"/>
      <c r="D654" s="27"/>
      <c r="E654" s="27"/>
    </row>
    <row r="655">
      <c r="C655" s="27"/>
      <c r="D655" s="27"/>
      <c r="E655" s="27"/>
    </row>
    <row r="656">
      <c r="C656" s="27"/>
      <c r="D656" s="27"/>
      <c r="E656" s="27"/>
    </row>
    <row r="657">
      <c r="C657" s="27"/>
      <c r="D657" s="27"/>
      <c r="E657" s="27"/>
    </row>
    <row r="658">
      <c r="C658" s="27"/>
      <c r="D658" s="27"/>
      <c r="E658" s="27"/>
    </row>
    <row r="659">
      <c r="C659" s="27"/>
      <c r="D659" s="27"/>
      <c r="E659" s="27"/>
    </row>
    <row r="660">
      <c r="C660" s="27"/>
      <c r="D660" s="27"/>
      <c r="E660" s="27"/>
    </row>
    <row r="661">
      <c r="C661" s="27"/>
      <c r="D661" s="27"/>
      <c r="E661" s="27"/>
    </row>
    <row r="662">
      <c r="C662" s="27"/>
      <c r="D662" s="27"/>
      <c r="E662" s="27"/>
    </row>
    <row r="663">
      <c r="C663" s="27"/>
      <c r="D663" s="27"/>
      <c r="E663" s="27"/>
    </row>
    <row r="664">
      <c r="C664" s="27"/>
      <c r="D664" s="27"/>
      <c r="E664" s="27"/>
    </row>
    <row r="665">
      <c r="C665" s="27"/>
      <c r="D665" s="27"/>
      <c r="E665" s="27"/>
    </row>
    <row r="666">
      <c r="C666" s="27"/>
      <c r="D666" s="27"/>
      <c r="E666" s="27"/>
    </row>
    <row r="667">
      <c r="C667" s="27"/>
      <c r="D667" s="27"/>
      <c r="E667" s="27"/>
    </row>
    <row r="668">
      <c r="C668" s="27"/>
      <c r="D668" s="27"/>
      <c r="E668" s="27"/>
    </row>
    <row r="669">
      <c r="C669" s="27"/>
      <c r="D669" s="27"/>
      <c r="E669" s="27"/>
    </row>
    <row r="670">
      <c r="C670" s="27"/>
      <c r="D670" s="27"/>
      <c r="E670" s="27"/>
    </row>
    <row r="671">
      <c r="C671" s="27"/>
      <c r="D671" s="27"/>
      <c r="E671" s="27"/>
    </row>
    <row r="672">
      <c r="C672" s="27"/>
      <c r="D672" s="27"/>
      <c r="E672" s="27"/>
    </row>
    <row r="673">
      <c r="C673" s="27"/>
      <c r="D673" s="27"/>
      <c r="E673" s="27"/>
    </row>
    <row r="674">
      <c r="C674" s="27"/>
      <c r="D674" s="27"/>
      <c r="E674" s="27"/>
    </row>
    <row r="675">
      <c r="C675" s="27"/>
      <c r="D675" s="27"/>
      <c r="E675" s="27"/>
    </row>
    <row r="676">
      <c r="C676" s="27"/>
      <c r="D676" s="27"/>
      <c r="E676" s="27"/>
    </row>
    <row r="677">
      <c r="C677" s="27"/>
      <c r="D677" s="27"/>
      <c r="E677" s="27"/>
    </row>
    <row r="678">
      <c r="C678" s="27"/>
      <c r="D678" s="27"/>
      <c r="E678" s="27"/>
    </row>
    <row r="679">
      <c r="C679" s="27"/>
      <c r="D679" s="27"/>
      <c r="E679" s="27"/>
    </row>
    <row r="680">
      <c r="C680" s="27"/>
      <c r="D680" s="27"/>
      <c r="E680" s="27"/>
    </row>
    <row r="681">
      <c r="C681" s="27"/>
      <c r="D681" s="27"/>
      <c r="E681" s="27"/>
    </row>
    <row r="682">
      <c r="C682" s="27"/>
      <c r="D682" s="27"/>
      <c r="E682" s="27"/>
    </row>
    <row r="683">
      <c r="C683" s="27"/>
      <c r="D683" s="27"/>
      <c r="E683" s="27"/>
    </row>
    <row r="684">
      <c r="C684" s="27"/>
      <c r="D684" s="27"/>
      <c r="E684" s="27"/>
    </row>
    <row r="685">
      <c r="C685" s="27"/>
      <c r="D685" s="27"/>
      <c r="E685" s="27"/>
    </row>
    <row r="686">
      <c r="C686" s="27"/>
      <c r="D686" s="27"/>
      <c r="E686" s="27"/>
    </row>
    <row r="687">
      <c r="C687" s="27"/>
      <c r="D687" s="27"/>
      <c r="E687" s="27"/>
    </row>
    <row r="688">
      <c r="C688" s="27"/>
      <c r="D688" s="27"/>
      <c r="E688" s="27"/>
    </row>
    <row r="689">
      <c r="C689" s="27"/>
      <c r="D689" s="27"/>
      <c r="E689" s="27"/>
    </row>
    <row r="690">
      <c r="C690" s="27"/>
      <c r="D690" s="27"/>
      <c r="E690" s="27"/>
    </row>
    <row r="691">
      <c r="C691" s="27"/>
      <c r="D691" s="27"/>
      <c r="E691" s="27"/>
    </row>
    <row r="692">
      <c r="C692" s="27"/>
      <c r="D692" s="27"/>
      <c r="E692" s="27"/>
    </row>
    <row r="693">
      <c r="C693" s="27"/>
      <c r="D693" s="27"/>
      <c r="E693" s="27"/>
    </row>
    <row r="694">
      <c r="C694" s="27"/>
      <c r="D694" s="27"/>
      <c r="E694" s="27"/>
    </row>
    <row r="695">
      <c r="C695" s="27"/>
      <c r="D695" s="27"/>
      <c r="E695" s="27"/>
    </row>
    <row r="696">
      <c r="C696" s="27"/>
      <c r="D696" s="27"/>
      <c r="E696" s="27"/>
    </row>
    <row r="697">
      <c r="C697" s="27"/>
      <c r="D697" s="27"/>
      <c r="E697" s="27"/>
    </row>
    <row r="698">
      <c r="C698" s="27"/>
      <c r="D698" s="27"/>
      <c r="E698" s="27"/>
    </row>
    <row r="699">
      <c r="C699" s="27"/>
      <c r="D699" s="27"/>
      <c r="E699" s="27"/>
    </row>
    <row r="700">
      <c r="C700" s="27"/>
      <c r="D700" s="27"/>
      <c r="E700" s="27"/>
    </row>
    <row r="701">
      <c r="C701" s="27"/>
      <c r="D701" s="27"/>
      <c r="E701" s="27"/>
    </row>
    <row r="702">
      <c r="C702" s="27"/>
      <c r="D702" s="27"/>
      <c r="E702" s="27"/>
    </row>
    <row r="703">
      <c r="C703" s="27"/>
      <c r="D703" s="27"/>
      <c r="E703" s="27"/>
    </row>
    <row r="704">
      <c r="C704" s="27"/>
      <c r="D704" s="27"/>
      <c r="E704" s="27"/>
    </row>
    <row r="705">
      <c r="C705" s="27"/>
      <c r="D705" s="27"/>
      <c r="E705" s="27"/>
    </row>
    <row r="706">
      <c r="C706" s="27"/>
      <c r="D706" s="27"/>
      <c r="E706" s="27"/>
    </row>
    <row r="707">
      <c r="C707" s="27"/>
      <c r="D707" s="27"/>
      <c r="E707" s="27"/>
    </row>
    <row r="708">
      <c r="C708" s="27"/>
      <c r="D708" s="27"/>
      <c r="E708" s="27"/>
    </row>
    <row r="709">
      <c r="C709" s="27"/>
      <c r="D709" s="27"/>
      <c r="E709" s="27"/>
    </row>
    <row r="710">
      <c r="C710" s="27"/>
      <c r="D710" s="27"/>
      <c r="E710" s="27"/>
    </row>
    <row r="711">
      <c r="C711" s="27"/>
      <c r="D711" s="27"/>
      <c r="E711" s="27"/>
    </row>
    <row r="712">
      <c r="C712" s="27"/>
      <c r="D712" s="27"/>
      <c r="E712" s="27"/>
    </row>
    <row r="713">
      <c r="C713" s="27"/>
      <c r="D713" s="27"/>
      <c r="E713" s="27"/>
    </row>
    <row r="714">
      <c r="C714" s="27"/>
      <c r="D714" s="27"/>
      <c r="E714" s="27"/>
    </row>
    <row r="715">
      <c r="C715" s="27"/>
      <c r="D715" s="27"/>
      <c r="E715" s="27"/>
    </row>
    <row r="716">
      <c r="C716" s="27"/>
      <c r="D716" s="27"/>
      <c r="E716" s="27"/>
    </row>
    <row r="717">
      <c r="C717" s="27"/>
      <c r="D717" s="27"/>
      <c r="E717" s="27"/>
    </row>
    <row r="718">
      <c r="C718" s="27"/>
      <c r="D718" s="27"/>
      <c r="E718" s="27"/>
    </row>
    <row r="719">
      <c r="C719" s="27"/>
      <c r="D719" s="27"/>
      <c r="E719" s="27"/>
    </row>
    <row r="720">
      <c r="C720" s="27"/>
      <c r="D720" s="27"/>
      <c r="E720" s="27"/>
    </row>
    <row r="721">
      <c r="C721" s="27"/>
      <c r="D721" s="27"/>
      <c r="E721" s="27"/>
    </row>
    <row r="722">
      <c r="C722" s="27"/>
      <c r="D722" s="27"/>
      <c r="E722" s="27"/>
    </row>
    <row r="723">
      <c r="C723" s="27"/>
      <c r="D723" s="27"/>
      <c r="E723" s="27"/>
    </row>
    <row r="724">
      <c r="C724" s="27"/>
      <c r="D724" s="27"/>
      <c r="E724" s="27"/>
    </row>
    <row r="725">
      <c r="C725" s="27"/>
      <c r="D725" s="27"/>
      <c r="E725" s="27"/>
    </row>
    <row r="726">
      <c r="C726" s="27"/>
      <c r="D726" s="27"/>
      <c r="E726" s="27"/>
    </row>
    <row r="727">
      <c r="C727" s="27"/>
      <c r="D727" s="27"/>
      <c r="E727" s="27"/>
    </row>
    <row r="728">
      <c r="C728" s="27"/>
      <c r="D728" s="27"/>
      <c r="E728" s="27"/>
    </row>
    <row r="729">
      <c r="C729" s="27"/>
      <c r="D729" s="27"/>
      <c r="E729" s="27"/>
    </row>
    <row r="730">
      <c r="C730" s="27"/>
      <c r="D730" s="27"/>
      <c r="E730" s="27"/>
    </row>
    <row r="731">
      <c r="C731" s="27"/>
      <c r="D731" s="27"/>
      <c r="E731" s="27"/>
    </row>
    <row r="732">
      <c r="C732" s="27"/>
      <c r="D732" s="27"/>
      <c r="E732" s="27"/>
    </row>
    <row r="733">
      <c r="C733" s="27"/>
      <c r="D733" s="27"/>
      <c r="E733" s="27"/>
    </row>
    <row r="734">
      <c r="C734" s="27"/>
      <c r="D734" s="27"/>
      <c r="E734" s="27"/>
    </row>
    <row r="735">
      <c r="C735" s="27"/>
      <c r="D735" s="27"/>
      <c r="E735" s="27"/>
    </row>
    <row r="736">
      <c r="C736" s="27"/>
      <c r="D736" s="27"/>
      <c r="E736" s="27"/>
    </row>
    <row r="737">
      <c r="C737" s="27"/>
      <c r="D737" s="27"/>
      <c r="E737" s="27"/>
    </row>
    <row r="738">
      <c r="C738" s="27"/>
      <c r="D738" s="27"/>
      <c r="E738" s="27"/>
    </row>
    <row r="739">
      <c r="C739" s="27"/>
      <c r="D739" s="27"/>
      <c r="E739" s="27"/>
    </row>
    <row r="740">
      <c r="C740" s="27"/>
      <c r="D740" s="27"/>
      <c r="E740" s="27"/>
    </row>
    <row r="741">
      <c r="C741" s="27"/>
      <c r="D741" s="27"/>
      <c r="E741" s="27"/>
    </row>
    <row r="742">
      <c r="C742" s="27"/>
      <c r="D742" s="27"/>
      <c r="E742" s="27"/>
    </row>
    <row r="743">
      <c r="C743" s="27"/>
      <c r="D743" s="27"/>
      <c r="E743" s="27"/>
    </row>
    <row r="744">
      <c r="C744" s="27"/>
      <c r="D744" s="27"/>
      <c r="E744" s="27"/>
    </row>
    <row r="745">
      <c r="C745" s="27"/>
      <c r="D745" s="27"/>
      <c r="E745" s="27"/>
    </row>
    <row r="746">
      <c r="C746" s="27"/>
      <c r="D746" s="27"/>
      <c r="E746" s="27"/>
    </row>
    <row r="747">
      <c r="C747" s="27"/>
      <c r="D747" s="27"/>
      <c r="E747" s="27"/>
    </row>
    <row r="748">
      <c r="C748" s="27"/>
      <c r="D748" s="27"/>
      <c r="E748" s="27"/>
    </row>
    <row r="749">
      <c r="C749" s="27"/>
      <c r="D749" s="27"/>
      <c r="E749" s="27"/>
    </row>
    <row r="750">
      <c r="C750" s="27"/>
      <c r="D750" s="27"/>
      <c r="E750" s="27"/>
    </row>
    <row r="751">
      <c r="C751" s="27"/>
      <c r="D751" s="27"/>
      <c r="E751" s="27"/>
    </row>
    <row r="752">
      <c r="C752" s="27"/>
      <c r="D752" s="27"/>
      <c r="E752" s="27"/>
    </row>
    <row r="753">
      <c r="C753" s="27"/>
      <c r="D753" s="27"/>
      <c r="E753" s="27"/>
    </row>
    <row r="754">
      <c r="C754" s="27"/>
      <c r="D754" s="27"/>
      <c r="E754" s="27"/>
    </row>
    <row r="755">
      <c r="C755" s="27"/>
      <c r="D755" s="27"/>
      <c r="E755" s="27"/>
    </row>
    <row r="756">
      <c r="C756" s="27"/>
      <c r="D756" s="27"/>
      <c r="E756" s="27"/>
    </row>
    <row r="757">
      <c r="C757" s="27"/>
      <c r="D757" s="27"/>
      <c r="E757" s="27"/>
    </row>
    <row r="758">
      <c r="C758" s="27"/>
      <c r="D758" s="27"/>
      <c r="E758" s="27"/>
    </row>
    <row r="759">
      <c r="C759" s="27"/>
      <c r="D759" s="27"/>
      <c r="E759" s="27"/>
    </row>
    <row r="760">
      <c r="C760" s="27"/>
      <c r="D760" s="27"/>
      <c r="E760" s="27"/>
    </row>
    <row r="761">
      <c r="C761" s="27"/>
      <c r="D761" s="27"/>
      <c r="E761" s="27"/>
    </row>
    <row r="762">
      <c r="C762" s="27"/>
      <c r="D762" s="27"/>
      <c r="E762" s="27"/>
    </row>
    <row r="763">
      <c r="C763" s="27"/>
      <c r="D763" s="27"/>
      <c r="E763" s="27"/>
    </row>
    <row r="764">
      <c r="C764" s="27"/>
      <c r="D764" s="27"/>
      <c r="E764" s="27"/>
    </row>
    <row r="765">
      <c r="C765" s="27"/>
      <c r="D765" s="27"/>
      <c r="E765" s="27"/>
    </row>
    <row r="766">
      <c r="C766" s="27"/>
      <c r="D766" s="27"/>
      <c r="E766" s="27"/>
    </row>
    <row r="767">
      <c r="C767" s="27"/>
      <c r="D767" s="27"/>
      <c r="E767" s="27"/>
    </row>
    <row r="768">
      <c r="C768" s="27"/>
      <c r="D768" s="27"/>
      <c r="E768" s="27"/>
    </row>
    <row r="769">
      <c r="C769" s="27"/>
      <c r="D769" s="27"/>
      <c r="E769" s="27"/>
    </row>
    <row r="770">
      <c r="C770" s="27"/>
      <c r="D770" s="27"/>
      <c r="E770" s="27"/>
    </row>
    <row r="771">
      <c r="C771" s="27"/>
      <c r="D771" s="27"/>
      <c r="E771" s="27"/>
    </row>
    <row r="772">
      <c r="C772" s="27"/>
      <c r="D772" s="27"/>
      <c r="E772" s="27"/>
    </row>
    <row r="773">
      <c r="C773" s="27"/>
      <c r="D773" s="27"/>
      <c r="E773" s="27"/>
    </row>
    <row r="774">
      <c r="C774" s="27"/>
      <c r="D774" s="27"/>
      <c r="E774" s="27"/>
    </row>
    <row r="775">
      <c r="C775" s="27"/>
      <c r="D775" s="27"/>
      <c r="E775" s="27"/>
    </row>
    <row r="776">
      <c r="C776" s="27"/>
      <c r="D776" s="27"/>
      <c r="E776" s="27"/>
    </row>
    <row r="777">
      <c r="C777" s="27"/>
      <c r="D777" s="27"/>
      <c r="E777" s="27"/>
    </row>
    <row r="778">
      <c r="C778" s="27"/>
      <c r="D778" s="27"/>
      <c r="E778" s="27"/>
    </row>
    <row r="779">
      <c r="C779" s="27"/>
      <c r="D779" s="27"/>
      <c r="E779" s="27"/>
    </row>
    <row r="780">
      <c r="C780" s="27"/>
      <c r="D780" s="27"/>
      <c r="E780" s="27"/>
    </row>
    <row r="781">
      <c r="C781" s="27"/>
      <c r="D781" s="27"/>
      <c r="E781" s="27"/>
    </row>
    <row r="782">
      <c r="C782" s="27"/>
      <c r="D782" s="27"/>
      <c r="E782" s="27"/>
    </row>
    <row r="783">
      <c r="C783" s="27"/>
      <c r="D783" s="27"/>
      <c r="E783" s="27"/>
    </row>
    <row r="784">
      <c r="C784" s="27"/>
      <c r="D784" s="27"/>
      <c r="E784" s="27"/>
    </row>
    <row r="785">
      <c r="C785" s="27"/>
      <c r="D785" s="27"/>
      <c r="E785" s="27"/>
    </row>
    <row r="786">
      <c r="C786" s="27"/>
      <c r="D786" s="27"/>
      <c r="E786" s="27"/>
    </row>
    <row r="787">
      <c r="C787" s="27"/>
      <c r="D787" s="27"/>
      <c r="E787" s="27"/>
    </row>
    <row r="788">
      <c r="C788" s="27"/>
      <c r="D788" s="27"/>
      <c r="E788" s="27"/>
    </row>
    <row r="789">
      <c r="C789" s="27"/>
      <c r="D789" s="27"/>
      <c r="E789" s="27"/>
    </row>
    <row r="790">
      <c r="C790" s="27"/>
      <c r="D790" s="27"/>
      <c r="E790" s="27"/>
    </row>
    <row r="791">
      <c r="C791" s="27"/>
      <c r="D791" s="27"/>
      <c r="E791" s="27"/>
    </row>
    <row r="792">
      <c r="C792" s="27"/>
      <c r="D792" s="27"/>
      <c r="E792" s="27"/>
    </row>
    <row r="793">
      <c r="C793" s="27"/>
      <c r="D793" s="27"/>
      <c r="E793" s="27"/>
    </row>
    <row r="794">
      <c r="C794" s="27"/>
      <c r="D794" s="27"/>
      <c r="E794" s="27"/>
    </row>
    <row r="795">
      <c r="C795" s="27"/>
      <c r="D795" s="27"/>
      <c r="E795" s="27"/>
    </row>
    <row r="796">
      <c r="C796" s="27"/>
      <c r="D796" s="27"/>
      <c r="E796" s="27"/>
    </row>
    <row r="797">
      <c r="C797" s="27"/>
      <c r="D797" s="27"/>
      <c r="E797" s="27"/>
    </row>
    <row r="798">
      <c r="C798" s="27"/>
      <c r="D798" s="27"/>
      <c r="E798" s="27"/>
    </row>
    <row r="799">
      <c r="C799" s="27"/>
      <c r="D799" s="27"/>
      <c r="E799" s="27"/>
    </row>
    <row r="800">
      <c r="C800" s="27"/>
      <c r="D800" s="27"/>
      <c r="E800" s="27"/>
    </row>
    <row r="801">
      <c r="C801" s="27"/>
      <c r="D801" s="27"/>
      <c r="E801" s="27"/>
    </row>
    <row r="802">
      <c r="C802" s="27"/>
      <c r="D802" s="27"/>
      <c r="E802" s="27"/>
    </row>
    <row r="803">
      <c r="C803" s="27"/>
      <c r="D803" s="27"/>
      <c r="E803" s="27"/>
    </row>
    <row r="804">
      <c r="C804" s="27"/>
      <c r="D804" s="27"/>
      <c r="E804" s="27"/>
    </row>
    <row r="805">
      <c r="C805" s="27"/>
      <c r="D805" s="27"/>
      <c r="E805" s="27"/>
    </row>
    <row r="806">
      <c r="C806" s="27"/>
      <c r="D806" s="27"/>
      <c r="E806" s="27"/>
    </row>
    <row r="807">
      <c r="C807" s="27"/>
      <c r="D807" s="27"/>
      <c r="E807" s="27"/>
    </row>
    <row r="808">
      <c r="C808" s="27"/>
      <c r="D808" s="27"/>
      <c r="E808" s="27"/>
    </row>
    <row r="809">
      <c r="C809" s="27"/>
      <c r="D809" s="27"/>
      <c r="E809" s="27"/>
    </row>
    <row r="810">
      <c r="C810" s="27"/>
      <c r="D810" s="27"/>
      <c r="E810" s="27"/>
    </row>
    <row r="811">
      <c r="C811" s="27"/>
      <c r="D811" s="27"/>
      <c r="E811" s="27"/>
    </row>
    <row r="812">
      <c r="C812" s="27"/>
      <c r="D812" s="27"/>
      <c r="E812" s="27"/>
    </row>
    <row r="813">
      <c r="C813" s="27"/>
      <c r="D813" s="27"/>
      <c r="E813" s="27"/>
    </row>
    <row r="814">
      <c r="C814" s="27"/>
      <c r="D814" s="27"/>
      <c r="E814" s="27"/>
    </row>
    <row r="815">
      <c r="C815" s="27"/>
      <c r="D815" s="27"/>
      <c r="E815" s="27"/>
    </row>
    <row r="816">
      <c r="C816" s="27"/>
      <c r="D816" s="27"/>
      <c r="E816" s="27"/>
    </row>
    <row r="817">
      <c r="C817" s="27"/>
      <c r="D817" s="27"/>
      <c r="E817" s="27"/>
    </row>
    <row r="818">
      <c r="C818" s="27"/>
      <c r="D818" s="27"/>
      <c r="E818" s="27"/>
    </row>
    <row r="819">
      <c r="C819" s="27"/>
      <c r="D819" s="27"/>
      <c r="E819" s="27"/>
    </row>
    <row r="820">
      <c r="C820" s="27"/>
      <c r="D820" s="27"/>
      <c r="E820" s="27"/>
    </row>
    <row r="821">
      <c r="C821" s="27"/>
      <c r="D821" s="27"/>
      <c r="E821" s="27"/>
    </row>
    <row r="822">
      <c r="C822" s="27"/>
      <c r="D822" s="27"/>
      <c r="E822" s="27"/>
    </row>
    <row r="823">
      <c r="C823" s="27"/>
      <c r="D823" s="27"/>
      <c r="E823" s="27"/>
    </row>
    <row r="824">
      <c r="C824" s="27"/>
      <c r="D824" s="27"/>
      <c r="E824" s="27"/>
    </row>
    <row r="825">
      <c r="C825" s="27"/>
      <c r="D825" s="27"/>
      <c r="E825" s="27"/>
    </row>
    <row r="826">
      <c r="C826" s="27"/>
      <c r="D826" s="27"/>
      <c r="E826" s="27"/>
    </row>
    <row r="827">
      <c r="C827" s="27"/>
      <c r="D827" s="27"/>
      <c r="E827" s="27"/>
    </row>
    <row r="828">
      <c r="C828" s="27"/>
      <c r="D828" s="27"/>
      <c r="E828" s="27"/>
    </row>
    <row r="829">
      <c r="C829" s="27"/>
      <c r="D829" s="27"/>
      <c r="E829" s="27"/>
    </row>
    <row r="830">
      <c r="C830" s="27"/>
      <c r="D830" s="27"/>
      <c r="E830" s="27"/>
    </row>
    <row r="831">
      <c r="C831" s="27"/>
      <c r="D831" s="27"/>
      <c r="E831" s="27"/>
    </row>
    <row r="832">
      <c r="C832" s="27"/>
      <c r="D832" s="27"/>
      <c r="E832" s="27"/>
    </row>
    <row r="833">
      <c r="C833" s="27"/>
      <c r="D833" s="27"/>
      <c r="E833" s="27"/>
    </row>
    <row r="834">
      <c r="C834" s="27"/>
      <c r="D834" s="27"/>
      <c r="E834" s="27"/>
    </row>
    <row r="835">
      <c r="C835" s="27"/>
      <c r="D835" s="27"/>
      <c r="E835" s="27"/>
    </row>
    <row r="836">
      <c r="C836" s="27"/>
      <c r="D836" s="27"/>
      <c r="E836" s="27"/>
    </row>
    <row r="837">
      <c r="C837" s="27"/>
      <c r="D837" s="27"/>
      <c r="E837" s="27"/>
    </row>
    <row r="838">
      <c r="C838" s="27"/>
      <c r="D838" s="27"/>
      <c r="E838" s="27"/>
    </row>
    <row r="839">
      <c r="C839" s="27"/>
      <c r="D839" s="27"/>
      <c r="E839" s="27"/>
    </row>
    <row r="840">
      <c r="C840" s="27"/>
      <c r="D840" s="27"/>
      <c r="E840" s="27"/>
    </row>
    <row r="841">
      <c r="C841" s="27"/>
      <c r="D841" s="27"/>
      <c r="E841" s="27"/>
    </row>
    <row r="842">
      <c r="C842" s="27"/>
      <c r="D842" s="27"/>
      <c r="E842" s="27"/>
    </row>
    <row r="843">
      <c r="C843" s="27"/>
      <c r="D843" s="27"/>
      <c r="E843" s="27"/>
    </row>
    <row r="844">
      <c r="C844" s="27"/>
      <c r="D844" s="27"/>
      <c r="E844" s="27"/>
    </row>
    <row r="845">
      <c r="C845" s="27"/>
      <c r="D845" s="27"/>
      <c r="E845" s="27"/>
    </row>
    <row r="846">
      <c r="C846" s="27"/>
      <c r="D846" s="27"/>
      <c r="E846" s="27"/>
    </row>
    <row r="847">
      <c r="C847" s="27"/>
      <c r="D847" s="27"/>
      <c r="E847" s="27"/>
    </row>
    <row r="848">
      <c r="C848" s="27"/>
      <c r="D848" s="27"/>
      <c r="E848" s="27"/>
    </row>
    <row r="849">
      <c r="C849" s="27"/>
      <c r="D849" s="27"/>
      <c r="E849" s="27"/>
    </row>
    <row r="850">
      <c r="C850" s="27"/>
      <c r="D850" s="27"/>
      <c r="E850" s="27"/>
    </row>
    <row r="851">
      <c r="C851" s="27"/>
      <c r="D851" s="27"/>
      <c r="E851" s="27"/>
    </row>
    <row r="852">
      <c r="C852" s="27"/>
      <c r="D852" s="27"/>
      <c r="E852" s="27"/>
    </row>
    <row r="853">
      <c r="C853" s="27"/>
      <c r="D853" s="27"/>
      <c r="E853" s="27"/>
    </row>
    <row r="854">
      <c r="C854" s="27"/>
      <c r="D854" s="27"/>
      <c r="E854" s="27"/>
    </row>
    <row r="855">
      <c r="C855" s="27"/>
      <c r="D855" s="27"/>
      <c r="E855" s="27"/>
    </row>
    <row r="856">
      <c r="C856" s="27"/>
      <c r="D856" s="27"/>
      <c r="E856" s="27"/>
    </row>
    <row r="857">
      <c r="C857" s="27"/>
      <c r="D857" s="27"/>
      <c r="E857" s="27"/>
    </row>
    <row r="858">
      <c r="C858" s="27"/>
      <c r="D858" s="27"/>
      <c r="E858" s="27"/>
    </row>
    <row r="859">
      <c r="C859" s="27"/>
      <c r="D859" s="27"/>
      <c r="E859" s="27"/>
    </row>
    <row r="860">
      <c r="C860" s="27"/>
      <c r="D860" s="27"/>
      <c r="E860" s="27"/>
    </row>
    <row r="861">
      <c r="C861" s="27"/>
      <c r="D861" s="27"/>
      <c r="E861" s="27"/>
    </row>
    <row r="862">
      <c r="C862" s="27"/>
      <c r="D862" s="27"/>
      <c r="E862" s="27"/>
    </row>
    <row r="863">
      <c r="C863" s="27"/>
      <c r="D863" s="27"/>
      <c r="E863" s="27"/>
    </row>
    <row r="864">
      <c r="C864" s="27"/>
      <c r="D864" s="27"/>
      <c r="E864" s="27"/>
    </row>
    <row r="865">
      <c r="C865" s="27"/>
      <c r="D865" s="27"/>
      <c r="E865" s="27"/>
    </row>
    <row r="866">
      <c r="C866" s="27"/>
      <c r="D866" s="27"/>
      <c r="E866" s="27"/>
    </row>
    <row r="867">
      <c r="C867" s="27"/>
      <c r="D867" s="27"/>
      <c r="E867" s="27"/>
    </row>
    <row r="868">
      <c r="C868" s="27"/>
      <c r="D868" s="27"/>
      <c r="E868" s="27"/>
    </row>
    <row r="869">
      <c r="C869" s="27"/>
      <c r="D869" s="27"/>
      <c r="E869" s="27"/>
    </row>
    <row r="870">
      <c r="C870" s="27"/>
      <c r="D870" s="27"/>
      <c r="E870" s="27"/>
    </row>
    <row r="871">
      <c r="C871" s="27"/>
      <c r="D871" s="27"/>
      <c r="E871" s="27"/>
    </row>
    <row r="872">
      <c r="C872" s="27"/>
      <c r="D872" s="27"/>
      <c r="E872" s="27"/>
    </row>
    <row r="873">
      <c r="C873" s="27"/>
      <c r="D873" s="27"/>
      <c r="E873" s="27"/>
    </row>
    <row r="874">
      <c r="C874" s="27"/>
      <c r="D874" s="27"/>
      <c r="E874" s="27"/>
    </row>
    <row r="875">
      <c r="C875" s="27"/>
      <c r="D875" s="27"/>
      <c r="E875" s="27"/>
    </row>
    <row r="876">
      <c r="C876" s="27"/>
      <c r="D876" s="27"/>
      <c r="E876" s="27"/>
    </row>
    <row r="877">
      <c r="C877" s="27"/>
      <c r="D877" s="27"/>
      <c r="E877" s="27"/>
    </row>
    <row r="878">
      <c r="C878" s="27"/>
      <c r="D878" s="27"/>
      <c r="E878" s="27"/>
    </row>
    <row r="879">
      <c r="C879" s="27"/>
      <c r="D879" s="27"/>
      <c r="E879" s="27"/>
    </row>
    <row r="880">
      <c r="C880" s="27"/>
      <c r="D880" s="27"/>
      <c r="E880" s="27"/>
    </row>
    <row r="881">
      <c r="C881" s="27"/>
      <c r="D881" s="27"/>
      <c r="E881" s="27"/>
    </row>
    <row r="882">
      <c r="C882" s="27"/>
      <c r="D882" s="27"/>
      <c r="E882" s="27"/>
    </row>
    <row r="883">
      <c r="C883" s="27"/>
      <c r="D883" s="27"/>
      <c r="E883" s="27"/>
    </row>
    <row r="884">
      <c r="C884" s="27"/>
      <c r="D884" s="27"/>
      <c r="E884" s="27"/>
    </row>
    <row r="885">
      <c r="C885" s="27"/>
      <c r="D885" s="27"/>
      <c r="E885" s="27"/>
    </row>
    <row r="886">
      <c r="C886" s="27"/>
      <c r="D886" s="27"/>
      <c r="E886" s="27"/>
    </row>
    <row r="887">
      <c r="C887" s="27"/>
      <c r="D887" s="27"/>
      <c r="E887" s="27"/>
    </row>
    <row r="888">
      <c r="C888" s="27"/>
      <c r="D888" s="27"/>
      <c r="E888" s="27"/>
    </row>
    <row r="889">
      <c r="C889" s="27"/>
      <c r="D889" s="27"/>
      <c r="E889" s="27"/>
    </row>
    <row r="890">
      <c r="C890" s="27"/>
      <c r="D890" s="27"/>
      <c r="E890" s="27"/>
    </row>
    <row r="891">
      <c r="C891" s="27"/>
      <c r="D891" s="27"/>
      <c r="E891" s="27"/>
    </row>
    <row r="892">
      <c r="C892" s="27"/>
      <c r="D892" s="27"/>
      <c r="E892" s="27"/>
    </row>
    <row r="893">
      <c r="C893" s="27"/>
      <c r="D893" s="27"/>
      <c r="E893" s="27"/>
    </row>
    <row r="894">
      <c r="C894" s="27"/>
      <c r="D894" s="27"/>
      <c r="E894" s="27"/>
    </row>
    <row r="895">
      <c r="C895" s="27"/>
      <c r="D895" s="27"/>
      <c r="E895" s="27"/>
    </row>
    <row r="896">
      <c r="C896" s="27"/>
      <c r="D896" s="27"/>
      <c r="E896" s="27"/>
    </row>
    <row r="897">
      <c r="C897" s="27"/>
      <c r="D897" s="27"/>
      <c r="E897" s="27"/>
    </row>
    <row r="898">
      <c r="C898" s="27"/>
      <c r="D898" s="27"/>
      <c r="E898" s="27"/>
    </row>
    <row r="899">
      <c r="C899" s="27"/>
      <c r="D899" s="27"/>
      <c r="E899" s="27"/>
    </row>
    <row r="900">
      <c r="C900" s="27"/>
      <c r="D900" s="27"/>
      <c r="E900" s="27"/>
    </row>
    <row r="901">
      <c r="C901" s="27"/>
      <c r="D901" s="27"/>
      <c r="E901" s="27"/>
    </row>
    <row r="902">
      <c r="C902" s="27"/>
      <c r="D902" s="27"/>
      <c r="E902" s="27"/>
    </row>
    <row r="903">
      <c r="C903" s="27"/>
      <c r="D903" s="27"/>
      <c r="E903" s="27"/>
    </row>
    <row r="904">
      <c r="C904" s="27"/>
      <c r="D904" s="27"/>
      <c r="E904" s="27"/>
    </row>
    <row r="905">
      <c r="C905" s="27"/>
      <c r="D905" s="27"/>
      <c r="E905" s="27"/>
    </row>
    <row r="906">
      <c r="C906" s="27"/>
      <c r="D906" s="27"/>
      <c r="E906" s="27"/>
    </row>
    <row r="907">
      <c r="C907" s="27"/>
      <c r="D907" s="27"/>
      <c r="E907" s="27"/>
    </row>
    <row r="908">
      <c r="C908" s="27"/>
      <c r="D908" s="27"/>
      <c r="E908" s="27"/>
    </row>
    <row r="909">
      <c r="C909" s="27"/>
      <c r="D909" s="27"/>
      <c r="E909" s="27"/>
    </row>
    <row r="910">
      <c r="C910" s="27"/>
      <c r="D910" s="27"/>
      <c r="E910" s="27"/>
    </row>
    <row r="911">
      <c r="C911" s="27"/>
      <c r="D911" s="27"/>
      <c r="E911" s="27"/>
    </row>
    <row r="912">
      <c r="C912" s="27"/>
      <c r="D912" s="27"/>
      <c r="E912" s="27"/>
    </row>
    <row r="913">
      <c r="C913" s="27"/>
      <c r="D913" s="27"/>
      <c r="E913" s="27"/>
    </row>
    <row r="914">
      <c r="C914" s="27"/>
      <c r="D914" s="27"/>
      <c r="E914" s="27"/>
    </row>
    <row r="915">
      <c r="C915" s="27"/>
      <c r="D915" s="27"/>
      <c r="E915" s="27"/>
    </row>
    <row r="916">
      <c r="C916" s="27"/>
      <c r="D916" s="27"/>
      <c r="E916" s="27"/>
    </row>
    <row r="917">
      <c r="C917" s="27"/>
      <c r="D917" s="27"/>
      <c r="E917" s="27"/>
    </row>
    <row r="918">
      <c r="C918" s="27"/>
      <c r="D918" s="27"/>
      <c r="E918" s="27"/>
    </row>
    <row r="919">
      <c r="C919" s="27"/>
      <c r="D919" s="27"/>
      <c r="E919" s="27"/>
    </row>
    <row r="920">
      <c r="C920" s="27"/>
      <c r="D920" s="27"/>
      <c r="E920" s="27"/>
    </row>
    <row r="921">
      <c r="C921" s="27"/>
      <c r="D921" s="27"/>
      <c r="E921" s="27"/>
    </row>
    <row r="922">
      <c r="C922" s="27"/>
      <c r="D922" s="27"/>
      <c r="E922" s="27"/>
    </row>
    <row r="923">
      <c r="C923" s="27"/>
      <c r="D923" s="27"/>
      <c r="E923" s="27"/>
    </row>
    <row r="924">
      <c r="C924" s="27"/>
      <c r="D924" s="27"/>
      <c r="E924" s="27"/>
    </row>
    <row r="925">
      <c r="C925" s="27"/>
      <c r="D925" s="27"/>
      <c r="E925" s="27"/>
    </row>
    <row r="926">
      <c r="C926" s="27"/>
      <c r="D926" s="27"/>
      <c r="E926" s="27"/>
    </row>
    <row r="927">
      <c r="C927" s="27"/>
      <c r="D927" s="27"/>
      <c r="E927" s="27"/>
    </row>
    <row r="928">
      <c r="C928" s="27"/>
      <c r="D928" s="27"/>
      <c r="E928" s="27"/>
    </row>
    <row r="929">
      <c r="C929" s="27"/>
      <c r="D929" s="27"/>
      <c r="E929" s="27"/>
    </row>
    <row r="930">
      <c r="C930" s="27"/>
      <c r="D930" s="27"/>
      <c r="E930" s="27"/>
    </row>
    <row r="931">
      <c r="C931" s="27"/>
      <c r="D931" s="27"/>
      <c r="E931" s="27"/>
    </row>
    <row r="932">
      <c r="C932" s="27"/>
      <c r="D932" s="27"/>
      <c r="E932" s="27"/>
    </row>
    <row r="933">
      <c r="C933" s="27"/>
      <c r="D933" s="27"/>
      <c r="E933" s="27"/>
    </row>
    <row r="934">
      <c r="C934" s="27"/>
      <c r="D934" s="27"/>
      <c r="E934" s="27"/>
    </row>
    <row r="935">
      <c r="C935" s="27"/>
      <c r="D935" s="27"/>
      <c r="E935" s="27"/>
    </row>
    <row r="936">
      <c r="C936" s="27"/>
      <c r="D936" s="27"/>
      <c r="E936" s="27"/>
    </row>
    <row r="937">
      <c r="C937" s="27"/>
      <c r="D937" s="27"/>
      <c r="E937" s="27"/>
    </row>
    <row r="938">
      <c r="C938" s="27"/>
      <c r="D938" s="27"/>
      <c r="E938" s="27"/>
    </row>
    <row r="939">
      <c r="C939" s="27"/>
      <c r="D939" s="27"/>
      <c r="E939" s="27"/>
    </row>
    <row r="940">
      <c r="C940" s="27"/>
      <c r="D940" s="27"/>
      <c r="E940" s="27"/>
    </row>
    <row r="941">
      <c r="C941" s="27"/>
      <c r="D941" s="27"/>
      <c r="E941" s="27"/>
    </row>
    <row r="942">
      <c r="C942" s="27"/>
      <c r="D942" s="27"/>
      <c r="E942" s="27"/>
    </row>
    <row r="943">
      <c r="C943" s="27"/>
      <c r="D943" s="27"/>
      <c r="E943" s="27"/>
    </row>
    <row r="944">
      <c r="C944" s="27"/>
      <c r="D944" s="27"/>
      <c r="E944" s="27"/>
    </row>
    <row r="945">
      <c r="C945" s="27"/>
      <c r="D945" s="27"/>
      <c r="E945" s="27"/>
    </row>
    <row r="946">
      <c r="C946" s="27"/>
      <c r="D946" s="27"/>
      <c r="E946" s="27"/>
    </row>
    <row r="947">
      <c r="C947" s="27"/>
      <c r="D947" s="27"/>
      <c r="E947" s="27"/>
    </row>
    <row r="948">
      <c r="C948" s="27"/>
      <c r="D948" s="27"/>
      <c r="E948" s="27"/>
    </row>
    <row r="949">
      <c r="C949" s="27"/>
      <c r="D949" s="27"/>
      <c r="E949" s="27"/>
    </row>
    <row r="950">
      <c r="C950" s="27"/>
      <c r="D950" s="27"/>
      <c r="E950" s="27"/>
    </row>
    <row r="951">
      <c r="C951" s="27"/>
      <c r="D951" s="27"/>
      <c r="E951" s="27"/>
    </row>
    <row r="952">
      <c r="C952" s="27"/>
      <c r="D952" s="27"/>
      <c r="E952" s="27"/>
    </row>
    <row r="953">
      <c r="C953" s="27"/>
      <c r="D953" s="27"/>
      <c r="E953" s="27"/>
    </row>
    <row r="954">
      <c r="C954" s="27"/>
      <c r="D954" s="27"/>
      <c r="E954" s="27"/>
    </row>
    <row r="955">
      <c r="C955" s="27"/>
      <c r="D955" s="27"/>
      <c r="E955" s="27"/>
    </row>
    <row r="956">
      <c r="C956" s="27"/>
      <c r="D956" s="27"/>
      <c r="E956" s="27"/>
    </row>
    <row r="957">
      <c r="C957" s="27"/>
      <c r="D957" s="27"/>
      <c r="E957" s="27"/>
    </row>
    <row r="958">
      <c r="C958" s="27"/>
      <c r="D958" s="27"/>
      <c r="E958" s="27"/>
    </row>
    <row r="959">
      <c r="C959" s="27"/>
      <c r="D959" s="27"/>
      <c r="E959" s="27"/>
    </row>
    <row r="960">
      <c r="C960" s="27"/>
      <c r="D960" s="27"/>
      <c r="E960" s="27"/>
    </row>
    <row r="961">
      <c r="C961" s="27"/>
      <c r="D961" s="27"/>
      <c r="E961" s="27"/>
    </row>
    <row r="962">
      <c r="C962" s="27"/>
      <c r="D962" s="27"/>
      <c r="E962" s="27"/>
    </row>
    <row r="963">
      <c r="C963" s="27"/>
      <c r="D963" s="27"/>
      <c r="E963" s="27"/>
    </row>
    <row r="964">
      <c r="C964" s="27"/>
      <c r="D964" s="27"/>
      <c r="E964" s="27"/>
    </row>
    <row r="965">
      <c r="C965" s="27"/>
      <c r="D965" s="27"/>
      <c r="E965" s="27"/>
    </row>
    <row r="966">
      <c r="C966" s="27"/>
      <c r="D966" s="27"/>
      <c r="E966" s="27"/>
    </row>
    <row r="967">
      <c r="C967" s="27"/>
      <c r="D967" s="27"/>
      <c r="E967" s="27"/>
    </row>
    <row r="968">
      <c r="C968" s="27"/>
      <c r="D968" s="27"/>
      <c r="E968" s="27"/>
    </row>
    <row r="969">
      <c r="C969" s="27"/>
      <c r="D969" s="27"/>
      <c r="E969" s="27"/>
    </row>
    <row r="970">
      <c r="C970" s="27"/>
      <c r="D970" s="27"/>
      <c r="E970" s="27"/>
    </row>
    <row r="971">
      <c r="C971" s="27"/>
      <c r="D971" s="27"/>
      <c r="E971" s="27"/>
    </row>
    <row r="972">
      <c r="C972" s="27"/>
      <c r="D972" s="27"/>
      <c r="E972" s="27"/>
    </row>
    <row r="973">
      <c r="C973" s="27"/>
      <c r="D973" s="27"/>
      <c r="E973" s="27"/>
    </row>
    <row r="974">
      <c r="C974" s="27"/>
      <c r="D974" s="27"/>
      <c r="E974" s="27"/>
    </row>
    <row r="975">
      <c r="C975" s="27"/>
      <c r="D975" s="27"/>
      <c r="E975" s="27"/>
    </row>
    <row r="976">
      <c r="C976" s="27"/>
      <c r="D976" s="27"/>
      <c r="E976" s="27"/>
    </row>
    <row r="977">
      <c r="C977" s="27"/>
      <c r="D977" s="27"/>
      <c r="E977" s="27"/>
    </row>
    <row r="978">
      <c r="C978" s="27"/>
      <c r="D978" s="27"/>
      <c r="E978" s="27"/>
    </row>
    <row r="979">
      <c r="C979" s="27"/>
      <c r="D979" s="27"/>
      <c r="E979" s="27"/>
    </row>
    <row r="980">
      <c r="C980" s="27"/>
      <c r="D980" s="27"/>
      <c r="E980" s="27"/>
    </row>
    <row r="981">
      <c r="C981" s="27"/>
      <c r="D981" s="27"/>
      <c r="E981" s="27"/>
    </row>
    <row r="982">
      <c r="C982" s="27"/>
      <c r="D982" s="27"/>
      <c r="E982" s="27"/>
    </row>
    <row r="983">
      <c r="C983" s="27"/>
      <c r="D983" s="27"/>
      <c r="E983" s="27"/>
    </row>
    <row r="984">
      <c r="C984" s="27"/>
      <c r="D984" s="27"/>
      <c r="E984" s="27"/>
    </row>
    <row r="985">
      <c r="C985" s="27"/>
      <c r="D985" s="27"/>
      <c r="E985" s="27"/>
    </row>
    <row r="986">
      <c r="C986" s="27"/>
      <c r="D986" s="27"/>
      <c r="E986" s="27"/>
    </row>
    <row r="987">
      <c r="C987" s="27"/>
      <c r="D987" s="27"/>
      <c r="E987" s="27"/>
    </row>
    <row r="988">
      <c r="C988" s="27"/>
      <c r="D988" s="27"/>
      <c r="E988" s="27"/>
    </row>
    <row r="989">
      <c r="C989" s="27"/>
      <c r="D989" s="27"/>
      <c r="E989" s="27"/>
    </row>
    <row r="990">
      <c r="C990" s="27"/>
      <c r="D990" s="27"/>
      <c r="E990" s="27"/>
    </row>
    <row r="991">
      <c r="C991" s="27"/>
      <c r="D991" s="27"/>
      <c r="E991" s="27"/>
    </row>
    <row r="992">
      <c r="C992" s="27"/>
      <c r="D992" s="27"/>
      <c r="E992" s="27"/>
    </row>
    <row r="993">
      <c r="C993" s="27"/>
      <c r="D993" s="27"/>
      <c r="E993" s="27"/>
    </row>
    <row r="994">
      <c r="C994" s="27"/>
      <c r="D994" s="27"/>
      <c r="E994" s="27"/>
    </row>
    <row r="995">
      <c r="C995" s="27"/>
      <c r="D995" s="27"/>
      <c r="E995" s="27"/>
    </row>
    <row r="996">
      <c r="C996" s="27"/>
      <c r="D996" s="27"/>
      <c r="E996" s="27"/>
    </row>
    <row r="997">
      <c r="C997" s="27"/>
      <c r="D997" s="27"/>
      <c r="E997" s="27"/>
    </row>
    <row r="998">
      <c r="C998" s="27"/>
      <c r="D998" s="27"/>
      <c r="E998" s="27"/>
    </row>
    <row r="999">
      <c r="C999" s="27"/>
      <c r="D999" s="27"/>
      <c r="E999" s="27"/>
    </row>
    <row r="1000">
      <c r="C1000" s="27"/>
      <c r="D1000" s="27"/>
      <c r="E1000" s="27"/>
    </row>
    <row r="1001">
      <c r="C1001" s="27"/>
      <c r="D1001" s="27"/>
      <c r="E1001" s="27"/>
    </row>
  </sheetData>
  <conditionalFormatting sqref="I1:I1001">
    <cfRule type="cellIs" dxfId="6" priority="1" operator="lessThanOrEqual">
      <formula>"6:00:59 AM"</formula>
    </cfRule>
  </conditionalFormatting>
  <conditionalFormatting sqref="I1:I1001">
    <cfRule type="cellIs" dxfId="7" priority="2" operator="greaterThanOrEqual">
      <formula>"6:30:59 AM"</formula>
    </cfRule>
  </conditionalFormatting>
  <conditionalFormatting sqref="H1:H1001">
    <cfRule type="cellIs" dxfId="7" priority="3" operator="greaterThan">
      <formula>"5:30:00 AM"</formula>
    </cfRule>
  </conditionalFormatting>
  <conditionalFormatting sqref="G1:G1001">
    <cfRule type="cellIs" dxfId="7" priority="4" operator="greaterThan">
      <formula>"4:00 AM"</formula>
    </cfRule>
  </conditionalFormatting>
  <hyperlinks>
    <hyperlink r:id="rId2" ref="M29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12.14"/>
    <col customWidth="1" min="5" max="5" width="4.86"/>
  </cols>
  <sheetData>
    <row r="1">
      <c r="A1" s="55"/>
      <c r="B1" s="56" t="s">
        <v>117</v>
      </c>
      <c r="C1" s="57"/>
      <c r="D1" s="58"/>
      <c r="F1" s="56" t="s">
        <v>118</v>
      </c>
      <c r="G1" s="57"/>
      <c r="H1" s="57"/>
      <c r="I1" s="58"/>
      <c r="J1" s="59"/>
      <c r="K1" s="59"/>
      <c r="L1" s="59"/>
    </row>
    <row r="2">
      <c r="A2" s="60"/>
      <c r="B2" s="61" t="s">
        <v>119</v>
      </c>
      <c r="C2" s="61" t="s">
        <v>120</v>
      </c>
      <c r="D2" s="62" t="s">
        <v>121</v>
      </c>
      <c r="F2" s="60"/>
      <c r="G2" s="61" t="s">
        <v>119</v>
      </c>
      <c r="H2" s="61" t="s">
        <v>120</v>
      </c>
      <c r="I2" s="62" t="s">
        <v>121</v>
      </c>
      <c r="J2" s="59"/>
      <c r="K2" s="59"/>
      <c r="L2" s="59"/>
    </row>
    <row r="3">
      <c r="A3" s="63" t="s">
        <v>122</v>
      </c>
      <c r="B3" s="64">
        <v>19.0</v>
      </c>
      <c r="C3" s="64">
        <v>17.0</v>
      </c>
      <c r="D3" s="65">
        <f t="shared" ref="D3:D16" si="2">(C3-B3)/B3</f>
        <v>-0.1052631579</v>
      </c>
      <c r="F3" s="63" t="s">
        <v>122</v>
      </c>
      <c r="G3" s="66">
        <f t="shared" ref="G3:H3" si="1">B3/28</f>
        <v>0.6785714286</v>
      </c>
      <c r="H3" s="66">
        <f t="shared" si="1"/>
        <v>0.6071428571</v>
      </c>
      <c r="I3" s="65">
        <f t="shared" ref="I3:I16" si="4">(H3-G3)/G3</f>
        <v>-0.1052631579</v>
      </c>
      <c r="J3" s="59"/>
      <c r="K3" s="59"/>
      <c r="L3" s="59"/>
    </row>
    <row r="4">
      <c r="A4" s="63" t="s">
        <v>123</v>
      </c>
      <c r="B4" s="64">
        <v>19.0</v>
      </c>
      <c r="C4" s="64"/>
      <c r="D4" s="65">
        <f t="shared" si="2"/>
        <v>-1</v>
      </c>
      <c r="F4" s="63" t="s">
        <v>123</v>
      </c>
      <c r="G4" s="66">
        <f t="shared" ref="G4:H4" si="3">B4/28</f>
        <v>0.6785714286</v>
      </c>
      <c r="H4" s="66">
        <f t="shared" si="3"/>
        <v>0</v>
      </c>
      <c r="I4" s="65">
        <f t="shared" si="4"/>
        <v>-1</v>
      </c>
      <c r="J4" s="59"/>
      <c r="K4" s="59"/>
      <c r="L4" s="59"/>
    </row>
    <row r="5">
      <c r="A5" s="63" t="s">
        <v>124</v>
      </c>
      <c r="B5" s="64">
        <v>21.0</v>
      </c>
      <c r="C5" s="64"/>
      <c r="D5" s="65">
        <f t="shared" si="2"/>
        <v>-1</v>
      </c>
      <c r="F5" s="63" t="s">
        <v>124</v>
      </c>
      <c r="G5" s="66">
        <f t="shared" ref="G5:H5" si="5">B5/28</f>
        <v>0.75</v>
      </c>
      <c r="H5" s="66">
        <f t="shared" si="5"/>
        <v>0</v>
      </c>
      <c r="I5" s="65">
        <f t="shared" si="4"/>
        <v>-1</v>
      </c>
      <c r="J5" s="59"/>
      <c r="K5" s="59"/>
      <c r="L5" s="59"/>
    </row>
    <row r="6">
      <c r="A6" s="63" t="s">
        <v>125</v>
      </c>
      <c r="B6" s="64">
        <v>13.0</v>
      </c>
      <c r="C6" s="64"/>
      <c r="D6" s="65">
        <f t="shared" si="2"/>
        <v>-1</v>
      </c>
      <c r="F6" s="63" t="s">
        <v>125</v>
      </c>
      <c r="G6" s="66">
        <f t="shared" ref="G6:H6" si="6">B6/28</f>
        <v>0.4642857143</v>
      </c>
      <c r="H6" s="66">
        <f t="shared" si="6"/>
        <v>0</v>
      </c>
      <c r="I6" s="65">
        <f t="shared" si="4"/>
        <v>-1</v>
      </c>
      <c r="J6" s="59"/>
      <c r="K6" s="59"/>
      <c r="L6" s="59"/>
    </row>
    <row r="7">
      <c r="A7" s="63" t="s">
        <v>126</v>
      </c>
      <c r="B7" s="64">
        <v>26.0</v>
      </c>
      <c r="C7" s="64"/>
      <c r="D7" s="65">
        <f t="shared" si="2"/>
        <v>-1</v>
      </c>
      <c r="F7" s="63" t="s">
        <v>126</v>
      </c>
      <c r="G7" s="66">
        <f t="shared" ref="G7:H7" si="7">B7/28</f>
        <v>0.9285714286</v>
      </c>
      <c r="H7" s="66">
        <f t="shared" si="7"/>
        <v>0</v>
      </c>
      <c r="I7" s="65">
        <f t="shared" si="4"/>
        <v>-1</v>
      </c>
      <c r="J7" s="59"/>
      <c r="K7" s="59"/>
      <c r="L7" s="59"/>
    </row>
    <row r="8">
      <c r="A8" s="63" t="s">
        <v>127</v>
      </c>
      <c r="B8" s="64">
        <v>26.0</v>
      </c>
      <c r="C8" s="64"/>
      <c r="D8" s="65">
        <f t="shared" si="2"/>
        <v>-1</v>
      </c>
      <c r="F8" s="63" t="s">
        <v>127</v>
      </c>
      <c r="G8" s="66">
        <f t="shared" ref="G8:H8" si="8">B8/28</f>
        <v>0.9285714286</v>
      </c>
      <c r="H8" s="66">
        <f t="shared" si="8"/>
        <v>0</v>
      </c>
      <c r="I8" s="65">
        <f t="shared" si="4"/>
        <v>-1</v>
      </c>
      <c r="J8" s="59"/>
      <c r="K8" s="59"/>
      <c r="L8" s="59"/>
    </row>
    <row r="9">
      <c r="A9" s="63" t="s">
        <v>128</v>
      </c>
      <c r="B9" s="64">
        <v>25.0</v>
      </c>
      <c r="C9" s="64"/>
      <c r="D9" s="65">
        <f t="shared" si="2"/>
        <v>-1</v>
      </c>
      <c r="F9" s="63" t="s">
        <v>128</v>
      </c>
      <c r="G9" s="66">
        <f t="shared" ref="G9:H9" si="9">B9/28</f>
        <v>0.8928571429</v>
      </c>
      <c r="H9" s="66">
        <f t="shared" si="9"/>
        <v>0</v>
      </c>
      <c r="I9" s="65">
        <f t="shared" si="4"/>
        <v>-1</v>
      </c>
      <c r="J9" s="59"/>
      <c r="K9" s="59"/>
      <c r="L9" s="59"/>
    </row>
    <row r="10">
      <c r="A10" s="63" t="s">
        <v>129</v>
      </c>
      <c r="B10" s="64">
        <v>19.0</v>
      </c>
      <c r="C10" s="64"/>
      <c r="D10" s="65">
        <f t="shared" si="2"/>
        <v>-1</v>
      </c>
      <c r="F10" s="63" t="s">
        <v>129</v>
      </c>
      <c r="G10" s="66">
        <f t="shared" ref="G10:H10" si="10">B10/28</f>
        <v>0.6785714286</v>
      </c>
      <c r="H10" s="66">
        <f t="shared" si="10"/>
        <v>0</v>
      </c>
      <c r="I10" s="65">
        <f t="shared" si="4"/>
        <v>-1</v>
      </c>
      <c r="J10" s="59"/>
      <c r="K10" s="59"/>
      <c r="L10" s="59"/>
    </row>
    <row r="11">
      <c r="A11" s="63" t="s">
        <v>130</v>
      </c>
      <c r="B11" s="64">
        <v>4.0</v>
      </c>
      <c r="C11" s="64"/>
      <c r="D11" s="65">
        <f t="shared" si="2"/>
        <v>-1</v>
      </c>
      <c r="F11" s="63" t="s">
        <v>130</v>
      </c>
      <c r="G11" s="66">
        <f t="shared" ref="G11:H11" si="11">B11/28</f>
        <v>0.1428571429</v>
      </c>
      <c r="H11" s="66">
        <f t="shared" si="11"/>
        <v>0</v>
      </c>
      <c r="I11" s="65">
        <f t="shared" si="4"/>
        <v>-1</v>
      </c>
      <c r="J11" s="59"/>
      <c r="K11" s="59"/>
      <c r="L11" s="59"/>
    </row>
    <row r="12">
      <c r="A12" s="63" t="s">
        <v>131</v>
      </c>
      <c r="B12" s="64">
        <v>18.0</v>
      </c>
      <c r="C12" s="64"/>
      <c r="D12" s="65">
        <f t="shared" si="2"/>
        <v>-1</v>
      </c>
      <c r="F12" s="63" t="s">
        <v>131</v>
      </c>
      <c r="G12" s="66">
        <f t="shared" ref="G12:H12" si="12">B12/28</f>
        <v>0.6428571429</v>
      </c>
      <c r="H12" s="66">
        <f t="shared" si="12"/>
        <v>0</v>
      </c>
      <c r="I12" s="65">
        <f t="shared" si="4"/>
        <v>-1</v>
      </c>
      <c r="J12" s="59"/>
      <c r="K12" s="59"/>
      <c r="L12" s="59"/>
    </row>
    <row r="13">
      <c r="A13" s="63" t="s">
        <v>132</v>
      </c>
      <c r="B13" s="64">
        <v>20.0</v>
      </c>
      <c r="C13" s="64"/>
      <c r="D13" s="65">
        <f t="shared" si="2"/>
        <v>-1</v>
      </c>
      <c r="F13" s="63" t="s">
        <v>132</v>
      </c>
      <c r="G13" s="66">
        <f t="shared" ref="G13:H13" si="13">B13/28</f>
        <v>0.7142857143</v>
      </c>
      <c r="H13" s="66">
        <f t="shared" si="13"/>
        <v>0</v>
      </c>
      <c r="I13" s="65">
        <f t="shared" si="4"/>
        <v>-1</v>
      </c>
      <c r="J13" s="59"/>
      <c r="K13" s="59"/>
      <c r="L13" s="59"/>
    </row>
    <row r="14">
      <c r="A14" s="63" t="s">
        <v>133</v>
      </c>
      <c r="B14" s="64">
        <v>21.0</v>
      </c>
      <c r="C14" s="64"/>
      <c r="D14" s="65">
        <f t="shared" si="2"/>
        <v>-1</v>
      </c>
      <c r="F14" s="63" t="s">
        <v>133</v>
      </c>
      <c r="G14" s="66">
        <f t="shared" ref="G14:H14" si="14">B14/28</f>
        <v>0.75</v>
      </c>
      <c r="H14" s="66">
        <f t="shared" si="14"/>
        <v>0</v>
      </c>
      <c r="I14" s="65">
        <f t="shared" si="4"/>
        <v>-1</v>
      </c>
      <c r="J14" s="59"/>
      <c r="K14" s="59"/>
      <c r="L14" s="59"/>
    </row>
    <row r="15">
      <c r="A15" s="63" t="s">
        <v>134</v>
      </c>
      <c r="B15" s="64">
        <v>21.0</v>
      </c>
      <c r="C15" s="67"/>
      <c r="D15" s="65">
        <f t="shared" si="2"/>
        <v>-1</v>
      </c>
      <c r="F15" s="63" t="s">
        <v>134</v>
      </c>
      <c r="G15" s="66">
        <f t="shared" ref="G15:H15" si="15">B15/28</f>
        <v>0.75</v>
      </c>
      <c r="H15" s="66">
        <f t="shared" si="15"/>
        <v>0</v>
      </c>
      <c r="I15" s="65">
        <f t="shared" si="4"/>
        <v>-1</v>
      </c>
      <c r="J15" s="59"/>
      <c r="K15" s="59"/>
      <c r="L15" s="59"/>
    </row>
    <row r="16">
      <c r="A16" s="63" t="s">
        <v>135</v>
      </c>
      <c r="B16" s="64">
        <f t="shared" ref="B16:C16" si="16">SUM(B3:B15)</f>
        <v>252</v>
      </c>
      <c r="C16" s="64">
        <f t="shared" si="16"/>
        <v>17</v>
      </c>
      <c r="D16" s="65">
        <f t="shared" si="2"/>
        <v>-0.9325396825</v>
      </c>
      <c r="E16" s="59"/>
      <c r="F16" s="63" t="s">
        <v>135</v>
      </c>
      <c r="G16" s="66">
        <f t="shared" ref="G16:H16" si="17">B16/364</f>
        <v>0.6923076923</v>
      </c>
      <c r="H16" s="66">
        <f t="shared" si="17"/>
        <v>0.0467032967</v>
      </c>
      <c r="I16" s="65">
        <f t="shared" si="4"/>
        <v>-0.9325396825</v>
      </c>
      <c r="J16" s="59"/>
      <c r="K16" s="59"/>
      <c r="L16" s="59"/>
    </row>
    <row r="17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</row>
    <row r="1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</row>
    <row r="1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</row>
    <row r="20">
      <c r="A20" s="55"/>
      <c r="B20" s="56" t="s">
        <v>117</v>
      </c>
      <c r="C20" s="57"/>
      <c r="D20" s="58"/>
      <c r="F20" s="56" t="s">
        <v>118</v>
      </c>
      <c r="G20" s="57"/>
      <c r="H20" s="57"/>
      <c r="I20" s="58"/>
    </row>
    <row r="21">
      <c r="A21" s="60"/>
      <c r="B21" s="61" t="s">
        <v>136</v>
      </c>
      <c r="C21" s="61" t="s">
        <v>119</v>
      </c>
      <c r="D21" s="62" t="s">
        <v>121</v>
      </c>
      <c r="F21" s="60"/>
      <c r="G21" s="61" t="s">
        <v>136</v>
      </c>
      <c r="H21" s="61" t="s">
        <v>119</v>
      </c>
      <c r="I21" s="62" t="s">
        <v>121</v>
      </c>
    </row>
    <row r="22">
      <c r="A22" s="63" t="s">
        <v>122</v>
      </c>
      <c r="B22" s="64">
        <v>17.0</v>
      </c>
      <c r="C22" s="64">
        <v>19.0</v>
      </c>
      <c r="D22" s="65">
        <f t="shared" ref="D22:D35" si="19">(C22-B22)/B22</f>
        <v>0.1176470588</v>
      </c>
      <c r="F22" s="63" t="s">
        <v>122</v>
      </c>
      <c r="G22" s="66">
        <f t="shared" ref="G22:H22" si="18">B22/28</f>
        <v>0.6071428571</v>
      </c>
      <c r="H22" s="66">
        <f t="shared" si="18"/>
        <v>0.6785714286</v>
      </c>
      <c r="I22" s="65">
        <f t="shared" ref="I22:I35" si="21">(H22-G22)/G22</f>
        <v>0.1176470588</v>
      </c>
    </row>
    <row r="23">
      <c r="A23" s="63" t="s">
        <v>123</v>
      </c>
      <c r="B23" s="64">
        <v>13.0</v>
      </c>
      <c r="C23" s="64">
        <v>19.0</v>
      </c>
      <c r="D23" s="65">
        <f t="shared" si="19"/>
        <v>0.4615384615</v>
      </c>
      <c r="F23" s="63" t="s">
        <v>123</v>
      </c>
      <c r="G23" s="66">
        <f t="shared" ref="G23:H23" si="20">B23/28</f>
        <v>0.4642857143</v>
      </c>
      <c r="H23" s="66">
        <f t="shared" si="20"/>
        <v>0.6785714286</v>
      </c>
      <c r="I23" s="65">
        <f t="shared" si="21"/>
        <v>0.4615384615</v>
      </c>
    </row>
    <row r="24">
      <c r="A24" s="63" t="s">
        <v>124</v>
      </c>
      <c r="B24" s="68">
        <v>3.0</v>
      </c>
      <c r="C24" s="64">
        <v>21.0</v>
      </c>
      <c r="D24" s="65">
        <f t="shared" si="19"/>
        <v>6</v>
      </c>
      <c r="F24" s="63" t="s">
        <v>124</v>
      </c>
      <c r="G24" s="66">
        <f t="shared" ref="G24:H24" si="22">B24/28</f>
        <v>0.1071428571</v>
      </c>
      <c r="H24" s="66">
        <f t="shared" si="22"/>
        <v>0.75</v>
      </c>
      <c r="I24" s="65">
        <f t="shared" si="21"/>
        <v>6</v>
      </c>
    </row>
    <row r="25">
      <c r="A25" s="63" t="s">
        <v>125</v>
      </c>
      <c r="B25" s="64">
        <v>5.0</v>
      </c>
      <c r="C25" s="64">
        <v>13.0</v>
      </c>
      <c r="D25" s="65">
        <f t="shared" si="19"/>
        <v>1.6</v>
      </c>
      <c r="F25" s="63" t="s">
        <v>125</v>
      </c>
      <c r="G25" s="66">
        <f t="shared" ref="G25:H25" si="23">B25/28</f>
        <v>0.1785714286</v>
      </c>
      <c r="H25" s="66">
        <f t="shared" si="23"/>
        <v>0.4642857143</v>
      </c>
      <c r="I25" s="65">
        <f t="shared" si="21"/>
        <v>1.6</v>
      </c>
    </row>
    <row r="26">
      <c r="A26" s="63" t="s">
        <v>126</v>
      </c>
      <c r="B26" s="64">
        <v>9.0</v>
      </c>
      <c r="C26" s="64">
        <v>26.0</v>
      </c>
      <c r="D26" s="65">
        <f t="shared" si="19"/>
        <v>1.888888889</v>
      </c>
      <c r="F26" s="63" t="s">
        <v>126</v>
      </c>
      <c r="G26" s="66">
        <f t="shared" ref="G26:H26" si="24">B26/28</f>
        <v>0.3214285714</v>
      </c>
      <c r="H26" s="66">
        <f t="shared" si="24"/>
        <v>0.9285714286</v>
      </c>
      <c r="I26" s="65">
        <f t="shared" si="21"/>
        <v>1.888888889</v>
      </c>
    </row>
    <row r="27">
      <c r="A27" s="63" t="s">
        <v>127</v>
      </c>
      <c r="B27" s="64">
        <v>18.0</v>
      </c>
      <c r="C27" s="64">
        <v>26.0</v>
      </c>
      <c r="D27" s="65">
        <f t="shared" si="19"/>
        <v>0.4444444444</v>
      </c>
      <c r="F27" s="63" t="s">
        <v>127</v>
      </c>
      <c r="G27" s="66">
        <f t="shared" ref="G27:H27" si="25">B27/28</f>
        <v>0.6428571429</v>
      </c>
      <c r="H27" s="66">
        <f t="shared" si="25"/>
        <v>0.9285714286</v>
      </c>
      <c r="I27" s="65">
        <f t="shared" si="21"/>
        <v>0.4444444444</v>
      </c>
    </row>
    <row r="28">
      <c r="A28" s="63" t="s">
        <v>128</v>
      </c>
      <c r="B28" s="64">
        <v>20.0</v>
      </c>
      <c r="C28" s="64">
        <v>25.0</v>
      </c>
      <c r="D28" s="65">
        <f t="shared" si="19"/>
        <v>0.25</v>
      </c>
      <c r="F28" s="63" t="s">
        <v>128</v>
      </c>
      <c r="G28" s="66">
        <f t="shared" ref="G28:H28" si="26">B28/28</f>
        <v>0.7142857143</v>
      </c>
      <c r="H28" s="66">
        <f t="shared" si="26"/>
        <v>0.8928571429</v>
      </c>
      <c r="I28" s="65">
        <f t="shared" si="21"/>
        <v>0.25</v>
      </c>
    </row>
    <row r="29">
      <c r="A29" s="63" t="s">
        <v>129</v>
      </c>
      <c r="B29" s="64">
        <v>25.0</v>
      </c>
      <c r="C29" s="64">
        <v>19.0</v>
      </c>
      <c r="D29" s="65">
        <f t="shared" si="19"/>
        <v>-0.24</v>
      </c>
      <c r="F29" s="63" t="s">
        <v>129</v>
      </c>
      <c r="G29" s="66">
        <f t="shared" ref="G29:H29" si="27">B29/28</f>
        <v>0.8928571429</v>
      </c>
      <c r="H29" s="66">
        <f t="shared" si="27"/>
        <v>0.6785714286</v>
      </c>
      <c r="I29" s="65">
        <f t="shared" si="21"/>
        <v>-0.24</v>
      </c>
    </row>
    <row r="30">
      <c r="A30" s="63" t="s">
        <v>130</v>
      </c>
      <c r="B30" s="64">
        <v>20.0</v>
      </c>
      <c r="C30" s="64">
        <v>4.0</v>
      </c>
      <c r="D30" s="65">
        <f t="shared" si="19"/>
        <v>-0.8</v>
      </c>
      <c r="F30" s="63" t="s">
        <v>130</v>
      </c>
      <c r="G30" s="66">
        <f t="shared" ref="G30:H30" si="28">B30/28</f>
        <v>0.7142857143</v>
      </c>
      <c r="H30" s="66">
        <f t="shared" si="28"/>
        <v>0.1428571429</v>
      </c>
      <c r="I30" s="65">
        <f t="shared" si="21"/>
        <v>-0.8</v>
      </c>
    </row>
    <row r="31">
      <c r="A31" s="63" t="s">
        <v>131</v>
      </c>
      <c r="B31" s="64">
        <v>21.0</v>
      </c>
      <c r="C31" s="64">
        <v>18.0</v>
      </c>
      <c r="D31" s="65">
        <f t="shared" si="19"/>
        <v>-0.1428571429</v>
      </c>
      <c r="F31" s="63" t="s">
        <v>131</v>
      </c>
      <c r="G31" s="66">
        <f t="shared" ref="G31:H31" si="29">B31/28</f>
        <v>0.75</v>
      </c>
      <c r="H31" s="66">
        <f t="shared" si="29"/>
        <v>0.6428571429</v>
      </c>
      <c r="I31" s="65">
        <f t="shared" si="21"/>
        <v>-0.1428571429</v>
      </c>
    </row>
    <row r="32">
      <c r="A32" s="63" t="s">
        <v>132</v>
      </c>
      <c r="B32" s="64">
        <v>19.0</v>
      </c>
      <c r="C32" s="64">
        <v>20.0</v>
      </c>
      <c r="D32" s="65">
        <f t="shared" si="19"/>
        <v>0.05263157895</v>
      </c>
      <c r="F32" s="63" t="s">
        <v>132</v>
      </c>
      <c r="G32" s="66">
        <f t="shared" ref="G32:H32" si="30">B32/28</f>
        <v>0.6785714286</v>
      </c>
      <c r="H32" s="66">
        <f t="shared" si="30"/>
        <v>0.7142857143</v>
      </c>
      <c r="I32" s="65">
        <f t="shared" si="21"/>
        <v>0.05263157895</v>
      </c>
    </row>
    <row r="33">
      <c r="A33" s="63" t="s">
        <v>133</v>
      </c>
      <c r="B33" s="64">
        <v>20.0</v>
      </c>
      <c r="C33" s="64">
        <v>21.0</v>
      </c>
      <c r="D33" s="65">
        <f t="shared" si="19"/>
        <v>0.05</v>
      </c>
      <c r="F33" s="63" t="s">
        <v>133</v>
      </c>
      <c r="G33" s="66">
        <f t="shared" ref="G33:H33" si="31">B33/28</f>
        <v>0.7142857143</v>
      </c>
      <c r="H33" s="66">
        <f t="shared" si="31"/>
        <v>0.75</v>
      </c>
      <c r="I33" s="65">
        <f t="shared" si="21"/>
        <v>0.05</v>
      </c>
    </row>
    <row r="34">
      <c r="A34" s="63" t="s">
        <v>134</v>
      </c>
      <c r="B34" s="64">
        <v>19.0</v>
      </c>
      <c r="C34" s="64">
        <v>21.0</v>
      </c>
      <c r="D34" s="65">
        <f t="shared" si="19"/>
        <v>0.1052631579</v>
      </c>
      <c r="F34" s="63" t="s">
        <v>134</v>
      </c>
      <c r="G34" s="66">
        <f t="shared" ref="G34:H34" si="32">B34/28</f>
        <v>0.6785714286</v>
      </c>
      <c r="H34" s="66">
        <f t="shared" si="32"/>
        <v>0.75</v>
      </c>
      <c r="I34" s="65">
        <f t="shared" si="21"/>
        <v>0.1052631579</v>
      </c>
    </row>
    <row r="35">
      <c r="A35" s="63" t="s">
        <v>135</v>
      </c>
      <c r="B35" s="64">
        <f t="shared" ref="B35:C35" si="33">SUM(B22:B34)</f>
        <v>209</v>
      </c>
      <c r="C35" s="64">
        <f t="shared" si="33"/>
        <v>252</v>
      </c>
      <c r="D35" s="65">
        <f t="shared" si="19"/>
        <v>0.2057416268</v>
      </c>
      <c r="E35" s="59"/>
      <c r="F35" s="63" t="s">
        <v>135</v>
      </c>
      <c r="G35" s="66">
        <f t="shared" ref="G35:H35" si="34">B35/364</f>
        <v>0.5741758242</v>
      </c>
      <c r="H35" s="66">
        <f t="shared" si="34"/>
        <v>0.6923076923</v>
      </c>
      <c r="I35" s="65">
        <f t="shared" si="21"/>
        <v>0.2057416268</v>
      </c>
    </row>
    <row r="36">
      <c r="A36" s="59"/>
      <c r="B36" s="59"/>
      <c r="C36" s="59"/>
      <c r="D36" s="59"/>
      <c r="E36" s="59"/>
      <c r="F36" s="59"/>
      <c r="G36" s="59"/>
      <c r="H36" s="59"/>
      <c r="I36" s="59"/>
    </row>
    <row r="37">
      <c r="A37" s="59"/>
      <c r="B37" s="59"/>
      <c r="C37" s="59"/>
      <c r="D37" s="59"/>
      <c r="E37" s="59"/>
      <c r="F37" s="59"/>
      <c r="G37" s="59"/>
      <c r="H37" s="59"/>
      <c r="I37" s="59"/>
    </row>
    <row r="38">
      <c r="A38" s="59"/>
      <c r="B38" s="59"/>
      <c r="C38" s="59"/>
      <c r="D38" s="59"/>
      <c r="E38" s="59"/>
      <c r="F38" s="59"/>
      <c r="G38" s="59"/>
      <c r="H38" s="59"/>
      <c r="I38" s="59"/>
    </row>
    <row r="39">
      <c r="A39" s="55"/>
      <c r="B39" s="56" t="s">
        <v>117</v>
      </c>
      <c r="C39" s="57"/>
      <c r="D39" s="58"/>
      <c r="F39" s="56" t="s">
        <v>118</v>
      </c>
      <c r="G39" s="57"/>
      <c r="H39" s="57"/>
      <c r="I39" s="58"/>
    </row>
    <row r="40">
      <c r="A40" s="60"/>
      <c r="B40" s="61" t="s">
        <v>137</v>
      </c>
      <c r="C40" s="61" t="s">
        <v>136</v>
      </c>
      <c r="D40" s="62" t="s">
        <v>121</v>
      </c>
      <c r="F40" s="60"/>
      <c r="G40" s="61" t="s">
        <v>137</v>
      </c>
      <c r="H40" s="61" t="s">
        <v>136</v>
      </c>
      <c r="I40" s="62" t="s">
        <v>121</v>
      </c>
    </row>
    <row r="41">
      <c r="A41" s="63" t="s">
        <v>122</v>
      </c>
      <c r="B41" s="64">
        <v>19.0</v>
      </c>
      <c r="C41" s="64">
        <v>17.0</v>
      </c>
      <c r="D41" s="65">
        <f t="shared" ref="D41:D54" si="36">(C41-B41)/B41</f>
        <v>-0.1052631579</v>
      </c>
      <c r="F41" s="63" t="s">
        <v>122</v>
      </c>
      <c r="G41" s="66">
        <f t="shared" ref="G41:H41" si="35">B41/28</f>
        <v>0.6785714286</v>
      </c>
      <c r="H41" s="66">
        <f t="shared" si="35"/>
        <v>0.6071428571</v>
      </c>
      <c r="I41" s="65">
        <f t="shared" ref="I41:I54" si="38">(H41-G41)/G41</f>
        <v>-0.1052631579</v>
      </c>
    </row>
    <row r="42">
      <c r="A42" s="63" t="s">
        <v>123</v>
      </c>
      <c r="B42" s="64">
        <v>23.0</v>
      </c>
      <c r="C42" s="64">
        <v>13.0</v>
      </c>
      <c r="D42" s="65">
        <f t="shared" si="36"/>
        <v>-0.4347826087</v>
      </c>
      <c r="F42" s="63" t="s">
        <v>123</v>
      </c>
      <c r="G42" s="66">
        <f t="shared" ref="G42:H42" si="37">B42/28</f>
        <v>0.8214285714</v>
      </c>
      <c r="H42" s="66">
        <f t="shared" si="37"/>
        <v>0.4642857143</v>
      </c>
      <c r="I42" s="65">
        <f t="shared" si="38"/>
        <v>-0.4347826087</v>
      </c>
    </row>
    <row r="43">
      <c r="A43" s="63" t="s">
        <v>124</v>
      </c>
      <c r="B43" s="64">
        <v>19.0</v>
      </c>
      <c r="C43" s="68">
        <f>'FY19 Overview'!B32</f>
        <v>14</v>
      </c>
      <c r="D43" s="65">
        <f t="shared" si="36"/>
        <v>-0.2631578947</v>
      </c>
      <c r="F43" s="63" t="s">
        <v>124</v>
      </c>
      <c r="G43" s="66">
        <f t="shared" ref="G43:H43" si="39">B43/28</f>
        <v>0.6785714286</v>
      </c>
      <c r="H43" s="66">
        <f t="shared" si="39"/>
        <v>0.5</v>
      </c>
      <c r="I43" s="65">
        <f t="shared" si="38"/>
        <v>-0.2631578947</v>
      </c>
    </row>
    <row r="44">
      <c r="A44" s="63" t="s">
        <v>125</v>
      </c>
      <c r="B44" s="64">
        <v>20.0</v>
      </c>
      <c r="C44" s="64">
        <v>5.0</v>
      </c>
      <c r="D44" s="65">
        <f t="shared" si="36"/>
        <v>-0.75</v>
      </c>
      <c r="F44" s="63" t="s">
        <v>125</v>
      </c>
      <c r="G44" s="66">
        <f t="shared" ref="G44:H44" si="40">B44/28</f>
        <v>0.7142857143</v>
      </c>
      <c r="H44" s="66">
        <f t="shared" si="40"/>
        <v>0.1785714286</v>
      </c>
      <c r="I44" s="65">
        <f t="shared" si="38"/>
        <v>-0.75</v>
      </c>
      <c r="Q44">
        <f>28*13</f>
        <v>364</v>
      </c>
    </row>
    <row r="45">
      <c r="A45" s="63" t="s">
        <v>126</v>
      </c>
      <c r="B45" s="64">
        <v>20.0</v>
      </c>
      <c r="C45" s="64">
        <v>9.0</v>
      </c>
      <c r="D45" s="65">
        <f t="shared" si="36"/>
        <v>-0.55</v>
      </c>
      <c r="F45" s="63" t="s">
        <v>126</v>
      </c>
      <c r="G45" s="66">
        <f t="shared" ref="G45:H45" si="41">B45/28</f>
        <v>0.7142857143</v>
      </c>
      <c r="H45" s="66">
        <f t="shared" si="41"/>
        <v>0.3214285714</v>
      </c>
      <c r="I45" s="65">
        <f t="shared" si="38"/>
        <v>-0.55</v>
      </c>
    </row>
    <row r="46">
      <c r="A46" s="63" t="s">
        <v>127</v>
      </c>
      <c r="B46" s="64">
        <v>27.0</v>
      </c>
      <c r="C46" s="64">
        <v>18.0</v>
      </c>
      <c r="D46" s="65">
        <f t="shared" si="36"/>
        <v>-0.3333333333</v>
      </c>
      <c r="F46" s="63" t="s">
        <v>127</v>
      </c>
      <c r="G46" s="66">
        <f t="shared" ref="G46:H46" si="42">B46/28</f>
        <v>0.9642857143</v>
      </c>
      <c r="H46" s="66">
        <f t="shared" si="42"/>
        <v>0.6428571429</v>
      </c>
      <c r="I46" s="65">
        <f t="shared" si="38"/>
        <v>-0.3333333333</v>
      </c>
    </row>
    <row r="47">
      <c r="A47" s="63" t="s">
        <v>128</v>
      </c>
      <c r="B47" s="64">
        <v>27.0</v>
      </c>
      <c r="C47" s="64">
        <v>20.0</v>
      </c>
      <c r="D47" s="65">
        <f t="shared" si="36"/>
        <v>-0.2592592593</v>
      </c>
      <c r="F47" s="63" t="s">
        <v>128</v>
      </c>
      <c r="G47" s="66">
        <f t="shared" ref="G47:H47" si="43">B47/28</f>
        <v>0.9642857143</v>
      </c>
      <c r="H47" s="66">
        <f t="shared" si="43"/>
        <v>0.7142857143</v>
      </c>
      <c r="I47" s="65">
        <f t="shared" si="38"/>
        <v>-0.2592592593</v>
      </c>
    </row>
    <row r="48">
      <c r="A48" s="63" t="s">
        <v>129</v>
      </c>
      <c r="B48" s="64">
        <v>25.0</v>
      </c>
      <c r="C48" s="64">
        <v>25.0</v>
      </c>
      <c r="D48" s="65">
        <f t="shared" si="36"/>
        <v>0</v>
      </c>
      <c r="F48" s="63" t="s">
        <v>129</v>
      </c>
      <c r="G48" s="66">
        <f t="shared" ref="G48:H48" si="44">B48/28</f>
        <v>0.8928571429</v>
      </c>
      <c r="H48" s="66">
        <f t="shared" si="44"/>
        <v>0.8928571429</v>
      </c>
      <c r="I48" s="65">
        <f t="shared" si="38"/>
        <v>0</v>
      </c>
    </row>
    <row r="49">
      <c r="A49" s="63" t="s">
        <v>130</v>
      </c>
      <c r="B49" s="64">
        <v>24.0</v>
      </c>
      <c r="C49" s="64">
        <v>20.0</v>
      </c>
      <c r="D49" s="65">
        <f t="shared" si="36"/>
        <v>-0.1666666667</v>
      </c>
      <c r="F49" s="63" t="s">
        <v>130</v>
      </c>
      <c r="G49" s="66">
        <f t="shared" ref="G49:H49" si="45">B49/28</f>
        <v>0.8571428571</v>
      </c>
      <c r="H49" s="66">
        <f t="shared" si="45"/>
        <v>0.7142857143</v>
      </c>
      <c r="I49" s="65">
        <f t="shared" si="38"/>
        <v>-0.1666666667</v>
      </c>
    </row>
    <row r="50">
      <c r="A50" s="63" t="s">
        <v>131</v>
      </c>
      <c r="B50" s="64">
        <v>19.0</v>
      </c>
      <c r="C50" s="64">
        <v>21.0</v>
      </c>
      <c r="D50" s="65">
        <f t="shared" si="36"/>
        <v>0.1052631579</v>
      </c>
      <c r="F50" s="63" t="s">
        <v>131</v>
      </c>
      <c r="G50" s="66">
        <f t="shared" ref="G50:H50" si="46">B50/28</f>
        <v>0.6785714286</v>
      </c>
      <c r="H50" s="66">
        <f t="shared" si="46"/>
        <v>0.75</v>
      </c>
      <c r="I50" s="65">
        <f t="shared" si="38"/>
        <v>0.1052631579</v>
      </c>
    </row>
    <row r="51">
      <c r="A51" s="63" t="s">
        <v>132</v>
      </c>
      <c r="B51" s="64">
        <v>13.0</v>
      </c>
      <c r="C51" s="64">
        <v>19.0</v>
      </c>
      <c r="D51" s="65">
        <f t="shared" si="36"/>
        <v>0.4615384615</v>
      </c>
      <c r="F51" s="63" t="s">
        <v>132</v>
      </c>
      <c r="G51" s="66">
        <f t="shared" ref="G51:H51" si="47">B51/28</f>
        <v>0.4642857143</v>
      </c>
      <c r="H51" s="66">
        <f t="shared" si="47"/>
        <v>0.6785714286</v>
      </c>
      <c r="I51" s="65">
        <f t="shared" si="38"/>
        <v>0.4615384615</v>
      </c>
    </row>
    <row r="52">
      <c r="A52" s="63" t="s">
        <v>133</v>
      </c>
      <c r="B52" s="64">
        <v>15.0</v>
      </c>
      <c r="C52" s="64">
        <v>20.0</v>
      </c>
      <c r="D52" s="65">
        <f t="shared" si="36"/>
        <v>0.3333333333</v>
      </c>
      <c r="F52" s="63" t="s">
        <v>133</v>
      </c>
      <c r="G52" s="66">
        <f t="shared" ref="G52:H52" si="48">B52/28</f>
        <v>0.5357142857</v>
      </c>
      <c r="H52" s="66">
        <f t="shared" si="48"/>
        <v>0.7142857143</v>
      </c>
      <c r="I52" s="65">
        <f t="shared" si="38"/>
        <v>0.3333333333</v>
      </c>
    </row>
    <row r="53">
      <c r="A53" s="63" t="s">
        <v>134</v>
      </c>
      <c r="B53" s="64">
        <v>14.0</v>
      </c>
      <c r="C53" s="64">
        <v>19.0</v>
      </c>
      <c r="D53" s="65">
        <f t="shared" si="36"/>
        <v>0.3571428571</v>
      </c>
      <c r="F53" s="63" t="s">
        <v>134</v>
      </c>
      <c r="G53" s="66">
        <f t="shared" ref="G53:H53" si="49">B53/28</f>
        <v>0.5</v>
      </c>
      <c r="H53" s="66">
        <f t="shared" si="49"/>
        <v>0.6785714286</v>
      </c>
      <c r="I53" s="65">
        <f t="shared" si="38"/>
        <v>0.3571428571</v>
      </c>
    </row>
    <row r="54">
      <c r="A54" s="63" t="s">
        <v>135</v>
      </c>
      <c r="B54" s="64">
        <f t="shared" ref="B54:C54" si="50">SUM(B41:B53)</f>
        <v>265</v>
      </c>
      <c r="C54" s="64">
        <f t="shared" si="50"/>
        <v>220</v>
      </c>
      <c r="D54" s="65">
        <f t="shared" si="36"/>
        <v>-0.1698113208</v>
      </c>
      <c r="F54" s="63" t="s">
        <v>135</v>
      </c>
      <c r="G54" s="66">
        <f t="shared" ref="G54:H54" si="51">B54/364</f>
        <v>0.728021978</v>
      </c>
      <c r="H54" s="66">
        <f t="shared" si="51"/>
        <v>0.6043956044</v>
      </c>
      <c r="I54" s="65">
        <f t="shared" si="38"/>
        <v>-0.1698113208</v>
      </c>
    </row>
    <row r="56">
      <c r="D56" s="65"/>
    </row>
  </sheetData>
  <mergeCells count="6">
    <mergeCell ref="B1:D1"/>
    <mergeCell ref="F1:I1"/>
    <mergeCell ref="B20:D20"/>
    <mergeCell ref="F20:I20"/>
    <mergeCell ref="B39:D39"/>
    <mergeCell ref="F39:I3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71"/>
    <col customWidth="1" min="3" max="3" width="17.29"/>
    <col customWidth="1" min="4" max="4" width="3.14"/>
    <col customWidth="1" min="5" max="5" width="45.29"/>
    <col customWidth="1" min="6" max="6" width="19.43"/>
    <col customWidth="1" min="7" max="8" width="10.71"/>
    <col customWidth="1" min="9" max="9" width="14.57"/>
    <col customWidth="1" min="10" max="10" width="11.14"/>
    <col customWidth="1" min="11" max="11" width="58.14"/>
  </cols>
  <sheetData>
    <row r="1">
      <c r="A1" s="1" t="s">
        <v>53</v>
      </c>
      <c r="B1" s="2"/>
      <c r="C1" s="3"/>
      <c r="G1" s="25"/>
      <c r="I1" s="26">
        <f>counta(FY18_DATA!$F$2:$F982)</f>
        <v>361</v>
      </c>
      <c r="K1" s="23"/>
    </row>
    <row r="2">
      <c r="A2" s="6" t="s">
        <v>7</v>
      </c>
      <c r="B2" s="3"/>
      <c r="C2" s="7">
        <f>counta(FY20_DATA!$I$2:$I982)</f>
        <v>364</v>
      </c>
      <c r="G2" s="29"/>
      <c r="I2" s="26">
        <f>countif(FY18_DATA!$F$2:$F982,"&lt;06:30:59 AM")</f>
        <v>263</v>
      </c>
      <c r="K2" s="23"/>
    </row>
    <row r="3">
      <c r="A3" s="12"/>
      <c r="B3" s="13" t="s">
        <v>2</v>
      </c>
      <c r="C3" s="13" t="s">
        <v>13</v>
      </c>
      <c r="G3" s="29"/>
      <c r="I3" s="30">
        <f>I2/365</f>
        <v>0.7205479452</v>
      </c>
      <c r="K3" s="23"/>
    </row>
    <row r="4">
      <c r="A4" s="17" t="s">
        <v>16</v>
      </c>
      <c r="B4" s="18">
        <f>countif(FY20_DATA!$I$2:$I982,"&lt;06:01:00")</f>
        <v>179</v>
      </c>
      <c r="C4" s="19">
        <f t="shared" ref="C4:C8" si="1">B4/$C$2</f>
        <v>0.4917582418</v>
      </c>
      <c r="G4" s="29"/>
      <c r="K4" s="23"/>
    </row>
    <row r="5">
      <c r="A5" s="17" t="s">
        <v>22</v>
      </c>
      <c r="B5" s="18">
        <f>countif(FY20_DATA!$I$2:$I982,"&lt;06:30:59 AM")</f>
        <v>243</v>
      </c>
      <c r="C5" s="19">
        <f t="shared" si="1"/>
        <v>0.6675824176</v>
      </c>
      <c r="G5" s="29"/>
      <c r="K5" s="23"/>
    </row>
    <row r="6">
      <c r="A6" s="17" t="s">
        <v>25</v>
      </c>
      <c r="B6" s="18">
        <f>countif(FY20_DATA!$I$2:$I982,"&lt;07:01:00")</f>
        <v>284</v>
      </c>
      <c r="C6" s="19">
        <f t="shared" si="1"/>
        <v>0.7802197802</v>
      </c>
      <c r="G6" s="29"/>
      <c r="K6" s="23"/>
    </row>
    <row r="7">
      <c r="A7" s="17" t="s">
        <v>28</v>
      </c>
      <c r="B7" s="18">
        <f>countif(FY20_DATA!$I$2:$I982,"&gt;07:00:59")</f>
        <v>80</v>
      </c>
      <c r="C7" s="19">
        <f t="shared" si="1"/>
        <v>0.2197802198</v>
      </c>
      <c r="G7" s="22"/>
      <c r="K7" s="23"/>
    </row>
    <row r="8">
      <c r="A8" s="17" t="s">
        <v>61</v>
      </c>
      <c r="B8" s="18">
        <f>countif(FY20_DATA!$I$2:$I982,"&gt;08:00:59")</f>
        <v>42</v>
      </c>
      <c r="C8" s="19">
        <f t="shared" si="1"/>
        <v>0.1153846154</v>
      </c>
      <c r="G8" s="22"/>
      <c r="K8" s="23"/>
    </row>
    <row r="9">
      <c r="G9" s="29"/>
      <c r="K9" s="23"/>
    </row>
    <row r="10">
      <c r="A10" s="1" t="s">
        <v>64</v>
      </c>
      <c r="B10" s="2"/>
      <c r="C10" s="3"/>
      <c r="G10" s="22"/>
      <c r="K10" s="23"/>
    </row>
    <row r="11">
      <c r="A11" s="6" t="s">
        <v>7</v>
      </c>
      <c r="B11" s="3"/>
      <c r="C11" s="7">
        <f>counta(FY20_DATA!I2:I29)</f>
        <v>28</v>
      </c>
      <c r="G11" s="22"/>
      <c r="K11" s="23"/>
    </row>
    <row r="12">
      <c r="A12" s="12"/>
      <c r="B12" s="13" t="s">
        <v>2</v>
      </c>
      <c r="C12" s="13" t="s">
        <v>13</v>
      </c>
      <c r="K12" s="23"/>
    </row>
    <row r="13">
      <c r="A13" s="17" t="s">
        <v>16</v>
      </c>
      <c r="B13" s="18">
        <f>countif(FY20_DATA!I2:I29,"&lt;06:01:00")</f>
        <v>8</v>
      </c>
      <c r="C13" s="19">
        <f>B13/C11</f>
        <v>0.2857142857</v>
      </c>
      <c r="G13" s="29"/>
      <c r="K13" s="23"/>
    </row>
    <row r="14">
      <c r="A14" s="17" t="s">
        <v>22</v>
      </c>
      <c r="B14" s="18">
        <f>countif(FY20_DATA!I2:I29,"&lt;06:31:00")</f>
        <v>19</v>
      </c>
      <c r="C14" s="19">
        <f>B14/C11</f>
        <v>0.6785714286</v>
      </c>
      <c r="G14" s="29"/>
      <c r="K14" s="23"/>
    </row>
    <row r="15">
      <c r="A15" s="17" t="s">
        <v>25</v>
      </c>
      <c r="B15" s="18">
        <f>countif(FY20_DATA!I2:I29,"&lt;07:01:00")</f>
        <v>23</v>
      </c>
      <c r="C15" s="19">
        <f>B15/C11</f>
        <v>0.8214285714</v>
      </c>
      <c r="G15" s="29"/>
      <c r="K15" s="23"/>
    </row>
    <row r="16">
      <c r="A16" s="17" t="s">
        <v>28</v>
      </c>
      <c r="B16" s="18">
        <f>countif(FY20_DATA!I2:I29,"&gt;07:00:59")</f>
        <v>5</v>
      </c>
      <c r="C16" s="19">
        <f>B16/C11</f>
        <v>0.1785714286</v>
      </c>
      <c r="G16" s="29"/>
      <c r="K16" s="23"/>
    </row>
    <row r="17">
      <c r="A17" s="17" t="s">
        <v>61</v>
      </c>
      <c r="B17" s="18">
        <f>countif(FY20_DATA!I3:I29,"&gt;08:00:59")</f>
        <v>3</v>
      </c>
      <c r="C17" s="19">
        <f>B17/$C$2</f>
        <v>0.008241758242</v>
      </c>
      <c r="G17" s="29"/>
      <c r="K17" s="23"/>
    </row>
    <row r="18">
      <c r="K18" s="23"/>
    </row>
    <row r="19">
      <c r="A19" s="1" t="s">
        <v>67</v>
      </c>
      <c r="B19" s="2"/>
      <c r="C19" s="3"/>
      <c r="K19" s="23"/>
    </row>
    <row r="20">
      <c r="A20" s="6" t="s">
        <v>7</v>
      </c>
      <c r="B20" s="3"/>
      <c r="C20" s="7">
        <f>counta(FY20_DATA!I30:I57)</f>
        <v>28</v>
      </c>
      <c r="K20" s="23"/>
    </row>
    <row r="21">
      <c r="A21" s="12"/>
      <c r="B21" s="13" t="s">
        <v>2</v>
      </c>
      <c r="C21" s="13" t="s">
        <v>13</v>
      </c>
      <c r="E21" s="27"/>
      <c r="F21" s="28"/>
    </row>
    <row r="22">
      <c r="A22" s="17" t="s">
        <v>16</v>
      </c>
      <c r="B22" s="18">
        <f>countif(FY20_DATA!I30:I57,"&lt;06:01:00")</f>
        <v>1</v>
      </c>
      <c r="C22" s="19">
        <f>B22/C20</f>
        <v>0.03571428571</v>
      </c>
      <c r="E22" s="31"/>
      <c r="F22" s="32"/>
    </row>
    <row r="23">
      <c r="A23" s="17" t="s">
        <v>22</v>
      </c>
      <c r="B23" s="18">
        <f>countif(FY20_DATA!I30:I57,"&lt;06:31:00")</f>
        <v>10</v>
      </c>
      <c r="C23" s="19">
        <f>B23/C20</f>
        <v>0.3571428571</v>
      </c>
      <c r="E23" s="31"/>
      <c r="F23" s="32"/>
    </row>
    <row r="24">
      <c r="A24" s="17" t="s">
        <v>25</v>
      </c>
      <c r="B24" s="18">
        <f>countif(FY20_DATA!I30:I57,"&lt;07:01:00")</f>
        <v>19</v>
      </c>
      <c r="C24" s="19">
        <f>B24/C20</f>
        <v>0.6785714286</v>
      </c>
      <c r="E24" s="31"/>
      <c r="F24" s="32"/>
    </row>
    <row r="25">
      <c r="A25" s="17" t="s">
        <v>28</v>
      </c>
      <c r="B25" s="18">
        <f>countif(FY20_DATA!I30:I57,"&gt;07:00:59")</f>
        <v>9</v>
      </c>
      <c r="C25" s="19">
        <f>B25/C20</f>
        <v>0.3214285714</v>
      </c>
      <c r="E25" s="31"/>
      <c r="F25" s="32"/>
    </row>
    <row r="26">
      <c r="A26" s="17" t="s">
        <v>61</v>
      </c>
      <c r="B26" s="18">
        <f>countif(FY20_DATA!I30:I57,"&gt;08:00:59")</f>
        <v>4</v>
      </c>
      <c r="C26" s="19">
        <f>B26/C20</f>
        <v>0.1428571429</v>
      </c>
      <c r="E26" s="31"/>
      <c r="F26" s="32"/>
      <c r="K26" s="23"/>
    </row>
    <row r="27">
      <c r="E27" s="31"/>
      <c r="F27" s="32"/>
      <c r="K27" s="23"/>
    </row>
    <row r="28">
      <c r="A28" s="1" t="s">
        <v>68</v>
      </c>
      <c r="B28" s="2"/>
      <c r="C28" s="3"/>
      <c r="E28" s="31"/>
      <c r="F28" s="32"/>
      <c r="K28" s="23"/>
    </row>
    <row r="29">
      <c r="A29" s="6" t="s">
        <v>7</v>
      </c>
      <c r="B29" s="3"/>
      <c r="C29" s="7">
        <f>counta(FY19_DATA!I58:I85)</f>
        <v>28</v>
      </c>
      <c r="F29" s="22"/>
      <c r="K29" s="23"/>
    </row>
    <row r="30">
      <c r="A30" s="12"/>
      <c r="B30" s="13" t="s">
        <v>2</v>
      </c>
      <c r="C30" s="13" t="s">
        <v>13</v>
      </c>
      <c r="F30" s="22"/>
      <c r="K30" s="23"/>
    </row>
    <row r="31">
      <c r="A31" s="17" t="s">
        <v>16</v>
      </c>
      <c r="B31" s="18">
        <f>countif(FY20_DATA!I58:I85,"&lt;06:01:00")</f>
        <v>19</v>
      </c>
      <c r="C31" s="19">
        <f>B31/C29</f>
        <v>0.6785714286</v>
      </c>
      <c r="F31" s="22"/>
      <c r="K31" s="23"/>
    </row>
    <row r="32">
      <c r="A32" s="17" t="s">
        <v>22</v>
      </c>
      <c r="B32" s="18">
        <f>countif(FY20_DATA!I58:I85,"&lt;06:31:00")</f>
        <v>21</v>
      </c>
      <c r="C32" s="19">
        <f>B32/C29</f>
        <v>0.75</v>
      </c>
      <c r="F32" s="22"/>
      <c r="K32" s="23"/>
    </row>
    <row r="33">
      <c r="A33" s="17" t="s">
        <v>25</v>
      </c>
      <c r="B33" s="18">
        <f>countif(FY20_DATA!I58:I85,"&lt;07:01:00")</f>
        <v>23</v>
      </c>
      <c r="C33" s="19">
        <f>B33/C29</f>
        <v>0.8214285714</v>
      </c>
      <c r="F33" s="22"/>
      <c r="K33" s="23"/>
    </row>
    <row r="34">
      <c r="A34" s="17" t="s">
        <v>28</v>
      </c>
      <c r="B34" s="18">
        <f>countif(FY20_DATA!I58:I85,"&gt;07:00:59")</f>
        <v>5</v>
      </c>
      <c r="C34" s="19">
        <f>B34/C29</f>
        <v>0.1785714286</v>
      </c>
      <c r="F34" s="22"/>
      <c r="K34" s="23"/>
    </row>
    <row r="35">
      <c r="A35" s="17" t="s">
        <v>61</v>
      </c>
      <c r="B35" s="18">
        <f>countif(FY20_DATA!I58:I85,"&gt;08:00:59")</f>
        <v>1</v>
      </c>
      <c r="C35" s="19">
        <f>B35/C29</f>
        <v>0.03571428571</v>
      </c>
      <c r="F35" s="22"/>
      <c r="K35" s="23"/>
    </row>
    <row r="36">
      <c r="F36" s="22"/>
      <c r="K36" s="23"/>
    </row>
    <row r="37">
      <c r="A37" s="1" t="s">
        <v>69</v>
      </c>
      <c r="B37" s="2"/>
      <c r="C37" s="3"/>
      <c r="F37" s="22"/>
      <c r="K37" s="23"/>
    </row>
    <row r="38">
      <c r="A38" s="6" t="s">
        <v>7</v>
      </c>
      <c r="B38" s="3"/>
      <c r="C38" s="7">
        <f>counta(FY19_DATA!I86:I113)</f>
        <v>28</v>
      </c>
      <c r="F38" s="22"/>
      <c r="K38" s="23"/>
    </row>
    <row r="39">
      <c r="A39" s="12"/>
      <c r="B39" s="13" t="s">
        <v>2</v>
      </c>
      <c r="C39" s="13" t="s">
        <v>13</v>
      </c>
      <c r="F39" s="22"/>
      <c r="K39" s="23"/>
    </row>
    <row r="40">
      <c r="A40" s="17" t="s">
        <v>16</v>
      </c>
      <c r="B40" s="18">
        <f>countif(FY20_DATA!I86:I113,"&lt;06:01:00")</f>
        <v>8</v>
      </c>
      <c r="C40" s="19">
        <f>B40/C38</f>
        <v>0.2857142857</v>
      </c>
      <c r="F40" s="22"/>
      <c r="K40" s="23"/>
    </row>
    <row r="41">
      <c r="A41" s="17" t="s">
        <v>22</v>
      </c>
      <c r="B41" s="18">
        <f>countif(FY20_DATA!I86:I113,"&lt;06:31:00")</f>
        <v>13</v>
      </c>
      <c r="C41" s="19">
        <f>B41/C38</f>
        <v>0.4642857143</v>
      </c>
      <c r="F41" s="22"/>
      <c r="K41" s="23"/>
    </row>
    <row r="42">
      <c r="A42" s="17" t="s">
        <v>25</v>
      </c>
      <c r="B42" s="18">
        <f>countif(FY20_DATA!I86:I113,"&lt;07:01:00")</f>
        <v>21</v>
      </c>
      <c r="C42" s="19">
        <f>B42/C38</f>
        <v>0.75</v>
      </c>
      <c r="F42" s="22"/>
      <c r="K42" s="23"/>
    </row>
    <row r="43">
      <c r="A43" s="17" t="s">
        <v>28</v>
      </c>
      <c r="B43" s="18">
        <f>countif(FY20_DATA!I86:I113,"&gt;07:00:59")</f>
        <v>7</v>
      </c>
      <c r="C43" s="19">
        <f>B43/C38</f>
        <v>0.25</v>
      </c>
      <c r="F43" s="22"/>
      <c r="K43" s="23"/>
    </row>
    <row r="44">
      <c r="A44" s="17" t="s">
        <v>61</v>
      </c>
      <c r="B44" s="18">
        <f>countif(FY20_DATA!I86:I113,"&gt;08:00:59")</f>
        <v>2</v>
      </c>
      <c r="C44" s="19">
        <f>B44/C38</f>
        <v>0.07142857143</v>
      </c>
      <c r="F44" s="22"/>
      <c r="K44" s="23"/>
    </row>
    <row r="45">
      <c r="F45" s="22"/>
      <c r="K45" s="23"/>
    </row>
    <row r="46">
      <c r="A46" s="1" t="s">
        <v>70</v>
      </c>
      <c r="B46" s="2"/>
      <c r="C46" s="3"/>
      <c r="F46" s="22"/>
      <c r="K46" s="23"/>
    </row>
    <row r="47">
      <c r="A47" s="6" t="s">
        <v>7</v>
      </c>
      <c r="B47" s="3"/>
      <c r="C47" s="7">
        <f>counta(FY19_DATA!I114:I141)</f>
        <v>28</v>
      </c>
      <c r="F47" s="22"/>
      <c r="K47" s="23"/>
    </row>
    <row r="48">
      <c r="A48" s="12"/>
      <c r="B48" s="13" t="s">
        <v>2</v>
      </c>
      <c r="C48" s="13" t="s">
        <v>13</v>
      </c>
      <c r="F48" s="22"/>
      <c r="K48" s="23"/>
    </row>
    <row r="49">
      <c r="A49" s="17" t="s">
        <v>16</v>
      </c>
      <c r="B49" s="18">
        <f>countif(FY20_DATA!I114:I141,"&lt;06:01:00")</f>
        <v>22</v>
      </c>
      <c r="C49" s="19">
        <f>B49/C47</f>
        <v>0.7857142857</v>
      </c>
      <c r="F49" s="22"/>
      <c r="K49" s="23"/>
    </row>
    <row r="50">
      <c r="A50" s="17" t="s">
        <v>22</v>
      </c>
      <c r="B50" s="18">
        <f>countif(FY20_DATA!I114:I141,"&lt;06:31:00")</f>
        <v>26</v>
      </c>
      <c r="C50" s="19">
        <f>B50/C47</f>
        <v>0.9285714286</v>
      </c>
      <c r="F50" s="22"/>
      <c r="K50" s="23"/>
    </row>
    <row r="51">
      <c r="A51" s="17" t="s">
        <v>25</v>
      </c>
      <c r="B51" s="18">
        <f>countif(FY20_DATA!I114:I141,"&lt;07:01:00")</f>
        <v>28</v>
      </c>
      <c r="C51" s="19">
        <f>B51/C47</f>
        <v>1</v>
      </c>
      <c r="F51" s="22"/>
      <c r="K51" s="23"/>
    </row>
    <row r="52">
      <c r="A52" s="17" t="s">
        <v>28</v>
      </c>
      <c r="B52" s="18">
        <f>countif(FY20_DATA!I114:I141,"&gt;07:00:59")</f>
        <v>0</v>
      </c>
      <c r="C52" s="19">
        <f>B52/C47</f>
        <v>0</v>
      </c>
      <c r="F52" s="22"/>
      <c r="K52" s="23"/>
    </row>
    <row r="53">
      <c r="A53" s="17" t="s">
        <v>61</v>
      </c>
      <c r="B53" s="18">
        <f>countif(FY20_DATA!I114:I141,"&gt;08:00:59")</f>
        <v>0</v>
      </c>
      <c r="C53" s="19">
        <f>B53/C47</f>
        <v>0</v>
      </c>
      <c r="F53" s="22"/>
      <c r="K53" s="23"/>
    </row>
    <row r="54">
      <c r="F54" s="22"/>
      <c r="K54" s="23"/>
    </row>
    <row r="55">
      <c r="A55" s="1" t="s">
        <v>71</v>
      </c>
      <c r="B55" s="2"/>
      <c r="C55" s="3"/>
      <c r="F55" s="22"/>
      <c r="K55" s="23"/>
    </row>
    <row r="56">
      <c r="A56" s="6" t="s">
        <v>7</v>
      </c>
      <c r="B56" s="3"/>
      <c r="C56" s="7">
        <f>counta(FY19_DATA!I142:I169)</f>
        <v>28</v>
      </c>
      <c r="F56" s="22"/>
      <c r="K56" s="23"/>
    </row>
    <row r="57">
      <c r="A57" s="12"/>
      <c r="B57" s="13" t="s">
        <v>2</v>
      </c>
      <c r="C57" s="13" t="s">
        <v>13</v>
      </c>
      <c r="F57" s="22"/>
      <c r="K57" s="23"/>
    </row>
    <row r="58">
      <c r="A58" s="17" t="s">
        <v>16</v>
      </c>
      <c r="B58" s="18">
        <f>countif(FY20_DATA!I142:I169,"&lt;06:01:00")</f>
        <v>23</v>
      </c>
      <c r="C58" s="19">
        <f>B58/C56</f>
        <v>0.8214285714</v>
      </c>
      <c r="F58" s="22"/>
      <c r="K58" s="23"/>
    </row>
    <row r="59">
      <c r="A59" s="17" t="s">
        <v>22</v>
      </c>
      <c r="B59" s="18">
        <f>countif(FY20_DATA!I142:I169,"&lt;06:31:00")</f>
        <v>26</v>
      </c>
      <c r="C59" s="19">
        <f>B59/C56</f>
        <v>0.9285714286</v>
      </c>
      <c r="F59" s="22"/>
      <c r="K59" s="23"/>
    </row>
    <row r="60">
      <c r="A60" s="17" t="s">
        <v>25</v>
      </c>
      <c r="B60" s="18">
        <f>countif(FY20_DATA!I142:I169,"&lt;07:01:00")</f>
        <v>27</v>
      </c>
      <c r="C60" s="19">
        <f>B60/C56</f>
        <v>0.9642857143</v>
      </c>
      <c r="F60" s="22"/>
      <c r="K60" s="23"/>
    </row>
    <row r="61">
      <c r="A61" s="17" t="s">
        <v>28</v>
      </c>
      <c r="B61" s="18">
        <f>countif(FY20_DATA!I142:I169,"&gt;07:00:59")</f>
        <v>1</v>
      </c>
      <c r="C61" s="19">
        <f>B61/C56</f>
        <v>0.03571428571</v>
      </c>
      <c r="F61" s="22"/>
      <c r="K61" s="23"/>
    </row>
    <row r="62">
      <c r="A62" s="17" t="s">
        <v>61</v>
      </c>
      <c r="B62" s="18">
        <f>countif(FY20_DATA!I142:I169,"&gt;08:00:59")</f>
        <v>1</v>
      </c>
      <c r="C62" s="19">
        <f>B62/C56</f>
        <v>0.03571428571</v>
      </c>
      <c r="F62" s="22"/>
      <c r="K62" s="23"/>
    </row>
    <row r="63">
      <c r="F63" s="22"/>
      <c r="K63" s="23"/>
    </row>
    <row r="64">
      <c r="A64" s="1" t="s">
        <v>72</v>
      </c>
      <c r="B64" s="2"/>
      <c r="C64" s="3"/>
      <c r="F64" s="22"/>
      <c r="K64" s="23"/>
    </row>
    <row r="65">
      <c r="A65" s="6" t="s">
        <v>7</v>
      </c>
      <c r="B65" s="3"/>
      <c r="C65" s="7">
        <f>counta(FY19_DATA!I170:I197)</f>
        <v>28</v>
      </c>
      <c r="F65" s="22"/>
      <c r="K65" s="23"/>
    </row>
    <row r="66">
      <c r="A66" s="12"/>
      <c r="B66" s="13" t="s">
        <v>2</v>
      </c>
      <c r="C66" s="13" t="s">
        <v>13</v>
      </c>
      <c r="F66" s="22"/>
      <c r="K66" s="23"/>
    </row>
    <row r="67">
      <c r="A67" s="17" t="s">
        <v>16</v>
      </c>
      <c r="B67" s="18">
        <f>countif(FY20_DATA!I170:I197,"&lt;06:01:00")</f>
        <v>24</v>
      </c>
      <c r="C67" s="19">
        <f>B67/C65</f>
        <v>0.8571428571</v>
      </c>
      <c r="F67" s="22"/>
      <c r="K67" s="23"/>
    </row>
    <row r="68">
      <c r="A68" s="17" t="s">
        <v>22</v>
      </c>
      <c r="B68" s="18">
        <f>countif(FY20_DATA!I170:I197,"&lt;06:31:00")</f>
        <v>25</v>
      </c>
      <c r="C68" s="19">
        <f>B68/C65</f>
        <v>0.8928571429</v>
      </c>
      <c r="F68" s="22"/>
      <c r="K68" s="23"/>
    </row>
    <row r="69">
      <c r="A69" s="17" t="s">
        <v>25</v>
      </c>
      <c r="B69" s="18">
        <f>countif(FY20_DATA!I170:I197,"&lt;07:01:00")</f>
        <v>25</v>
      </c>
      <c r="C69" s="19">
        <f>B69/C65</f>
        <v>0.8928571429</v>
      </c>
      <c r="F69" s="22"/>
      <c r="K69" s="23"/>
    </row>
    <row r="70">
      <c r="A70" s="17" t="s">
        <v>28</v>
      </c>
      <c r="B70" s="18">
        <f>countif(FY20_DATA!I151:I178,"&gt;07:00:59")</f>
        <v>1</v>
      </c>
      <c r="C70" s="19">
        <f>B70/C65</f>
        <v>0.03571428571</v>
      </c>
      <c r="F70" s="22"/>
      <c r="K70" s="23"/>
    </row>
    <row r="71">
      <c r="A71" s="17" t="s">
        <v>61</v>
      </c>
      <c r="B71" s="18">
        <f>countif(FY20_DATA!I170:I197,"&gt;08:00:59")</f>
        <v>2</v>
      </c>
      <c r="C71" s="19">
        <f>B71/C65</f>
        <v>0.07142857143</v>
      </c>
      <c r="F71" s="22"/>
      <c r="K71" s="23"/>
    </row>
    <row r="72">
      <c r="F72" s="22"/>
      <c r="K72" s="23"/>
    </row>
    <row r="73">
      <c r="A73" s="1" t="s">
        <v>73</v>
      </c>
      <c r="B73" s="2"/>
      <c r="C73" s="3"/>
      <c r="F73" s="22"/>
      <c r="K73" s="23"/>
    </row>
    <row r="74">
      <c r="A74" s="6" t="s">
        <v>7</v>
      </c>
      <c r="B74" s="3"/>
      <c r="C74" s="7">
        <f>counta(FY19_DATA!I198:I225)</f>
        <v>28</v>
      </c>
      <c r="F74" s="22"/>
      <c r="K74" s="23"/>
    </row>
    <row r="75">
      <c r="A75" s="12"/>
      <c r="B75" s="13" t="s">
        <v>2</v>
      </c>
      <c r="C75" s="13" t="s">
        <v>13</v>
      </c>
      <c r="F75" s="22"/>
      <c r="K75" s="23"/>
    </row>
    <row r="76">
      <c r="A76" s="17" t="s">
        <v>16</v>
      </c>
      <c r="B76" s="18">
        <f>countif(FY20_DATA!I198:I225,"&lt;06:01:00")</f>
        <v>13</v>
      </c>
      <c r="C76" s="19">
        <f>B76/C74</f>
        <v>0.4642857143</v>
      </c>
      <c r="F76" s="22"/>
      <c r="K76" s="23"/>
    </row>
    <row r="77">
      <c r="A77" s="17" t="s">
        <v>22</v>
      </c>
      <c r="B77" s="18">
        <f>countif(FY20_DATA!I198:I225,"&lt;06:31:00")</f>
        <v>19</v>
      </c>
      <c r="C77" s="19">
        <f>B77/C74</f>
        <v>0.6785714286</v>
      </c>
      <c r="F77" s="22"/>
      <c r="K77" s="23"/>
    </row>
    <row r="78">
      <c r="A78" s="17" t="s">
        <v>25</v>
      </c>
      <c r="B78" s="18">
        <f>countif(FY20_DATA!I198:I225,"&lt;07:01:00")</f>
        <v>22</v>
      </c>
      <c r="C78" s="19">
        <f>B78/C74</f>
        <v>0.7857142857</v>
      </c>
      <c r="F78" s="22"/>
      <c r="K78" s="23"/>
    </row>
    <row r="79">
      <c r="A79" s="17" t="s">
        <v>28</v>
      </c>
      <c r="B79" s="18">
        <f>countif(FY20_DATA!I198:I225,"&gt;07:00:59")</f>
        <v>6</v>
      </c>
      <c r="C79" s="19">
        <f>B79/C74</f>
        <v>0.2142857143</v>
      </c>
      <c r="F79" s="22"/>
      <c r="K79" s="23"/>
    </row>
    <row r="80">
      <c r="A80" s="17" t="s">
        <v>61</v>
      </c>
      <c r="B80" s="18">
        <f>countif(FY20_DATA!I198:I225,"&gt;08:00:59")</f>
        <v>2</v>
      </c>
      <c r="C80" s="19">
        <f>B80/C74</f>
        <v>0.07142857143</v>
      </c>
      <c r="F80" s="22"/>
      <c r="K80" s="23"/>
    </row>
    <row r="81">
      <c r="F81" s="22"/>
      <c r="K81" s="23"/>
    </row>
    <row r="82">
      <c r="A82" s="1" t="s">
        <v>74</v>
      </c>
      <c r="B82" s="2"/>
      <c r="C82" s="3"/>
      <c r="F82" s="22"/>
      <c r="K82" s="23"/>
    </row>
    <row r="83">
      <c r="A83" s="6" t="s">
        <v>7</v>
      </c>
      <c r="B83" s="3"/>
      <c r="C83" s="7">
        <f>counta(FY19_DATA!I226:I253)</f>
        <v>28</v>
      </c>
      <c r="F83" s="22"/>
      <c r="K83" s="23"/>
    </row>
    <row r="84">
      <c r="A84" s="12"/>
      <c r="B84" s="13" t="s">
        <v>2</v>
      </c>
      <c r="C84" s="13" t="s">
        <v>13</v>
      </c>
      <c r="F84" s="22"/>
      <c r="K84" s="23"/>
    </row>
    <row r="85">
      <c r="A85" s="17" t="s">
        <v>16</v>
      </c>
      <c r="B85" s="18">
        <f>countif(FY20_DATA!I226:I253,"&lt;06:01:00")</f>
        <v>2</v>
      </c>
      <c r="C85" s="19">
        <f>B85/C83</f>
        <v>0.07142857143</v>
      </c>
      <c r="F85" s="22"/>
      <c r="K85" s="23"/>
    </row>
    <row r="86">
      <c r="A86" s="17" t="s">
        <v>22</v>
      </c>
      <c r="B86" s="18">
        <f>countif(FY20_DATA!I226:I253,"&lt;06:31:00")</f>
        <v>4</v>
      </c>
      <c r="C86" s="19">
        <f>B86/C83</f>
        <v>0.1428571429</v>
      </c>
      <c r="F86" s="22"/>
      <c r="K86" s="23"/>
    </row>
    <row r="87">
      <c r="A87" s="17" t="s">
        <v>25</v>
      </c>
      <c r="B87" s="18">
        <f>countif(FY20_DATA!I226:HI253,"&lt;07:01:00")</f>
        <v>8</v>
      </c>
      <c r="C87" s="19">
        <f>B87/C83</f>
        <v>0.2857142857</v>
      </c>
      <c r="F87" s="22"/>
      <c r="K87" s="23"/>
    </row>
    <row r="88">
      <c r="A88" s="17" t="s">
        <v>28</v>
      </c>
      <c r="B88" s="18">
        <f>countif(FY20_DATA!I226:I253,"&gt;07:00:59")</f>
        <v>20</v>
      </c>
      <c r="C88" s="19">
        <f>B88/C83</f>
        <v>0.7142857143</v>
      </c>
      <c r="F88" s="22"/>
      <c r="K88" s="23"/>
    </row>
    <row r="89">
      <c r="A89" s="17" t="s">
        <v>61</v>
      </c>
      <c r="B89" s="18">
        <f>countif(FY20_DATA!I226:I253,"&gt;08:00:59")</f>
        <v>13</v>
      </c>
      <c r="C89" s="19">
        <f>B89/C83</f>
        <v>0.4642857143</v>
      </c>
      <c r="F89" s="22"/>
      <c r="K89" s="23"/>
    </row>
    <row r="90">
      <c r="F90" s="22"/>
      <c r="K90" s="23"/>
    </row>
    <row r="91">
      <c r="A91" s="1" t="s">
        <v>75</v>
      </c>
      <c r="B91" s="2"/>
      <c r="C91" s="3"/>
      <c r="F91" s="22"/>
      <c r="K91" s="23"/>
    </row>
    <row r="92">
      <c r="A92" s="6" t="s">
        <v>7</v>
      </c>
      <c r="B92" s="3"/>
      <c r="C92" s="7">
        <f>counta(FY19_DATA!I254:I281)</f>
        <v>28</v>
      </c>
      <c r="F92" s="22"/>
      <c r="K92" s="23"/>
    </row>
    <row r="93">
      <c r="A93" s="12"/>
      <c r="B93" s="13" t="s">
        <v>2</v>
      </c>
      <c r="C93" s="13" t="s">
        <v>13</v>
      </c>
      <c r="F93" s="22"/>
      <c r="K93" s="23"/>
    </row>
    <row r="94">
      <c r="A94" s="17" t="s">
        <v>16</v>
      </c>
      <c r="B94" s="18">
        <f>countif(FY20_DATA!I254:I281,"&lt;06:01:00")</f>
        <v>14</v>
      </c>
      <c r="C94" s="19">
        <f>B94/C92</f>
        <v>0.5</v>
      </c>
      <c r="F94" s="22"/>
      <c r="K94" s="23"/>
    </row>
    <row r="95">
      <c r="A95" s="17" t="s">
        <v>22</v>
      </c>
      <c r="B95" s="18">
        <f>countif(FY20_DATA!I254:I281,"&lt;06:31:00")</f>
        <v>18</v>
      </c>
      <c r="C95" s="19">
        <f>B95/C92</f>
        <v>0.6428571429</v>
      </c>
      <c r="F95" s="22"/>
      <c r="K95" s="23"/>
    </row>
    <row r="96">
      <c r="A96" s="17" t="s">
        <v>25</v>
      </c>
      <c r="B96" s="18">
        <f>countif(FY20_DATA!I254:I281,"&lt;07:01:00")</f>
        <v>21</v>
      </c>
      <c r="C96" s="19">
        <f>B96/C92</f>
        <v>0.75</v>
      </c>
      <c r="F96" s="22"/>
      <c r="K96" s="23"/>
    </row>
    <row r="97">
      <c r="A97" s="17" t="s">
        <v>28</v>
      </c>
      <c r="B97" s="18">
        <f>countif(FY20_DATA!I254:I281,"&gt;07:00:59")</f>
        <v>7</v>
      </c>
      <c r="C97" s="19">
        <f>B97/C92</f>
        <v>0.25</v>
      </c>
      <c r="F97" s="22"/>
      <c r="K97" s="23"/>
    </row>
    <row r="98">
      <c r="A98" s="17" t="s">
        <v>61</v>
      </c>
      <c r="B98" s="18">
        <f>countif(FY20_DATA!I254:I281,"&gt;08:00:59")</f>
        <v>4</v>
      </c>
      <c r="C98" s="19">
        <f>B98/C92</f>
        <v>0.1428571429</v>
      </c>
      <c r="F98" s="22"/>
      <c r="K98" s="23"/>
    </row>
    <row r="99">
      <c r="F99" s="22"/>
      <c r="K99" s="23"/>
    </row>
    <row r="100">
      <c r="A100" s="1" t="s">
        <v>76</v>
      </c>
      <c r="B100" s="2"/>
      <c r="C100" s="3"/>
      <c r="F100" s="22"/>
      <c r="K100" s="23"/>
    </row>
    <row r="101">
      <c r="A101" s="6" t="s">
        <v>7</v>
      </c>
      <c r="B101" s="3"/>
      <c r="C101" s="7">
        <f>counta(FY19_DATA!I282:I309)</f>
        <v>28</v>
      </c>
      <c r="F101" s="22"/>
      <c r="K101" s="23"/>
    </row>
    <row r="102">
      <c r="A102" s="12"/>
      <c r="B102" s="13" t="s">
        <v>2</v>
      </c>
      <c r="C102" s="13" t="s">
        <v>13</v>
      </c>
      <c r="F102" s="22"/>
      <c r="K102" s="23"/>
    </row>
    <row r="103">
      <c r="A103" s="17" t="s">
        <v>16</v>
      </c>
      <c r="B103" s="18">
        <f>countif(FY20_DATA!I282:I309,"&lt;06:01:00")</f>
        <v>17</v>
      </c>
      <c r="C103" s="19">
        <f>B103/C101</f>
        <v>0.6071428571</v>
      </c>
      <c r="F103" s="22"/>
      <c r="K103" s="23"/>
    </row>
    <row r="104">
      <c r="A104" s="17" t="s">
        <v>22</v>
      </c>
      <c r="B104" s="18">
        <f>countif(FY20_DATA!I282:I309,"&lt;06:31:00")</f>
        <v>20</v>
      </c>
      <c r="C104" s="19">
        <f>B104/C101</f>
        <v>0.7142857143</v>
      </c>
      <c r="F104" s="22"/>
      <c r="K104" s="23"/>
    </row>
    <row r="105">
      <c r="A105" s="17" t="s">
        <v>25</v>
      </c>
      <c r="B105" s="18">
        <f>countif(FY20_DATA!I282:I309,"&lt;07:01:00")</f>
        <v>22</v>
      </c>
      <c r="C105" s="19">
        <f>B105/C101</f>
        <v>0.7857142857</v>
      </c>
      <c r="F105" s="22"/>
      <c r="K105" s="23"/>
    </row>
    <row r="106">
      <c r="A106" s="17" t="s">
        <v>28</v>
      </c>
      <c r="B106" s="18">
        <f>countif(FY20_DATA!I282:I309,"&gt;07:00:59")</f>
        <v>6</v>
      </c>
      <c r="C106" s="19">
        <f>B106/C101</f>
        <v>0.2142857143</v>
      </c>
      <c r="F106" s="22"/>
      <c r="K106" s="23"/>
    </row>
    <row r="107">
      <c r="A107" s="17" t="s">
        <v>61</v>
      </c>
      <c r="B107" s="18">
        <f>countif(FY20_DATA!I282:I309,"&gt;08:00:59")</f>
        <v>5</v>
      </c>
      <c r="C107" s="19">
        <f>B107/C101</f>
        <v>0.1785714286</v>
      </c>
      <c r="F107" s="22"/>
      <c r="K107" s="23"/>
    </row>
    <row r="108">
      <c r="F108" s="22"/>
      <c r="K108" s="23"/>
    </row>
    <row r="109">
      <c r="A109" s="1" t="s">
        <v>77</v>
      </c>
      <c r="B109" s="2"/>
      <c r="C109" s="3"/>
      <c r="F109" s="22"/>
      <c r="K109" s="23"/>
    </row>
    <row r="110">
      <c r="A110" s="6" t="s">
        <v>7</v>
      </c>
      <c r="B110" s="3"/>
      <c r="C110" s="7">
        <f>counta(FY19_DATA!I310:I337)</f>
        <v>28</v>
      </c>
      <c r="F110" s="22"/>
      <c r="K110" s="23"/>
    </row>
    <row r="111">
      <c r="A111" s="12"/>
      <c r="B111" s="13" t="s">
        <v>2</v>
      </c>
      <c r="C111" s="13" t="s">
        <v>13</v>
      </c>
      <c r="F111" s="22"/>
      <c r="K111" s="23"/>
    </row>
    <row r="112">
      <c r="A112" s="17" t="s">
        <v>16</v>
      </c>
      <c r="B112" s="18">
        <f>countif(FY20_DATA!I310:I337,"&lt;06:01:00")</f>
        <v>14</v>
      </c>
      <c r="C112" s="19">
        <f>B112/C110</f>
        <v>0.5</v>
      </c>
      <c r="F112" s="22"/>
      <c r="K112" s="23"/>
    </row>
    <row r="113">
      <c r="A113" s="17" t="s">
        <v>22</v>
      </c>
      <c r="B113" s="18">
        <f>countif(FY20_DATA!I310:I337,"&lt;06:31:00")</f>
        <v>21</v>
      </c>
      <c r="C113" s="19">
        <f>B113/C110</f>
        <v>0.75</v>
      </c>
      <c r="F113" s="22"/>
      <c r="K113" s="23"/>
    </row>
    <row r="114">
      <c r="A114" s="17" t="s">
        <v>25</v>
      </c>
      <c r="B114" s="18">
        <f>countif(FY20_DATA!I310:I337,"&lt;07:01:00")</f>
        <v>22</v>
      </c>
      <c r="C114" s="19">
        <f>B114/C110</f>
        <v>0.7857142857</v>
      </c>
      <c r="F114" s="22"/>
      <c r="K114" s="23"/>
    </row>
    <row r="115">
      <c r="A115" s="17" t="s">
        <v>28</v>
      </c>
      <c r="B115" s="18">
        <f>countif(FY20_DATA!I310:I337,"&gt;07:00:59")</f>
        <v>6</v>
      </c>
      <c r="C115" s="19">
        <f>B115/C110</f>
        <v>0.2142857143</v>
      </c>
      <c r="F115" s="22"/>
      <c r="K115" s="23"/>
    </row>
    <row r="116">
      <c r="A116" s="17" t="s">
        <v>61</v>
      </c>
      <c r="B116" s="18">
        <f>countif(FY20_DATA!I310:I337,"&gt;08:00:59")</f>
        <v>2</v>
      </c>
      <c r="C116" s="19">
        <f>B116/C110</f>
        <v>0.07142857143</v>
      </c>
      <c r="F116" s="22"/>
      <c r="K116" s="23"/>
    </row>
    <row r="117">
      <c r="F117" s="22"/>
      <c r="K117" s="23"/>
    </row>
    <row r="118">
      <c r="A118" s="1" t="s">
        <v>78</v>
      </c>
      <c r="B118" s="2"/>
      <c r="C118" s="3"/>
      <c r="F118" s="22"/>
      <c r="K118" s="23"/>
    </row>
    <row r="119">
      <c r="A119" s="6" t="s">
        <v>7</v>
      </c>
      <c r="B119" s="3"/>
      <c r="C119" s="7">
        <f>counta(FY19_DATA!I338:I365)</f>
        <v>28</v>
      </c>
      <c r="F119" s="22"/>
      <c r="K119" s="23"/>
    </row>
    <row r="120">
      <c r="A120" s="12"/>
      <c r="B120" s="13" t="s">
        <v>2</v>
      </c>
      <c r="C120" s="13" t="s">
        <v>13</v>
      </c>
      <c r="F120" s="22"/>
      <c r="K120" s="23"/>
    </row>
    <row r="121">
      <c r="A121" s="17" t="s">
        <v>16</v>
      </c>
      <c r="B121" s="18">
        <f>countif(FY20_DATA!I338:I365,"&lt;06:01:00")</f>
        <v>14</v>
      </c>
      <c r="C121" s="19">
        <f>B121/C119</f>
        <v>0.5</v>
      </c>
      <c r="F121" s="22"/>
      <c r="K121" s="23"/>
    </row>
    <row r="122">
      <c r="A122" s="17" t="s">
        <v>22</v>
      </c>
      <c r="B122" s="18">
        <f>countif(FY20_DATA!I338:I365,"&lt;06:31:00")</f>
        <v>21</v>
      </c>
      <c r="C122" s="19">
        <f>B122/C119</f>
        <v>0.75</v>
      </c>
      <c r="F122" s="22"/>
      <c r="K122" s="23"/>
    </row>
    <row r="123">
      <c r="A123" s="17" t="s">
        <v>25</v>
      </c>
      <c r="B123" s="18">
        <f>countif(FY20_DATA!I338:I365,"&lt;07:01:00")</f>
        <v>23</v>
      </c>
      <c r="C123" s="19">
        <f>B123/C119</f>
        <v>0.8214285714</v>
      </c>
      <c r="F123" s="22"/>
      <c r="K123" s="23"/>
    </row>
    <row r="124">
      <c r="A124" s="17" t="s">
        <v>28</v>
      </c>
      <c r="B124" s="18">
        <f>countif(FY20_DATA!I338:I365,"&gt;07:00:59")</f>
        <v>5</v>
      </c>
      <c r="C124" s="19">
        <f>B124/C119</f>
        <v>0.1785714286</v>
      </c>
      <c r="F124" s="22"/>
      <c r="K124" s="23"/>
    </row>
    <row r="125">
      <c r="A125" s="17" t="s">
        <v>61</v>
      </c>
      <c r="B125" s="18">
        <f>countif(FY20_DATA!I319:I346,"&gt;08:00:59")</f>
        <v>2</v>
      </c>
      <c r="C125" s="19">
        <f>B125/C119</f>
        <v>0.07142857143</v>
      </c>
      <c r="F125" s="22"/>
      <c r="K125" s="23"/>
    </row>
    <row r="126">
      <c r="F126" s="22"/>
      <c r="K126" s="23"/>
    </row>
    <row r="127">
      <c r="F127" s="22"/>
      <c r="K127" s="23"/>
    </row>
    <row r="128">
      <c r="F128" s="22"/>
      <c r="K128" s="23"/>
    </row>
    <row r="129">
      <c r="F129" s="22"/>
      <c r="K129" s="23"/>
    </row>
    <row r="130">
      <c r="F130" s="22"/>
      <c r="K130" s="23"/>
    </row>
    <row r="131">
      <c r="F131" s="22"/>
      <c r="K131" s="23"/>
    </row>
    <row r="132">
      <c r="F132" s="22"/>
      <c r="K132" s="23"/>
    </row>
    <row r="133">
      <c r="F133" s="22"/>
      <c r="K133" s="23"/>
    </row>
    <row r="134">
      <c r="F134" s="22"/>
      <c r="K134" s="23"/>
    </row>
    <row r="135">
      <c r="F135" s="22"/>
      <c r="K135" s="23"/>
    </row>
    <row r="136">
      <c r="F136" s="22"/>
      <c r="K136" s="23"/>
    </row>
    <row r="137">
      <c r="F137" s="22"/>
      <c r="K137" s="23"/>
    </row>
    <row r="138">
      <c r="F138" s="22"/>
      <c r="K138" s="23"/>
    </row>
    <row r="139">
      <c r="F139" s="22"/>
      <c r="K139" s="23"/>
    </row>
    <row r="140">
      <c r="F140" s="22"/>
      <c r="K140" s="23"/>
    </row>
    <row r="141">
      <c r="F141" s="22"/>
      <c r="K141" s="23"/>
    </row>
    <row r="142">
      <c r="F142" s="22"/>
      <c r="K142" s="23"/>
    </row>
    <row r="143">
      <c r="F143" s="22"/>
      <c r="K143" s="23"/>
    </row>
    <row r="144">
      <c r="F144" s="22"/>
      <c r="K144" s="23"/>
    </row>
    <row r="145">
      <c r="F145" s="22"/>
      <c r="K145" s="23"/>
    </row>
    <row r="146">
      <c r="F146" s="22"/>
      <c r="K146" s="23"/>
    </row>
    <row r="147">
      <c r="F147" s="22"/>
      <c r="K147" s="23"/>
    </row>
    <row r="148">
      <c r="F148" s="22"/>
      <c r="K148" s="23"/>
    </row>
    <row r="149">
      <c r="F149" s="22"/>
      <c r="K149" s="23"/>
    </row>
    <row r="150">
      <c r="F150" s="22"/>
      <c r="K150" s="23"/>
    </row>
    <row r="151">
      <c r="F151" s="22"/>
      <c r="K151" s="23"/>
    </row>
    <row r="152">
      <c r="F152" s="22"/>
      <c r="K152" s="23"/>
    </row>
    <row r="153">
      <c r="F153" s="22"/>
      <c r="K153" s="23"/>
    </row>
    <row r="154">
      <c r="F154" s="22"/>
      <c r="K154" s="23"/>
    </row>
    <row r="155">
      <c r="F155" s="22"/>
      <c r="K155" s="23"/>
    </row>
    <row r="156">
      <c r="F156" s="22"/>
      <c r="K156" s="23"/>
    </row>
    <row r="157">
      <c r="F157" s="22"/>
      <c r="K157" s="23"/>
    </row>
    <row r="158">
      <c r="F158" s="22"/>
      <c r="K158" s="23"/>
    </row>
    <row r="159">
      <c r="F159" s="22"/>
      <c r="K159" s="23"/>
    </row>
    <row r="160">
      <c r="F160" s="22"/>
      <c r="K160" s="23"/>
    </row>
    <row r="161">
      <c r="F161" s="22"/>
      <c r="K161" s="23"/>
    </row>
    <row r="162">
      <c r="F162" s="22"/>
      <c r="K162" s="23"/>
    </row>
    <row r="163">
      <c r="F163" s="22"/>
      <c r="K163" s="23"/>
    </row>
    <row r="164">
      <c r="F164" s="22"/>
      <c r="K164" s="23"/>
    </row>
    <row r="165">
      <c r="F165" s="22"/>
      <c r="K165" s="23"/>
    </row>
    <row r="166">
      <c r="F166" s="22"/>
      <c r="K166" s="23"/>
    </row>
    <row r="167">
      <c r="F167" s="22"/>
      <c r="K167" s="23"/>
    </row>
    <row r="168">
      <c r="F168" s="22"/>
      <c r="K168" s="23"/>
    </row>
    <row r="169">
      <c r="F169" s="22"/>
      <c r="K169" s="23"/>
    </row>
    <row r="170">
      <c r="F170" s="22"/>
      <c r="K170" s="23"/>
    </row>
    <row r="171">
      <c r="F171" s="22"/>
      <c r="K171" s="23"/>
    </row>
    <row r="172">
      <c r="F172" s="22"/>
      <c r="K172" s="23"/>
    </row>
    <row r="173">
      <c r="F173" s="22"/>
      <c r="K173" s="23"/>
    </row>
    <row r="174">
      <c r="F174" s="22"/>
      <c r="K174" s="23"/>
    </row>
    <row r="175">
      <c r="F175" s="22"/>
      <c r="K175" s="23"/>
    </row>
    <row r="176">
      <c r="F176" s="22"/>
      <c r="K176" s="23"/>
    </row>
    <row r="177">
      <c r="F177" s="22"/>
      <c r="K177" s="23"/>
    </row>
    <row r="178">
      <c r="F178" s="22"/>
      <c r="K178" s="23"/>
    </row>
    <row r="179">
      <c r="F179" s="22"/>
      <c r="K179" s="23"/>
    </row>
    <row r="180">
      <c r="F180" s="22"/>
      <c r="K180" s="23"/>
    </row>
    <row r="181">
      <c r="F181" s="22"/>
      <c r="K181" s="23"/>
    </row>
    <row r="182">
      <c r="F182" s="22"/>
      <c r="K182" s="23"/>
    </row>
    <row r="183">
      <c r="F183" s="22"/>
      <c r="K183" s="23"/>
    </row>
    <row r="184">
      <c r="F184" s="22"/>
      <c r="K184" s="23"/>
    </row>
    <row r="185">
      <c r="F185" s="22"/>
      <c r="K185" s="23"/>
    </row>
    <row r="186">
      <c r="F186" s="22"/>
      <c r="K186" s="23"/>
    </row>
    <row r="187">
      <c r="F187" s="22"/>
      <c r="K187" s="23"/>
    </row>
    <row r="188">
      <c r="F188" s="22"/>
      <c r="K188" s="23"/>
    </row>
    <row r="189">
      <c r="F189" s="22"/>
      <c r="K189" s="23"/>
    </row>
    <row r="190">
      <c r="F190" s="22"/>
      <c r="K190" s="23"/>
    </row>
    <row r="191">
      <c r="F191" s="22"/>
      <c r="K191" s="23"/>
    </row>
    <row r="192">
      <c r="F192" s="22"/>
      <c r="K192" s="23"/>
    </row>
    <row r="193">
      <c r="F193" s="22"/>
      <c r="K193" s="23"/>
    </row>
    <row r="194">
      <c r="F194" s="22"/>
      <c r="K194" s="23"/>
    </row>
    <row r="195">
      <c r="F195" s="22"/>
      <c r="K195" s="23"/>
    </row>
    <row r="196">
      <c r="F196" s="22"/>
      <c r="K196" s="23"/>
    </row>
    <row r="197">
      <c r="F197" s="22"/>
      <c r="K197" s="23"/>
    </row>
    <row r="198">
      <c r="F198" s="22"/>
      <c r="K198" s="23"/>
    </row>
    <row r="199">
      <c r="F199" s="22"/>
      <c r="K199" s="23"/>
    </row>
    <row r="200">
      <c r="F200" s="22"/>
      <c r="K200" s="23"/>
    </row>
    <row r="201">
      <c r="F201" s="22"/>
      <c r="K201" s="23"/>
    </row>
    <row r="202">
      <c r="F202" s="22"/>
      <c r="K202" s="23"/>
    </row>
    <row r="203">
      <c r="F203" s="22"/>
      <c r="K203" s="23"/>
    </row>
    <row r="204">
      <c r="F204" s="22"/>
      <c r="K204" s="23"/>
    </row>
    <row r="205">
      <c r="F205" s="22"/>
      <c r="K205" s="23"/>
    </row>
    <row r="206">
      <c r="F206" s="22"/>
      <c r="K206" s="23"/>
    </row>
    <row r="207">
      <c r="F207" s="22"/>
      <c r="K207" s="23"/>
    </row>
    <row r="208">
      <c r="F208" s="22"/>
      <c r="K208" s="23"/>
    </row>
    <row r="209">
      <c r="F209" s="22"/>
      <c r="K209" s="23"/>
    </row>
    <row r="210">
      <c r="F210" s="22"/>
      <c r="K210" s="23"/>
    </row>
    <row r="211">
      <c r="F211" s="22"/>
      <c r="K211" s="23"/>
    </row>
    <row r="212">
      <c r="F212" s="22"/>
      <c r="K212" s="23"/>
    </row>
    <row r="213">
      <c r="F213" s="22"/>
      <c r="K213" s="23"/>
    </row>
    <row r="214">
      <c r="F214" s="22"/>
      <c r="K214" s="23"/>
    </row>
    <row r="215">
      <c r="F215" s="22"/>
      <c r="K215" s="23"/>
    </row>
    <row r="216">
      <c r="F216" s="22"/>
      <c r="K216" s="23"/>
    </row>
    <row r="217">
      <c r="F217" s="22"/>
      <c r="K217" s="23"/>
    </row>
    <row r="218">
      <c r="F218" s="22"/>
      <c r="K218" s="23"/>
    </row>
    <row r="219">
      <c r="F219" s="22"/>
      <c r="K219" s="23"/>
    </row>
    <row r="220">
      <c r="F220" s="22"/>
      <c r="K220" s="23"/>
    </row>
    <row r="221">
      <c r="F221" s="22"/>
      <c r="K221" s="23"/>
    </row>
    <row r="222">
      <c r="F222" s="22"/>
      <c r="K222" s="23"/>
    </row>
    <row r="223">
      <c r="F223" s="22"/>
      <c r="K223" s="23"/>
    </row>
    <row r="224">
      <c r="F224" s="22"/>
      <c r="K224" s="23"/>
    </row>
    <row r="225">
      <c r="F225" s="22"/>
      <c r="K225" s="23"/>
    </row>
    <row r="226">
      <c r="F226" s="22"/>
      <c r="K226" s="23"/>
    </row>
    <row r="227">
      <c r="F227" s="22"/>
      <c r="K227" s="23"/>
    </row>
    <row r="228">
      <c r="F228" s="22"/>
      <c r="K228" s="23"/>
    </row>
    <row r="229">
      <c r="F229" s="22"/>
      <c r="K229" s="23"/>
    </row>
    <row r="230">
      <c r="F230" s="22"/>
      <c r="K230" s="23"/>
    </row>
    <row r="231">
      <c r="F231" s="22"/>
      <c r="K231" s="23"/>
    </row>
    <row r="232">
      <c r="F232" s="22"/>
      <c r="K232" s="23"/>
    </row>
    <row r="233">
      <c r="F233" s="22"/>
      <c r="K233" s="23"/>
    </row>
    <row r="234">
      <c r="F234" s="22"/>
      <c r="K234" s="23"/>
    </row>
    <row r="235">
      <c r="F235" s="22"/>
      <c r="K235" s="23"/>
    </row>
    <row r="236">
      <c r="F236" s="22"/>
      <c r="K236" s="23"/>
    </row>
    <row r="237">
      <c r="F237" s="22"/>
      <c r="K237" s="23"/>
    </row>
    <row r="238">
      <c r="F238" s="22"/>
      <c r="K238" s="23"/>
    </row>
    <row r="239">
      <c r="F239" s="22"/>
      <c r="K239" s="23"/>
    </row>
    <row r="240">
      <c r="F240" s="22"/>
      <c r="K240" s="23"/>
    </row>
    <row r="241">
      <c r="F241" s="22"/>
      <c r="K241" s="23"/>
    </row>
    <row r="242">
      <c r="F242" s="22"/>
      <c r="K242" s="23"/>
    </row>
    <row r="243">
      <c r="F243" s="22"/>
      <c r="K243" s="23"/>
    </row>
    <row r="244">
      <c r="F244" s="22"/>
      <c r="K244" s="23"/>
    </row>
    <row r="245">
      <c r="F245" s="22"/>
      <c r="K245" s="23"/>
    </row>
    <row r="246">
      <c r="F246" s="22"/>
      <c r="K246" s="23"/>
    </row>
    <row r="247">
      <c r="F247" s="22"/>
      <c r="K247" s="23"/>
    </row>
    <row r="248">
      <c r="F248" s="22"/>
      <c r="K248" s="23"/>
    </row>
    <row r="249">
      <c r="F249" s="22"/>
      <c r="K249" s="23"/>
    </row>
    <row r="250">
      <c r="F250" s="22"/>
      <c r="K250" s="23"/>
    </row>
    <row r="251">
      <c r="F251" s="22"/>
      <c r="K251" s="23"/>
    </row>
    <row r="252">
      <c r="F252" s="22"/>
      <c r="K252" s="23"/>
    </row>
    <row r="253">
      <c r="F253" s="22"/>
      <c r="K253" s="23"/>
    </row>
    <row r="254">
      <c r="F254" s="22"/>
      <c r="K254" s="23"/>
    </row>
    <row r="255">
      <c r="F255" s="22"/>
      <c r="K255" s="23"/>
    </row>
    <row r="256">
      <c r="F256" s="22"/>
      <c r="K256" s="23"/>
    </row>
    <row r="257">
      <c r="F257" s="22"/>
      <c r="K257" s="23"/>
    </row>
    <row r="258">
      <c r="F258" s="22"/>
      <c r="K258" s="23"/>
    </row>
    <row r="259">
      <c r="F259" s="22"/>
      <c r="K259" s="23"/>
    </row>
    <row r="260">
      <c r="F260" s="22"/>
      <c r="K260" s="23"/>
    </row>
    <row r="261">
      <c r="F261" s="22"/>
      <c r="K261" s="23"/>
    </row>
    <row r="262">
      <c r="F262" s="22"/>
      <c r="K262" s="23"/>
    </row>
    <row r="263">
      <c r="F263" s="22"/>
      <c r="K263" s="23"/>
    </row>
    <row r="264">
      <c r="F264" s="22"/>
      <c r="K264" s="23"/>
    </row>
    <row r="265">
      <c r="F265" s="22"/>
      <c r="K265" s="23"/>
    </row>
    <row r="266">
      <c r="F266" s="22"/>
      <c r="K266" s="23"/>
    </row>
    <row r="267">
      <c r="F267" s="22"/>
      <c r="K267" s="23"/>
    </row>
    <row r="268">
      <c r="F268" s="22"/>
      <c r="K268" s="23"/>
    </row>
    <row r="269">
      <c r="F269" s="22"/>
      <c r="K269" s="23"/>
    </row>
    <row r="270">
      <c r="F270" s="22"/>
      <c r="K270" s="23"/>
    </row>
    <row r="271">
      <c r="F271" s="22"/>
      <c r="K271" s="23"/>
    </row>
    <row r="272">
      <c r="F272" s="22"/>
      <c r="K272" s="23"/>
    </row>
    <row r="273">
      <c r="F273" s="22"/>
      <c r="K273" s="23"/>
    </row>
    <row r="274">
      <c r="F274" s="22"/>
      <c r="K274" s="23"/>
    </row>
    <row r="275">
      <c r="F275" s="22"/>
      <c r="K275" s="23"/>
    </row>
    <row r="276">
      <c r="F276" s="22"/>
      <c r="K276" s="23"/>
    </row>
    <row r="277">
      <c r="F277" s="22"/>
      <c r="K277" s="23"/>
    </row>
    <row r="278">
      <c r="F278" s="22"/>
      <c r="K278" s="23"/>
    </row>
    <row r="279">
      <c r="F279" s="22"/>
      <c r="K279" s="23"/>
    </row>
    <row r="280">
      <c r="F280" s="22"/>
      <c r="K280" s="23"/>
    </row>
    <row r="281">
      <c r="F281" s="22"/>
      <c r="K281" s="23"/>
    </row>
    <row r="282">
      <c r="F282" s="22"/>
      <c r="K282" s="23"/>
    </row>
    <row r="283">
      <c r="F283" s="22"/>
      <c r="K283" s="23"/>
    </row>
    <row r="284">
      <c r="F284" s="22"/>
      <c r="K284" s="23"/>
    </row>
    <row r="285">
      <c r="F285" s="22"/>
      <c r="K285" s="23"/>
    </row>
    <row r="286">
      <c r="F286" s="22"/>
      <c r="K286" s="23"/>
    </row>
    <row r="287">
      <c r="F287" s="22"/>
      <c r="K287" s="23"/>
    </row>
    <row r="288">
      <c r="F288" s="22"/>
      <c r="K288" s="23"/>
    </row>
    <row r="289">
      <c r="F289" s="22"/>
      <c r="K289" s="23"/>
    </row>
    <row r="290">
      <c r="F290" s="22"/>
      <c r="K290" s="23"/>
    </row>
    <row r="291">
      <c r="F291" s="22"/>
      <c r="K291" s="23"/>
    </row>
    <row r="292">
      <c r="F292" s="22"/>
      <c r="K292" s="23"/>
    </row>
    <row r="293">
      <c r="F293" s="22"/>
      <c r="K293" s="23"/>
    </row>
    <row r="294">
      <c r="F294" s="22"/>
      <c r="K294" s="23"/>
    </row>
    <row r="295">
      <c r="F295" s="22"/>
      <c r="K295" s="23"/>
    </row>
    <row r="296">
      <c r="F296" s="22"/>
      <c r="K296" s="23"/>
    </row>
    <row r="297">
      <c r="F297" s="22"/>
      <c r="K297" s="23"/>
    </row>
    <row r="298">
      <c r="F298" s="22"/>
      <c r="K298" s="23"/>
    </row>
    <row r="299">
      <c r="F299" s="22"/>
      <c r="K299" s="23"/>
    </row>
    <row r="300">
      <c r="F300" s="22"/>
      <c r="K300" s="23"/>
    </row>
    <row r="301">
      <c r="F301" s="22"/>
      <c r="K301" s="23"/>
    </row>
    <row r="302">
      <c r="F302" s="22"/>
      <c r="K302" s="23"/>
    </row>
    <row r="303">
      <c r="F303" s="22"/>
      <c r="K303" s="23"/>
    </row>
    <row r="304">
      <c r="F304" s="22"/>
      <c r="K304" s="23"/>
    </row>
    <row r="305">
      <c r="F305" s="22"/>
      <c r="K305" s="23"/>
    </row>
    <row r="306">
      <c r="F306" s="22"/>
      <c r="K306" s="23"/>
    </row>
    <row r="307">
      <c r="F307" s="22"/>
      <c r="K307" s="23"/>
    </row>
    <row r="308">
      <c r="F308" s="22"/>
      <c r="K308" s="23"/>
    </row>
    <row r="309">
      <c r="F309" s="22"/>
      <c r="K309" s="23"/>
    </row>
    <row r="310">
      <c r="F310" s="22"/>
      <c r="K310" s="23"/>
    </row>
    <row r="311">
      <c r="F311" s="22"/>
      <c r="K311" s="23"/>
    </row>
    <row r="312">
      <c r="F312" s="22"/>
      <c r="K312" s="23"/>
    </row>
    <row r="313">
      <c r="F313" s="22"/>
      <c r="K313" s="23"/>
    </row>
    <row r="314">
      <c r="F314" s="22"/>
      <c r="K314" s="23"/>
    </row>
    <row r="315">
      <c r="F315" s="22"/>
      <c r="K315" s="23"/>
    </row>
    <row r="316">
      <c r="F316" s="22"/>
      <c r="K316" s="23"/>
    </row>
    <row r="317">
      <c r="F317" s="22"/>
      <c r="K317" s="23"/>
    </row>
    <row r="318">
      <c r="F318" s="22"/>
      <c r="K318" s="23"/>
    </row>
    <row r="319">
      <c r="F319" s="22"/>
      <c r="K319" s="23"/>
    </row>
    <row r="320">
      <c r="F320" s="22"/>
      <c r="K320" s="23"/>
    </row>
    <row r="321">
      <c r="F321" s="22"/>
      <c r="K321" s="23"/>
    </row>
    <row r="322">
      <c r="F322" s="22"/>
      <c r="K322" s="23"/>
    </row>
    <row r="323">
      <c r="F323" s="22"/>
      <c r="K323" s="23"/>
    </row>
    <row r="324">
      <c r="F324" s="22"/>
      <c r="K324" s="23"/>
    </row>
    <row r="325">
      <c r="F325" s="22"/>
      <c r="K325" s="23"/>
    </row>
    <row r="326">
      <c r="F326" s="22"/>
      <c r="K326" s="23"/>
    </row>
    <row r="327">
      <c r="F327" s="22"/>
      <c r="K327" s="23"/>
    </row>
    <row r="328">
      <c r="F328" s="22"/>
      <c r="K328" s="23"/>
    </row>
    <row r="329">
      <c r="F329" s="22"/>
      <c r="K329" s="23"/>
    </row>
    <row r="330">
      <c r="F330" s="22"/>
      <c r="K330" s="23"/>
    </row>
    <row r="331">
      <c r="F331" s="22"/>
      <c r="K331" s="23"/>
    </row>
    <row r="332">
      <c r="F332" s="22"/>
      <c r="K332" s="23"/>
    </row>
    <row r="333">
      <c r="F333" s="22"/>
      <c r="K333" s="23"/>
    </row>
    <row r="334">
      <c r="F334" s="22"/>
      <c r="K334" s="23"/>
    </row>
    <row r="335">
      <c r="F335" s="22"/>
      <c r="K335" s="23"/>
    </row>
    <row r="336">
      <c r="F336" s="22"/>
      <c r="K336" s="23"/>
    </row>
    <row r="337">
      <c r="F337" s="22"/>
      <c r="K337" s="23"/>
    </row>
    <row r="338">
      <c r="F338" s="22"/>
      <c r="K338" s="23"/>
    </row>
    <row r="339">
      <c r="F339" s="22"/>
      <c r="K339" s="23"/>
    </row>
    <row r="340">
      <c r="F340" s="22"/>
      <c r="K340" s="23"/>
    </row>
    <row r="341">
      <c r="F341" s="22"/>
      <c r="K341" s="23"/>
    </row>
    <row r="342">
      <c r="F342" s="22"/>
      <c r="K342" s="23"/>
    </row>
    <row r="343">
      <c r="F343" s="22"/>
      <c r="K343" s="23"/>
    </row>
    <row r="344">
      <c r="F344" s="22"/>
      <c r="K344" s="23"/>
    </row>
    <row r="345">
      <c r="F345" s="22"/>
      <c r="K345" s="23"/>
    </row>
    <row r="346">
      <c r="F346" s="22"/>
      <c r="K346" s="23"/>
    </row>
    <row r="347">
      <c r="F347" s="22"/>
      <c r="K347" s="23"/>
    </row>
    <row r="348">
      <c r="F348" s="22"/>
      <c r="K348" s="23"/>
    </row>
    <row r="349">
      <c r="F349" s="22"/>
      <c r="K349" s="23"/>
    </row>
    <row r="350">
      <c r="F350" s="22"/>
      <c r="K350" s="23"/>
    </row>
    <row r="351">
      <c r="F351" s="22"/>
      <c r="K351" s="23"/>
    </row>
    <row r="352">
      <c r="F352" s="22"/>
      <c r="K352" s="23"/>
    </row>
    <row r="353">
      <c r="F353" s="22"/>
      <c r="K353" s="23"/>
    </row>
    <row r="354">
      <c r="F354" s="22"/>
      <c r="K354" s="23"/>
    </row>
    <row r="355">
      <c r="F355" s="22"/>
      <c r="K355" s="23"/>
    </row>
    <row r="356">
      <c r="F356" s="22"/>
      <c r="K356" s="23"/>
    </row>
    <row r="357">
      <c r="F357" s="22"/>
      <c r="K357" s="23"/>
    </row>
    <row r="358">
      <c r="F358" s="22"/>
      <c r="K358" s="23"/>
    </row>
    <row r="359">
      <c r="F359" s="22"/>
      <c r="K359" s="23"/>
    </row>
    <row r="360">
      <c r="F360" s="22"/>
      <c r="K360" s="23"/>
    </row>
    <row r="361">
      <c r="F361" s="22"/>
      <c r="K361" s="23"/>
    </row>
    <row r="362">
      <c r="F362" s="22"/>
      <c r="K362" s="23"/>
    </row>
    <row r="363">
      <c r="F363" s="22"/>
      <c r="K363" s="23"/>
    </row>
    <row r="364">
      <c r="F364" s="22"/>
      <c r="K364" s="23"/>
    </row>
    <row r="365">
      <c r="F365" s="22"/>
      <c r="K365" s="23"/>
    </row>
    <row r="366">
      <c r="F366" s="22"/>
      <c r="K366" s="23"/>
    </row>
    <row r="367">
      <c r="F367" s="22"/>
      <c r="K367" s="23"/>
    </row>
    <row r="368">
      <c r="F368" s="22"/>
      <c r="K368" s="23"/>
    </row>
    <row r="369">
      <c r="F369" s="22"/>
      <c r="K369" s="23"/>
    </row>
    <row r="370">
      <c r="F370" s="22"/>
      <c r="K370" s="23"/>
    </row>
    <row r="371">
      <c r="F371" s="22"/>
      <c r="K371" s="23"/>
    </row>
    <row r="372">
      <c r="F372" s="22"/>
      <c r="K372" s="23"/>
    </row>
    <row r="373">
      <c r="F373" s="22"/>
      <c r="K373" s="23"/>
    </row>
    <row r="374">
      <c r="F374" s="22"/>
      <c r="K374" s="23"/>
    </row>
    <row r="375">
      <c r="F375" s="22"/>
      <c r="K375" s="23"/>
    </row>
    <row r="376">
      <c r="F376" s="22"/>
      <c r="K376" s="23"/>
    </row>
    <row r="377">
      <c r="F377" s="22"/>
      <c r="K377" s="23"/>
    </row>
    <row r="378">
      <c r="F378" s="22"/>
      <c r="K378" s="23"/>
    </row>
    <row r="379">
      <c r="F379" s="22"/>
      <c r="K379" s="23"/>
    </row>
    <row r="380">
      <c r="F380" s="22"/>
      <c r="K380" s="23"/>
    </row>
    <row r="381">
      <c r="F381" s="22"/>
      <c r="K381" s="23"/>
    </row>
    <row r="382">
      <c r="F382" s="22"/>
      <c r="K382" s="23"/>
    </row>
    <row r="383">
      <c r="F383" s="22"/>
      <c r="K383" s="23"/>
    </row>
    <row r="384">
      <c r="F384" s="22"/>
      <c r="K384" s="23"/>
    </row>
    <row r="385">
      <c r="F385" s="22"/>
      <c r="K385" s="23"/>
    </row>
    <row r="386">
      <c r="F386" s="22"/>
      <c r="K386" s="23"/>
    </row>
    <row r="387">
      <c r="F387" s="22"/>
      <c r="K387" s="23"/>
    </row>
    <row r="388">
      <c r="F388" s="22"/>
      <c r="K388" s="23"/>
    </row>
    <row r="389">
      <c r="F389" s="22"/>
      <c r="K389" s="23"/>
    </row>
    <row r="390">
      <c r="F390" s="22"/>
      <c r="K390" s="23"/>
    </row>
    <row r="391">
      <c r="F391" s="22"/>
      <c r="K391" s="23"/>
    </row>
    <row r="392">
      <c r="F392" s="22"/>
      <c r="K392" s="23"/>
    </row>
    <row r="393">
      <c r="F393" s="22"/>
      <c r="K393" s="23"/>
    </row>
    <row r="394">
      <c r="F394" s="22"/>
      <c r="K394" s="23"/>
    </row>
    <row r="395">
      <c r="F395" s="22"/>
      <c r="K395" s="23"/>
    </row>
    <row r="396">
      <c r="F396" s="22"/>
      <c r="K396" s="23"/>
    </row>
    <row r="397">
      <c r="F397" s="22"/>
      <c r="K397" s="23"/>
    </row>
    <row r="398">
      <c r="F398" s="22"/>
      <c r="K398" s="23"/>
    </row>
    <row r="399">
      <c r="F399" s="22"/>
      <c r="K399" s="23"/>
    </row>
    <row r="400">
      <c r="F400" s="22"/>
      <c r="K400" s="23"/>
    </row>
    <row r="401">
      <c r="F401" s="22"/>
      <c r="K401" s="23"/>
    </row>
    <row r="402">
      <c r="F402" s="22"/>
      <c r="K402" s="23"/>
    </row>
    <row r="403">
      <c r="F403" s="22"/>
      <c r="K403" s="23"/>
    </row>
    <row r="404">
      <c r="F404" s="22"/>
      <c r="K404" s="23"/>
    </row>
    <row r="405">
      <c r="F405" s="22"/>
      <c r="K405" s="23"/>
    </row>
    <row r="406">
      <c r="F406" s="22"/>
      <c r="K406" s="23"/>
    </row>
    <row r="407">
      <c r="F407" s="22"/>
      <c r="K407" s="23"/>
    </row>
    <row r="408">
      <c r="F408" s="22"/>
      <c r="K408" s="23"/>
    </row>
    <row r="409">
      <c r="F409" s="22"/>
      <c r="K409" s="23"/>
    </row>
    <row r="410">
      <c r="F410" s="22"/>
      <c r="K410" s="23"/>
    </row>
    <row r="411">
      <c r="F411" s="22"/>
      <c r="K411" s="23"/>
    </row>
    <row r="412">
      <c r="F412" s="22"/>
      <c r="K412" s="23"/>
    </row>
    <row r="413">
      <c r="F413" s="22"/>
      <c r="K413" s="23"/>
    </row>
    <row r="414">
      <c r="F414" s="22"/>
      <c r="K414" s="23"/>
    </row>
    <row r="415">
      <c r="F415" s="22"/>
      <c r="K415" s="23"/>
    </row>
    <row r="416">
      <c r="F416" s="22"/>
      <c r="K416" s="23"/>
    </row>
    <row r="417">
      <c r="F417" s="22"/>
      <c r="K417" s="23"/>
    </row>
    <row r="418">
      <c r="F418" s="22"/>
      <c r="K418" s="23"/>
    </row>
    <row r="419">
      <c r="F419" s="22"/>
      <c r="K419" s="23"/>
    </row>
    <row r="420">
      <c r="F420" s="22"/>
      <c r="K420" s="23"/>
    </row>
    <row r="421">
      <c r="F421" s="22"/>
      <c r="K421" s="23"/>
    </row>
    <row r="422">
      <c r="F422" s="22"/>
      <c r="K422" s="23"/>
    </row>
    <row r="423">
      <c r="F423" s="22"/>
      <c r="K423" s="23"/>
    </row>
    <row r="424">
      <c r="F424" s="22"/>
      <c r="K424" s="23"/>
    </row>
    <row r="425">
      <c r="F425" s="22"/>
      <c r="K425" s="23"/>
    </row>
    <row r="426">
      <c r="F426" s="22"/>
      <c r="K426" s="23"/>
    </row>
    <row r="427">
      <c r="F427" s="22"/>
      <c r="K427" s="23"/>
    </row>
    <row r="428">
      <c r="F428" s="22"/>
      <c r="K428" s="23"/>
    </row>
    <row r="429">
      <c r="F429" s="22"/>
      <c r="K429" s="23"/>
    </row>
    <row r="430">
      <c r="F430" s="22"/>
      <c r="K430" s="23"/>
    </row>
    <row r="431">
      <c r="F431" s="22"/>
      <c r="K431" s="23"/>
    </row>
    <row r="432">
      <c r="F432" s="22"/>
      <c r="K432" s="23"/>
    </row>
    <row r="433">
      <c r="F433" s="22"/>
      <c r="K433" s="23"/>
    </row>
    <row r="434">
      <c r="F434" s="22"/>
      <c r="K434" s="23"/>
    </row>
    <row r="435">
      <c r="F435" s="22"/>
      <c r="K435" s="23"/>
    </row>
    <row r="436">
      <c r="F436" s="22"/>
      <c r="K436" s="23"/>
    </row>
    <row r="437">
      <c r="F437" s="22"/>
      <c r="K437" s="23"/>
    </row>
    <row r="438">
      <c r="F438" s="22"/>
      <c r="K438" s="23"/>
    </row>
    <row r="439">
      <c r="F439" s="22"/>
      <c r="K439" s="23"/>
    </row>
    <row r="440">
      <c r="F440" s="22"/>
      <c r="K440" s="23"/>
    </row>
    <row r="441">
      <c r="F441" s="22"/>
      <c r="K441" s="23"/>
    </row>
    <row r="442">
      <c r="F442" s="22"/>
      <c r="K442" s="23"/>
    </row>
    <row r="443">
      <c r="F443" s="22"/>
      <c r="K443" s="23"/>
    </row>
    <row r="444">
      <c r="F444" s="22"/>
      <c r="K444" s="23"/>
    </row>
    <row r="445">
      <c r="F445" s="22"/>
      <c r="K445" s="23"/>
    </row>
    <row r="446">
      <c r="F446" s="22"/>
      <c r="K446" s="23"/>
    </row>
    <row r="447">
      <c r="F447" s="22"/>
      <c r="K447" s="23"/>
    </row>
    <row r="448">
      <c r="F448" s="22"/>
      <c r="K448" s="23"/>
    </row>
    <row r="449">
      <c r="F449" s="22"/>
      <c r="K449" s="23"/>
    </row>
    <row r="450">
      <c r="F450" s="22"/>
      <c r="K450" s="23"/>
    </row>
    <row r="451">
      <c r="F451" s="22"/>
      <c r="K451" s="23"/>
    </row>
    <row r="452">
      <c r="F452" s="22"/>
      <c r="K452" s="23"/>
    </row>
    <row r="453">
      <c r="F453" s="22"/>
      <c r="K453" s="23"/>
    </row>
    <row r="454">
      <c r="F454" s="22"/>
      <c r="K454" s="23"/>
    </row>
    <row r="455">
      <c r="F455" s="22"/>
      <c r="K455" s="23"/>
    </row>
    <row r="456">
      <c r="F456" s="22"/>
      <c r="K456" s="23"/>
    </row>
    <row r="457">
      <c r="F457" s="22"/>
      <c r="K457" s="23"/>
    </row>
    <row r="458">
      <c r="F458" s="22"/>
      <c r="K458" s="23"/>
    </row>
    <row r="459">
      <c r="F459" s="22"/>
      <c r="K459" s="23"/>
    </row>
    <row r="460">
      <c r="F460" s="22"/>
      <c r="K460" s="23"/>
    </row>
    <row r="461">
      <c r="F461" s="22"/>
      <c r="K461" s="23"/>
    </row>
    <row r="462">
      <c r="F462" s="22"/>
      <c r="K462" s="23"/>
    </row>
    <row r="463">
      <c r="F463" s="22"/>
      <c r="K463" s="23"/>
    </row>
    <row r="464">
      <c r="F464" s="22"/>
      <c r="K464" s="23"/>
    </row>
    <row r="465">
      <c r="F465" s="22"/>
      <c r="K465" s="23"/>
    </row>
    <row r="466">
      <c r="F466" s="22"/>
      <c r="K466" s="23"/>
    </row>
    <row r="467">
      <c r="F467" s="22"/>
      <c r="K467" s="23"/>
    </row>
    <row r="468">
      <c r="F468" s="22"/>
      <c r="K468" s="23"/>
    </row>
    <row r="469">
      <c r="F469" s="22"/>
      <c r="K469" s="23"/>
    </row>
    <row r="470">
      <c r="F470" s="22"/>
      <c r="K470" s="23"/>
    </row>
    <row r="471">
      <c r="F471" s="22"/>
      <c r="K471" s="23"/>
    </row>
    <row r="472">
      <c r="F472" s="22"/>
      <c r="K472" s="23"/>
    </row>
    <row r="473">
      <c r="F473" s="22"/>
      <c r="K473" s="23"/>
    </row>
    <row r="474">
      <c r="F474" s="22"/>
      <c r="K474" s="23"/>
    </row>
    <row r="475">
      <c r="F475" s="22"/>
      <c r="K475" s="23"/>
    </row>
    <row r="476">
      <c r="F476" s="22"/>
      <c r="K476" s="23"/>
    </row>
    <row r="477">
      <c r="F477" s="22"/>
      <c r="K477" s="23"/>
    </row>
    <row r="478">
      <c r="F478" s="22"/>
      <c r="K478" s="23"/>
    </row>
    <row r="479">
      <c r="F479" s="22"/>
      <c r="K479" s="23"/>
    </row>
    <row r="480">
      <c r="F480" s="22"/>
      <c r="K480" s="23"/>
    </row>
    <row r="481">
      <c r="F481" s="22"/>
      <c r="K481" s="23"/>
    </row>
    <row r="482">
      <c r="F482" s="22"/>
      <c r="K482" s="23"/>
    </row>
    <row r="483">
      <c r="F483" s="22"/>
      <c r="K483" s="23"/>
    </row>
    <row r="484">
      <c r="F484" s="22"/>
      <c r="K484" s="23"/>
    </row>
    <row r="485">
      <c r="F485" s="22"/>
      <c r="K485" s="23"/>
    </row>
    <row r="486">
      <c r="F486" s="22"/>
      <c r="K486" s="23"/>
    </row>
    <row r="487">
      <c r="F487" s="22"/>
      <c r="K487" s="23"/>
    </row>
    <row r="488">
      <c r="F488" s="22"/>
      <c r="K488" s="23"/>
    </row>
    <row r="489">
      <c r="F489" s="22"/>
      <c r="K489" s="23"/>
    </row>
    <row r="490">
      <c r="F490" s="22"/>
      <c r="K490" s="23"/>
    </row>
    <row r="491">
      <c r="F491" s="22"/>
      <c r="K491" s="23"/>
    </row>
    <row r="492">
      <c r="F492" s="22"/>
      <c r="K492" s="23"/>
    </row>
    <row r="493">
      <c r="F493" s="22"/>
      <c r="K493" s="23"/>
    </row>
    <row r="494">
      <c r="F494" s="22"/>
      <c r="K494" s="23"/>
    </row>
    <row r="495">
      <c r="F495" s="22"/>
      <c r="K495" s="23"/>
    </row>
    <row r="496">
      <c r="F496" s="22"/>
      <c r="K496" s="23"/>
    </row>
    <row r="497">
      <c r="F497" s="22"/>
      <c r="K497" s="23"/>
    </row>
    <row r="498">
      <c r="F498" s="22"/>
      <c r="K498" s="23"/>
    </row>
    <row r="499">
      <c r="F499" s="22"/>
      <c r="K499" s="23"/>
    </row>
    <row r="500">
      <c r="F500" s="22"/>
      <c r="K500" s="23"/>
    </row>
    <row r="501">
      <c r="F501" s="22"/>
      <c r="K501" s="23"/>
    </row>
    <row r="502">
      <c r="F502" s="22"/>
      <c r="K502" s="23"/>
    </row>
    <row r="503">
      <c r="F503" s="22"/>
      <c r="K503" s="23"/>
    </row>
    <row r="504">
      <c r="F504" s="22"/>
      <c r="K504" s="23"/>
    </row>
    <row r="505">
      <c r="F505" s="22"/>
      <c r="K505" s="23"/>
    </row>
    <row r="506">
      <c r="F506" s="22"/>
      <c r="K506" s="23"/>
    </row>
    <row r="507">
      <c r="F507" s="22"/>
      <c r="K507" s="23"/>
    </row>
    <row r="508">
      <c r="F508" s="22"/>
      <c r="K508" s="23"/>
    </row>
    <row r="509">
      <c r="F509" s="22"/>
      <c r="K509" s="23"/>
    </row>
    <row r="510">
      <c r="F510" s="22"/>
      <c r="K510" s="23"/>
    </row>
    <row r="511">
      <c r="F511" s="22"/>
      <c r="K511" s="23"/>
    </row>
    <row r="512">
      <c r="F512" s="22"/>
      <c r="K512" s="23"/>
    </row>
    <row r="513">
      <c r="F513" s="22"/>
      <c r="K513" s="23"/>
    </row>
    <row r="514">
      <c r="F514" s="22"/>
      <c r="K514" s="23"/>
    </row>
    <row r="515">
      <c r="F515" s="22"/>
      <c r="K515" s="23"/>
    </row>
    <row r="516">
      <c r="F516" s="22"/>
      <c r="K516" s="23"/>
    </row>
    <row r="517">
      <c r="F517" s="22"/>
      <c r="K517" s="23"/>
    </row>
    <row r="518">
      <c r="F518" s="22"/>
      <c r="K518" s="23"/>
    </row>
    <row r="519">
      <c r="F519" s="22"/>
      <c r="K519" s="23"/>
    </row>
    <row r="520">
      <c r="F520" s="22"/>
      <c r="K520" s="23"/>
    </row>
    <row r="521">
      <c r="F521" s="22"/>
      <c r="K521" s="23"/>
    </row>
    <row r="522">
      <c r="F522" s="22"/>
      <c r="K522" s="23"/>
    </row>
    <row r="523">
      <c r="F523" s="22"/>
      <c r="K523" s="23"/>
    </row>
    <row r="524">
      <c r="F524" s="22"/>
      <c r="K524" s="23"/>
    </row>
    <row r="525">
      <c r="F525" s="22"/>
      <c r="K525" s="23"/>
    </row>
    <row r="526">
      <c r="F526" s="22"/>
      <c r="K526" s="23"/>
    </row>
    <row r="527">
      <c r="F527" s="22"/>
      <c r="K527" s="23"/>
    </row>
    <row r="528">
      <c r="F528" s="22"/>
      <c r="K528" s="23"/>
    </row>
    <row r="529">
      <c r="F529" s="22"/>
      <c r="K529" s="23"/>
    </row>
    <row r="530">
      <c r="F530" s="22"/>
      <c r="K530" s="23"/>
    </row>
    <row r="531">
      <c r="F531" s="22"/>
      <c r="K531" s="23"/>
    </row>
    <row r="532">
      <c r="F532" s="22"/>
      <c r="K532" s="23"/>
    </row>
    <row r="533">
      <c r="F533" s="22"/>
      <c r="K533" s="23"/>
    </row>
    <row r="534">
      <c r="F534" s="22"/>
      <c r="K534" s="23"/>
    </row>
    <row r="535">
      <c r="F535" s="22"/>
      <c r="K535" s="23"/>
    </row>
    <row r="536">
      <c r="F536" s="22"/>
      <c r="K536" s="23"/>
    </row>
    <row r="537">
      <c r="F537" s="22"/>
      <c r="K537" s="23"/>
    </row>
    <row r="538">
      <c r="F538" s="22"/>
      <c r="K538" s="23"/>
    </row>
    <row r="539">
      <c r="F539" s="22"/>
      <c r="K539" s="23"/>
    </row>
    <row r="540">
      <c r="F540" s="22"/>
      <c r="K540" s="23"/>
    </row>
    <row r="541">
      <c r="F541" s="22"/>
      <c r="K541" s="23"/>
    </row>
    <row r="542">
      <c r="F542" s="22"/>
      <c r="K542" s="23"/>
    </row>
    <row r="543">
      <c r="F543" s="22"/>
      <c r="K543" s="23"/>
    </row>
    <row r="544">
      <c r="F544" s="22"/>
      <c r="K544" s="23"/>
    </row>
    <row r="545">
      <c r="F545" s="22"/>
      <c r="K545" s="23"/>
    </row>
    <row r="546">
      <c r="F546" s="22"/>
      <c r="K546" s="23"/>
    </row>
    <row r="547">
      <c r="F547" s="22"/>
      <c r="K547" s="23"/>
    </row>
    <row r="548">
      <c r="F548" s="22"/>
      <c r="K548" s="23"/>
    </row>
    <row r="549">
      <c r="F549" s="22"/>
      <c r="K549" s="23"/>
    </row>
    <row r="550">
      <c r="F550" s="22"/>
      <c r="K550" s="23"/>
    </row>
    <row r="551">
      <c r="F551" s="22"/>
      <c r="K551" s="23"/>
    </row>
    <row r="552">
      <c r="F552" s="22"/>
      <c r="K552" s="23"/>
    </row>
    <row r="553">
      <c r="F553" s="22"/>
      <c r="K553" s="23"/>
    </row>
    <row r="554">
      <c r="F554" s="22"/>
      <c r="K554" s="23"/>
    </row>
    <row r="555">
      <c r="F555" s="22"/>
      <c r="K555" s="23"/>
    </row>
    <row r="556">
      <c r="F556" s="22"/>
      <c r="K556" s="23"/>
    </row>
    <row r="557">
      <c r="F557" s="22"/>
      <c r="K557" s="23"/>
    </row>
    <row r="558">
      <c r="F558" s="22"/>
      <c r="K558" s="23"/>
    </row>
    <row r="559">
      <c r="F559" s="22"/>
      <c r="K559" s="23"/>
    </row>
    <row r="560">
      <c r="F560" s="22"/>
      <c r="K560" s="23"/>
    </row>
    <row r="561">
      <c r="F561" s="22"/>
      <c r="K561" s="23"/>
    </row>
    <row r="562">
      <c r="F562" s="22"/>
      <c r="K562" s="23"/>
    </row>
    <row r="563">
      <c r="F563" s="22"/>
      <c r="K563" s="23"/>
    </row>
    <row r="564">
      <c r="F564" s="22"/>
      <c r="K564" s="23"/>
    </row>
    <row r="565">
      <c r="F565" s="22"/>
      <c r="K565" s="23"/>
    </row>
    <row r="566">
      <c r="F566" s="22"/>
      <c r="K566" s="23"/>
    </row>
    <row r="567">
      <c r="F567" s="22"/>
      <c r="K567" s="23"/>
    </row>
    <row r="568">
      <c r="F568" s="22"/>
      <c r="K568" s="23"/>
    </row>
    <row r="569">
      <c r="F569" s="22"/>
      <c r="K569" s="23"/>
    </row>
    <row r="570">
      <c r="F570" s="22"/>
      <c r="K570" s="23"/>
    </row>
    <row r="571">
      <c r="F571" s="22"/>
      <c r="K571" s="23"/>
    </row>
    <row r="572">
      <c r="F572" s="22"/>
      <c r="K572" s="23"/>
    </row>
    <row r="573">
      <c r="F573" s="22"/>
      <c r="K573" s="23"/>
    </row>
    <row r="574">
      <c r="F574" s="22"/>
      <c r="K574" s="23"/>
    </row>
    <row r="575">
      <c r="F575" s="22"/>
      <c r="K575" s="23"/>
    </row>
    <row r="576">
      <c r="F576" s="22"/>
      <c r="K576" s="23"/>
    </row>
    <row r="577">
      <c r="F577" s="22"/>
      <c r="K577" s="23"/>
    </row>
    <row r="578">
      <c r="F578" s="22"/>
      <c r="K578" s="23"/>
    </row>
    <row r="579">
      <c r="F579" s="22"/>
      <c r="K579" s="23"/>
    </row>
    <row r="580">
      <c r="F580" s="22"/>
      <c r="K580" s="23"/>
    </row>
    <row r="581">
      <c r="F581" s="22"/>
      <c r="K581" s="23"/>
    </row>
    <row r="582">
      <c r="F582" s="22"/>
      <c r="K582" s="23"/>
    </row>
    <row r="583">
      <c r="F583" s="22"/>
      <c r="K583" s="23"/>
    </row>
    <row r="584">
      <c r="F584" s="22"/>
      <c r="K584" s="23"/>
    </row>
    <row r="585">
      <c r="F585" s="22"/>
      <c r="K585" s="23"/>
    </row>
    <row r="586">
      <c r="F586" s="22"/>
      <c r="K586" s="23"/>
    </row>
    <row r="587">
      <c r="F587" s="22"/>
      <c r="K587" s="23"/>
    </row>
    <row r="588">
      <c r="F588" s="22"/>
      <c r="K588" s="23"/>
    </row>
    <row r="589">
      <c r="F589" s="22"/>
      <c r="K589" s="23"/>
    </row>
    <row r="590">
      <c r="F590" s="22"/>
      <c r="K590" s="23"/>
    </row>
    <row r="591">
      <c r="F591" s="22"/>
      <c r="K591" s="23"/>
    </row>
    <row r="592">
      <c r="F592" s="22"/>
      <c r="K592" s="23"/>
    </row>
    <row r="593">
      <c r="F593" s="22"/>
      <c r="K593" s="23"/>
    </row>
    <row r="594">
      <c r="F594" s="22"/>
      <c r="K594" s="23"/>
    </row>
    <row r="595">
      <c r="F595" s="22"/>
      <c r="K595" s="23"/>
    </row>
    <row r="596">
      <c r="F596" s="22"/>
      <c r="K596" s="23"/>
    </row>
    <row r="597">
      <c r="F597" s="22"/>
      <c r="K597" s="23"/>
    </row>
    <row r="598">
      <c r="F598" s="22"/>
      <c r="K598" s="23"/>
    </row>
    <row r="599">
      <c r="F599" s="22"/>
      <c r="K599" s="23"/>
    </row>
    <row r="600">
      <c r="F600" s="22"/>
      <c r="K600" s="23"/>
    </row>
    <row r="601">
      <c r="F601" s="22"/>
      <c r="K601" s="23"/>
    </row>
    <row r="602">
      <c r="F602" s="22"/>
      <c r="K602" s="23"/>
    </row>
    <row r="603">
      <c r="F603" s="22"/>
      <c r="K603" s="23"/>
    </row>
    <row r="604">
      <c r="F604" s="22"/>
      <c r="K604" s="23"/>
    </row>
    <row r="605">
      <c r="F605" s="22"/>
      <c r="K605" s="23"/>
    </row>
    <row r="606">
      <c r="F606" s="22"/>
      <c r="K606" s="23"/>
    </row>
    <row r="607">
      <c r="F607" s="22"/>
      <c r="K607" s="23"/>
    </row>
    <row r="608">
      <c r="F608" s="22"/>
      <c r="K608" s="23"/>
    </row>
    <row r="609">
      <c r="F609" s="22"/>
      <c r="K609" s="23"/>
    </row>
    <row r="610">
      <c r="F610" s="22"/>
      <c r="K610" s="23"/>
    </row>
    <row r="611">
      <c r="F611" s="22"/>
      <c r="K611" s="23"/>
    </row>
    <row r="612">
      <c r="F612" s="22"/>
      <c r="K612" s="23"/>
    </row>
    <row r="613">
      <c r="F613" s="22"/>
      <c r="K613" s="23"/>
    </row>
    <row r="614">
      <c r="F614" s="22"/>
      <c r="K614" s="23"/>
    </row>
    <row r="615">
      <c r="F615" s="22"/>
      <c r="K615" s="23"/>
    </row>
    <row r="616">
      <c r="F616" s="22"/>
      <c r="K616" s="23"/>
    </row>
    <row r="617">
      <c r="F617" s="22"/>
      <c r="K617" s="23"/>
    </row>
    <row r="618">
      <c r="F618" s="22"/>
      <c r="K618" s="23"/>
    </row>
    <row r="619">
      <c r="F619" s="22"/>
      <c r="K619" s="23"/>
    </row>
    <row r="620">
      <c r="F620" s="22"/>
      <c r="K620" s="23"/>
    </row>
    <row r="621">
      <c r="F621" s="22"/>
      <c r="K621" s="23"/>
    </row>
    <row r="622">
      <c r="F622" s="22"/>
      <c r="K622" s="23"/>
    </row>
    <row r="623">
      <c r="F623" s="22"/>
      <c r="K623" s="23"/>
    </row>
    <row r="624">
      <c r="F624" s="22"/>
      <c r="K624" s="23"/>
    </row>
    <row r="625">
      <c r="F625" s="22"/>
      <c r="K625" s="23"/>
    </row>
    <row r="626">
      <c r="F626" s="22"/>
      <c r="K626" s="23"/>
    </row>
    <row r="627">
      <c r="F627" s="22"/>
      <c r="K627" s="23"/>
    </row>
    <row r="628">
      <c r="F628" s="22"/>
      <c r="K628" s="23"/>
    </row>
    <row r="629">
      <c r="F629" s="22"/>
      <c r="K629" s="23"/>
    </row>
    <row r="630">
      <c r="F630" s="22"/>
      <c r="K630" s="23"/>
    </row>
    <row r="631">
      <c r="F631" s="22"/>
      <c r="K631" s="23"/>
    </row>
    <row r="632">
      <c r="F632" s="22"/>
      <c r="K632" s="23"/>
    </row>
    <row r="633">
      <c r="F633" s="22"/>
      <c r="K633" s="23"/>
    </row>
    <row r="634">
      <c r="F634" s="22"/>
      <c r="K634" s="23"/>
    </row>
    <row r="635">
      <c r="F635" s="22"/>
      <c r="K635" s="23"/>
    </row>
    <row r="636">
      <c r="F636" s="22"/>
      <c r="K636" s="23"/>
    </row>
    <row r="637">
      <c r="F637" s="22"/>
      <c r="K637" s="23"/>
    </row>
    <row r="638">
      <c r="F638" s="22"/>
      <c r="K638" s="23"/>
    </row>
    <row r="639">
      <c r="F639" s="22"/>
      <c r="K639" s="23"/>
    </row>
    <row r="640">
      <c r="F640" s="22"/>
      <c r="K640" s="23"/>
    </row>
    <row r="641">
      <c r="F641" s="22"/>
      <c r="K641" s="23"/>
    </row>
    <row r="642">
      <c r="F642" s="22"/>
      <c r="K642" s="23"/>
    </row>
    <row r="643">
      <c r="F643" s="22"/>
      <c r="K643" s="23"/>
    </row>
    <row r="644">
      <c r="F644" s="22"/>
      <c r="K644" s="23"/>
    </row>
    <row r="645">
      <c r="F645" s="22"/>
      <c r="K645" s="23"/>
    </row>
    <row r="646">
      <c r="F646" s="22"/>
      <c r="K646" s="23"/>
    </row>
    <row r="647">
      <c r="F647" s="22"/>
      <c r="K647" s="23"/>
    </row>
    <row r="648">
      <c r="F648" s="22"/>
      <c r="K648" s="23"/>
    </row>
    <row r="649">
      <c r="F649" s="22"/>
      <c r="K649" s="23"/>
    </row>
    <row r="650">
      <c r="F650" s="22"/>
      <c r="K650" s="23"/>
    </row>
    <row r="651">
      <c r="F651" s="22"/>
      <c r="K651" s="23"/>
    </row>
    <row r="652">
      <c r="F652" s="22"/>
      <c r="K652" s="23"/>
    </row>
    <row r="653">
      <c r="F653" s="22"/>
      <c r="K653" s="23"/>
    </row>
    <row r="654">
      <c r="F654" s="22"/>
      <c r="K654" s="23"/>
    </row>
    <row r="655">
      <c r="F655" s="22"/>
      <c r="K655" s="23"/>
    </row>
    <row r="656">
      <c r="F656" s="22"/>
      <c r="K656" s="23"/>
    </row>
    <row r="657">
      <c r="F657" s="22"/>
      <c r="K657" s="23"/>
    </row>
    <row r="658">
      <c r="F658" s="22"/>
      <c r="K658" s="23"/>
    </row>
    <row r="659">
      <c r="F659" s="22"/>
      <c r="K659" s="23"/>
    </row>
    <row r="660">
      <c r="F660" s="22"/>
      <c r="K660" s="23"/>
    </row>
    <row r="661">
      <c r="F661" s="22"/>
      <c r="K661" s="23"/>
    </row>
    <row r="662">
      <c r="F662" s="22"/>
      <c r="K662" s="23"/>
    </row>
    <row r="663">
      <c r="F663" s="22"/>
      <c r="K663" s="23"/>
    </row>
    <row r="664">
      <c r="F664" s="22"/>
      <c r="K664" s="23"/>
    </row>
    <row r="665">
      <c r="F665" s="22"/>
      <c r="K665" s="23"/>
    </row>
    <row r="666">
      <c r="F666" s="22"/>
      <c r="K666" s="23"/>
    </row>
    <row r="667">
      <c r="F667" s="22"/>
      <c r="K667" s="23"/>
    </row>
    <row r="668">
      <c r="F668" s="22"/>
      <c r="K668" s="23"/>
    </row>
    <row r="669">
      <c r="F669" s="22"/>
      <c r="K669" s="23"/>
    </row>
    <row r="670">
      <c r="F670" s="22"/>
      <c r="K670" s="23"/>
    </row>
    <row r="671">
      <c r="F671" s="22"/>
      <c r="K671" s="23"/>
    </row>
    <row r="672">
      <c r="F672" s="22"/>
      <c r="K672" s="23"/>
    </row>
    <row r="673">
      <c r="F673" s="22"/>
      <c r="K673" s="23"/>
    </row>
    <row r="674">
      <c r="F674" s="22"/>
      <c r="K674" s="23"/>
    </row>
    <row r="675">
      <c r="F675" s="22"/>
      <c r="K675" s="23"/>
    </row>
    <row r="676">
      <c r="F676" s="22"/>
      <c r="K676" s="23"/>
    </row>
    <row r="677">
      <c r="F677" s="22"/>
      <c r="K677" s="23"/>
    </row>
    <row r="678">
      <c r="F678" s="22"/>
      <c r="K678" s="23"/>
    </row>
    <row r="679">
      <c r="F679" s="22"/>
      <c r="K679" s="23"/>
    </row>
    <row r="680">
      <c r="F680" s="22"/>
      <c r="K680" s="23"/>
    </row>
    <row r="681">
      <c r="F681" s="22"/>
      <c r="K681" s="23"/>
    </row>
    <row r="682">
      <c r="F682" s="22"/>
      <c r="K682" s="23"/>
    </row>
    <row r="683">
      <c r="F683" s="22"/>
      <c r="K683" s="23"/>
    </row>
    <row r="684">
      <c r="F684" s="22"/>
      <c r="K684" s="23"/>
    </row>
    <row r="685">
      <c r="F685" s="22"/>
      <c r="K685" s="23"/>
    </row>
    <row r="686">
      <c r="F686" s="22"/>
      <c r="K686" s="23"/>
    </row>
    <row r="687">
      <c r="F687" s="22"/>
      <c r="K687" s="23"/>
    </row>
    <row r="688">
      <c r="F688" s="22"/>
      <c r="K688" s="23"/>
    </row>
    <row r="689">
      <c r="F689" s="22"/>
      <c r="K689" s="23"/>
    </row>
    <row r="690">
      <c r="F690" s="22"/>
      <c r="K690" s="23"/>
    </row>
    <row r="691">
      <c r="F691" s="22"/>
      <c r="K691" s="23"/>
    </row>
    <row r="692">
      <c r="F692" s="22"/>
      <c r="K692" s="23"/>
    </row>
    <row r="693">
      <c r="F693" s="22"/>
      <c r="K693" s="23"/>
    </row>
    <row r="694">
      <c r="F694" s="22"/>
      <c r="K694" s="23"/>
    </row>
    <row r="695">
      <c r="F695" s="22"/>
      <c r="K695" s="23"/>
    </row>
    <row r="696">
      <c r="F696" s="22"/>
      <c r="K696" s="23"/>
    </row>
    <row r="697">
      <c r="F697" s="22"/>
      <c r="K697" s="23"/>
    </row>
    <row r="698">
      <c r="F698" s="22"/>
      <c r="K698" s="23"/>
    </row>
    <row r="699">
      <c r="F699" s="22"/>
      <c r="K699" s="23"/>
    </row>
    <row r="700">
      <c r="F700" s="22"/>
      <c r="K700" s="23"/>
    </row>
    <row r="701">
      <c r="F701" s="22"/>
      <c r="K701" s="23"/>
    </row>
    <row r="702">
      <c r="F702" s="22"/>
      <c r="K702" s="23"/>
    </row>
    <row r="703">
      <c r="F703" s="22"/>
      <c r="K703" s="23"/>
    </row>
    <row r="704">
      <c r="F704" s="22"/>
      <c r="K704" s="23"/>
    </row>
    <row r="705">
      <c r="F705" s="22"/>
      <c r="K705" s="23"/>
    </row>
    <row r="706">
      <c r="F706" s="22"/>
      <c r="K706" s="23"/>
    </row>
    <row r="707">
      <c r="F707" s="22"/>
      <c r="K707" s="23"/>
    </row>
    <row r="708">
      <c r="F708" s="22"/>
      <c r="K708" s="23"/>
    </row>
    <row r="709">
      <c r="F709" s="22"/>
      <c r="K709" s="23"/>
    </row>
    <row r="710">
      <c r="F710" s="22"/>
      <c r="K710" s="23"/>
    </row>
    <row r="711">
      <c r="F711" s="22"/>
      <c r="K711" s="23"/>
    </row>
    <row r="712">
      <c r="F712" s="22"/>
      <c r="K712" s="23"/>
    </row>
    <row r="713">
      <c r="F713" s="22"/>
      <c r="K713" s="23"/>
    </row>
    <row r="714">
      <c r="F714" s="22"/>
      <c r="K714" s="23"/>
    </row>
    <row r="715">
      <c r="F715" s="22"/>
      <c r="K715" s="23"/>
    </row>
    <row r="716">
      <c r="F716" s="22"/>
      <c r="K716" s="23"/>
    </row>
    <row r="717">
      <c r="F717" s="22"/>
      <c r="K717" s="23"/>
    </row>
    <row r="718">
      <c r="F718" s="22"/>
      <c r="K718" s="23"/>
    </row>
    <row r="719">
      <c r="F719" s="22"/>
      <c r="K719" s="23"/>
    </row>
    <row r="720">
      <c r="F720" s="22"/>
      <c r="K720" s="23"/>
    </row>
    <row r="721">
      <c r="F721" s="22"/>
      <c r="K721" s="23"/>
    </row>
    <row r="722">
      <c r="F722" s="22"/>
      <c r="K722" s="23"/>
    </row>
    <row r="723">
      <c r="F723" s="22"/>
      <c r="K723" s="23"/>
    </row>
    <row r="724">
      <c r="F724" s="22"/>
      <c r="K724" s="23"/>
    </row>
    <row r="725">
      <c r="F725" s="22"/>
      <c r="K725" s="23"/>
    </row>
    <row r="726">
      <c r="F726" s="22"/>
      <c r="K726" s="23"/>
    </row>
    <row r="727">
      <c r="F727" s="22"/>
      <c r="K727" s="23"/>
    </row>
    <row r="728">
      <c r="F728" s="22"/>
      <c r="K728" s="23"/>
    </row>
    <row r="729">
      <c r="F729" s="22"/>
      <c r="K729" s="23"/>
    </row>
    <row r="730">
      <c r="F730" s="22"/>
      <c r="K730" s="23"/>
    </row>
    <row r="731">
      <c r="F731" s="22"/>
      <c r="K731" s="23"/>
    </row>
    <row r="732">
      <c r="F732" s="22"/>
      <c r="K732" s="23"/>
    </row>
    <row r="733">
      <c r="F733" s="22"/>
      <c r="K733" s="23"/>
    </row>
    <row r="734">
      <c r="F734" s="22"/>
      <c r="K734" s="23"/>
    </row>
    <row r="735">
      <c r="F735" s="22"/>
      <c r="K735" s="23"/>
    </row>
    <row r="736">
      <c r="F736" s="22"/>
      <c r="K736" s="23"/>
    </row>
    <row r="737">
      <c r="F737" s="22"/>
      <c r="K737" s="23"/>
    </row>
    <row r="738">
      <c r="F738" s="22"/>
      <c r="K738" s="23"/>
    </row>
    <row r="739">
      <c r="F739" s="22"/>
      <c r="K739" s="23"/>
    </row>
    <row r="740">
      <c r="F740" s="22"/>
      <c r="K740" s="23"/>
    </row>
    <row r="741">
      <c r="F741" s="22"/>
      <c r="K741" s="23"/>
    </row>
    <row r="742">
      <c r="F742" s="22"/>
      <c r="K742" s="23"/>
    </row>
    <row r="743">
      <c r="F743" s="22"/>
      <c r="K743" s="23"/>
    </row>
    <row r="744">
      <c r="F744" s="22"/>
      <c r="K744" s="23"/>
    </row>
    <row r="745">
      <c r="F745" s="22"/>
      <c r="K745" s="23"/>
    </row>
    <row r="746">
      <c r="F746" s="22"/>
      <c r="K746" s="23"/>
    </row>
    <row r="747">
      <c r="F747" s="22"/>
      <c r="K747" s="23"/>
    </row>
    <row r="748">
      <c r="F748" s="22"/>
      <c r="K748" s="23"/>
    </row>
    <row r="749">
      <c r="F749" s="22"/>
      <c r="K749" s="23"/>
    </row>
    <row r="750">
      <c r="F750" s="22"/>
      <c r="K750" s="23"/>
    </row>
    <row r="751">
      <c r="F751" s="22"/>
      <c r="K751" s="23"/>
    </row>
    <row r="752">
      <c r="F752" s="22"/>
      <c r="K752" s="23"/>
    </row>
    <row r="753">
      <c r="F753" s="22"/>
      <c r="K753" s="23"/>
    </row>
    <row r="754">
      <c r="F754" s="22"/>
      <c r="K754" s="23"/>
    </row>
    <row r="755">
      <c r="F755" s="22"/>
      <c r="K755" s="23"/>
    </row>
    <row r="756">
      <c r="F756" s="22"/>
      <c r="K756" s="23"/>
    </row>
    <row r="757">
      <c r="F757" s="22"/>
      <c r="K757" s="23"/>
    </row>
    <row r="758">
      <c r="F758" s="22"/>
      <c r="K758" s="23"/>
    </row>
    <row r="759">
      <c r="F759" s="22"/>
      <c r="K759" s="23"/>
    </row>
    <row r="760">
      <c r="F760" s="22"/>
      <c r="K760" s="23"/>
    </row>
    <row r="761">
      <c r="F761" s="22"/>
      <c r="K761" s="23"/>
    </row>
    <row r="762">
      <c r="F762" s="22"/>
      <c r="K762" s="23"/>
    </row>
    <row r="763">
      <c r="F763" s="22"/>
      <c r="K763" s="23"/>
    </row>
    <row r="764">
      <c r="F764" s="22"/>
      <c r="K764" s="23"/>
    </row>
    <row r="765">
      <c r="F765" s="22"/>
      <c r="K765" s="23"/>
    </row>
    <row r="766">
      <c r="F766" s="22"/>
      <c r="K766" s="23"/>
    </row>
    <row r="767">
      <c r="F767" s="22"/>
      <c r="K767" s="23"/>
    </row>
    <row r="768">
      <c r="F768" s="22"/>
      <c r="K768" s="23"/>
    </row>
    <row r="769">
      <c r="F769" s="22"/>
      <c r="K769" s="23"/>
    </row>
    <row r="770">
      <c r="F770" s="22"/>
      <c r="K770" s="23"/>
    </row>
    <row r="771">
      <c r="F771" s="22"/>
      <c r="K771" s="23"/>
    </row>
    <row r="772">
      <c r="F772" s="22"/>
      <c r="K772" s="23"/>
    </row>
    <row r="773">
      <c r="F773" s="22"/>
      <c r="K773" s="23"/>
    </row>
    <row r="774">
      <c r="F774" s="22"/>
      <c r="K774" s="23"/>
    </row>
    <row r="775">
      <c r="F775" s="22"/>
      <c r="K775" s="23"/>
    </row>
    <row r="776">
      <c r="F776" s="22"/>
      <c r="K776" s="23"/>
    </row>
    <row r="777">
      <c r="F777" s="22"/>
      <c r="K777" s="23"/>
    </row>
    <row r="778">
      <c r="F778" s="22"/>
      <c r="K778" s="23"/>
    </row>
    <row r="779">
      <c r="F779" s="22"/>
      <c r="K779" s="23"/>
    </row>
    <row r="780">
      <c r="F780" s="22"/>
      <c r="K780" s="23"/>
    </row>
    <row r="781">
      <c r="F781" s="22"/>
      <c r="K781" s="23"/>
    </row>
    <row r="782">
      <c r="F782" s="22"/>
      <c r="K782" s="23"/>
    </row>
    <row r="783">
      <c r="F783" s="22"/>
      <c r="K783" s="23"/>
    </row>
    <row r="784">
      <c r="F784" s="22"/>
      <c r="K784" s="23"/>
    </row>
    <row r="785">
      <c r="F785" s="22"/>
      <c r="K785" s="23"/>
    </row>
    <row r="786">
      <c r="F786" s="22"/>
      <c r="K786" s="23"/>
    </row>
    <row r="787">
      <c r="F787" s="22"/>
      <c r="K787" s="23"/>
    </row>
    <row r="788">
      <c r="F788" s="22"/>
      <c r="K788" s="23"/>
    </row>
    <row r="789">
      <c r="F789" s="22"/>
      <c r="K789" s="23"/>
    </row>
    <row r="790">
      <c r="F790" s="22"/>
      <c r="K790" s="23"/>
    </row>
    <row r="791">
      <c r="F791" s="22"/>
      <c r="K791" s="23"/>
    </row>
    <row r="792">
      <c r="F792" s="22"/>
      <c r="K792" s="23"/>
    </row>
    <row r="793">
      <c r="F793" s="22"/>
      <c r="K793" s="23"/>
    </row>
    <row r="794">
      <c r="F794" s="22"/>
      <c r="K794" s="23"/>
    </row>
    <row r="795">
      <c r="F795" s="22"/>
      <c r="K795" s="23"/>
    </row>
    <row r="796">
      <c r="F796" s="22"/>
      <c r="K796" s="23"/>
    </row>
    <row r="797">
      <c r="F797" s="22"/>
      <c r="K797" s="23"/>
    </row>
    <row r="798">
      <c r="F798" s="22"/>
      <c r="K798" s="23"/>
    </row>
    <row r="799">
      <c r="F799" s="22"/>
      <c r="K799" s="23"/>
    </row>
    <row r="800">
      <c r="F800" s="22"/>
      <c r="K800" s="23"/>
    </row>
    <row r="801">
      <c r="F801" s="22"/>
      <c r="K801" s="23"/>
    </row>
    <row r="802">
      <c r="F802" s="22"/>
      <c r="K802" s="23"/>
    </row>
    <row r="803">
      <c r="F803" s="22"/>
      <c r="K803" s="23"/>
    </row>
    <row r="804">
      <c r="F804" s="22"/>
      <c r="K804" s="23"/>
    </row>
    <row r="805">
      <c r="F805" s="22"/>
      <c r="K805" s="23"/>
    </row>
    <row r="806">
      <c r="F806" s="22"/>
      <c r="K806" s="23"/>
    </row>
    <row r="807">
      <c r="F807" s="22"/>
      <c r="K807" s="23"/>
    </row>
    <row r="808">
      <c r="F808" s="22"/>
      <c r="K808" s="23"/>
    </row>
    <row r="809">
      <c r="F809" s="22"/>
      <c r="K809" s="23"/>
    </row>
    <row r="810">
      <c r="F810" s="22"/>
      <c r="K810" s="23"/>
    </row>
    <row r="811">
      <c r="F811" s="22"/>
      <c r="K811" s="23"/>
    </row>
    <row r="812">
      <c r="F812" s="22"/>
      <c r="K812" s="23"/>
    </row>
    <row r="813">
      <c r="F813" s="22"/>
      <c r="K813" s="23"/>
    </row>
    <row r="814">
      <c r="F814" s="22"/>
      <c r="K814" s="23"/>
    </row>
    <row r="815">
      <c r="F815" s="22"/>
      <c r="K815" s="23"/>
    </row>
    <row r="816">
      <c r="F816" s="22"/>
      <c r="K816" s="23"/>
    </row>
    <row r="817">
      <c r="F817" s="22"/>
      <c r="K817" s="23"/>
    </row>
    <row r="818">
      <c r="F818" s="22"/>
      <c r="K818" s="23"/>
    </row>
    <row r="819">
      <c r="F819" s="22"/>
      <c r="K819" s="23"/>
    </row>
    <row r="820">
      <c r="F820" s="22"/>
      <c r="K820" s="23"/>
    </row>
    <row r="821">
      <c r="F821" s="22"/>
      <c r="K821" s="23"/>
    </row>
    <row r="822">
      <c r="F822" s="22"/>
      <c r="K822" s="23"/>
    </row>
    <row r="823">
      <c r="F823" s="22"/>
      <c r="K823" s="23"/>
    </row>
    <row r="824">
      <c r="F824" s="22"/>
      <c r="K824" s="23"/>
    </row>
    <row r="825">
      <c r="F825" s="22"/>
      <c r="K825" s="23"/>
    </row>
    <row r="826">
      <c r="F826" s="22"/>
      <c r="K826" s="23"/>
    </row>
    <row r="827">
      <c r="F827" s="22"/>
      <c r="K827" s="23"/>
    </row>
    <row r="828">
      <c r="F828" s="22"/>
      <c r="K828" s="23"/>
    </row>
    <row r="829">
      <c r="F829" s="22"/>
      <c r="K829" s="23"/>
    </row>
    <row r="830">
      <c r="F830" s="22"/>
      <c r="K830" s="23"/>
    </row>
    <row r="831">
      <c r="F831" s="22"/>
      <c r="K831" s="23"/>
    </row>
    <row r="832">
      <c r="F832" s="22"/>
      <c r="K832" s="23"/>
    </row>
    <row r="833">
      <c r="F833" s="22"/>
      <c r="K833" s="23"/>
    </row>
    <row r="834">
      <c r="F834" s="22"/>
      <c r="K834" s="23"/>
    </row>
    <row r="835">
      <c r="F835" s="22"/>
      <c r="K835" s="23"/>
    </row>
    <row r="836">
      <c r="F836" s="22"/>
      <c r="K836" s="23"/>
    </row>
    <row r="837">
      <c r="F837" s="22"/>
      <c r="K837" s="23"/>
    </row>
    <row r="838">
      <c r="F838" s="22"/>
      <c r="K838" s="23"/>
    </row>
    <row r="839">
      <c r="F839" s="22"/>
      <c r="K839" s="23"/>
    </row>
    <row r="840">
      <c r="F840" s="22"/>
      <c r="K840" s="23"/>
    </row>
    <row r="841">
      <c r="F841" s="22"/>
      <c r="K841" s="23"/>
    </row>
    <row r="842">
      <c r="F842" s="22"/>
      <c r="K842" s="23"/>
    </row>
    <row r="843">
      <c r="F843" s="22"/>
      <c r="K843" s="23"/>
    </row>
    <row r="844">
      <c r="F844" s="22"/>
      <c r="K844" s="23"/>
    </row>
    <row r="845">
      <c r="F845" s="22"/>
      <c r="K845" s="23"/>
    </row>
    <row r="846">
      <c r="F846" s="22"/>
      <c r="K846" s="23"/>
    </row>
    <row r="847">
      <c r="F847" s="22"/>
      <c r="K847" s="23"/>
    </row>
    <row r="848">
      <c r="F848" s="22"/>
      <c r="K848" s="23"/>
    </row>
    <row r="849">
      <c r="F849" s="22"/>
      <c r="K849" s="23"/>
    </row>
    <row r="850">
      <c r="F850" s="22"/>
      <c r="K850" s="23"/>
    </row>
    <row r="851">
      <c r="F851" s="22"/>
      <c r="K851" s="23"/>
    </row>
    <row r="852">
      <c r="F852" s="22"/>
      <c r="K852" s="23"/>
    </row>
    <row r="853">
      <c r="F853" s="22"/>
      <c r="K853" s="23"/>
    </row>
    <row r="854">
      <c r="F854" s="22"/>
      <c r="K854" s="23"/>
    </row>
    <row r="855">
      <c r="F855" s="22"/>
      <c r="K855" s="23"/>
    </row>
    <row r="856">
      <c r="F856" s="22"/>
      <c r="K856" s="23"/>
    </row>
    <row r="857">
      <c r="F857" s="22"/>
      <c r="K857" s="23"/>
    </row>
    <row r="858">
      <c r="F858" s="22"/>
      <c r="K858" s="23"/>
    </row>
    <row r="859">
      <c r="F859" s="22"/>
      <c r="K859" s="23"/>
    </row>
    <row r="860">
      <c r="F860" s="22"/>
      <c r="K860" s="23"/>
    </row>
    <row r="861">
      <c r="F861" s="22"/>
      <c r="K861" s="23"/>
    </row>
    <row r="862">
      <c r="F862" s="22"/>
      <c r="K862" s="23"/>
    </row>
    <row r="863">
      <c r="F863" s="22"/>
      <c r="K863" s="23"/>
    </row>
    <row r="864">
      <c r="F864" s="22"/>
      <c r="K864" s="23"/>
    </row>
    <row r="865">
      <c r="F865" s="22"/>
      <c r="K865" s="23"/>
    </row>
    <row r="866">
      <c r="F866" s="22"/>
      <c r="K866" s="23"/>
    </row>
    <row r="867">
      <c r="F867" s="22"/>
      <c r="K867" s="23"/>
    </row>
    <row r="868">
      <c r="F868" s="22"/>
      <c r="K868" s="23"/>
    </row>
    <row r="869">
      <c r="F869" s="22"/>
      <c r="K869" s="23"/>
    </row>
    <row r="870">
      <c r="F870" s="22"/>
      <c r="K870" s="23"/>
    </row>
    <row r="871">
      <c r="F871" s="22"/>
      <c r="K871" s="23"/>
    </row>
    <row r="872">
      <c r="F872" s="22"/>
      <c r="K872" s="23"/>
    </row>
    <row r="873">
      <c r="F873" s="22"/>
      <c r="K873" s="23"/>
    </row>
    <row r="874">
      <c r="F874" s="22"/>
      <c r="K874" s="23"/>
    </row>
    <row r="875">
      <c r="F875" s="22"/>
      <c r="K875" s="23"/>
    </row>
    <row r="876">
      <c r="F876" s="22"/>
      <c r="K876" s="23"/>
    </row>
    <row r="877">
      <c r="F877" s="22"/>
      <c r="K877" s="23"/>
    </row>
    <row r="878">
      <c r="F878" s="22"/>
      <c r="K878" s="23"/>
    </row>
    <row r="879">
      <c r="F879" s="22"/>
      <c r="K879" s="23"/>
    </row>
    <row r="880">
      <c r="F880" s="22"/>
      <c r="K880" s="23"/>
    </row>
    <row r="881">
      <c r="F881" s="22"/>
      <c r="K881" s="23"/>
    </row>
    <row r="882">
      <c r="F882" s="22"/>
      <c r="K882" s="23"/>
    </row>
    <row r="883">
      <c r="F883" s="22"/>
      <c r="K883" s="23"/>
    </row>
    <row r="884">
      <c r="F884" s="22"/>
      <c r="K884" s="23"/>
    </row>
    <row r="885">
      <c r="F885" s="22"/>
      <c r="K885" s="23"/>
    </row>
    <row r="886">
      <c r="F886" s="22"/>
      <c r="K886" s="23"/>
    </row>
    <row r="887">
      <c r="F887" s="22"/>
      <c r="K887" s="23"/>
    </row>
    <row r="888">
      <c r="F888" s="22"/>
      <c r="K888" s="23"/>
    </row>
    <row r="889">
      <c r="F889" s="22"/>
      <c r="K889" s="23"/>
    </row>
    <row r="890">
      <c r="F890" s="22"/>
      <c r="K890" s="23"/>
    </row>
    <row r="891">
      <c r="F891" s="22"/>
      <c r="K891" s="23"/>
    </row>
    <row r="892">
      <c r="F892" s="22"/>
      <c r="K892" s="23"/>
    </row>
    <row r="893">
      <c r="F893" s="22"/>
      <c r="K893" s="23"/>
    </row>
    <row r="894">
      <c r="F894" s="22"/>
      <c r="K894" s="23"/>
    </row>
    <row r="895">
      <c r="F895" s="22"/>
      <c r="K895" s="23"/>
    </row>
    <row r="896">
      <c r="F896" s="22"/>
      <c r="K896" s="23"/>
    </row>
    <row r="897">
      <c r="F897" s="22"/>
      <c r="K897" s="23"/>
    </row>
    <row r="898">
      <c r="F898" s="22"/>
      <c r="K898" s="23"/>
    </row>
    <row r="899">
      <c r="F899" s="22"/>
      <c r="K899" s="23"/>
    </row>
    <row r="900">
      <c r="F900" s="22"/>
      <c r="K900" s="23"/>
    </row>
    <row r="901">
      <c r="F901" s="22"/>
      <c r="K901" s="23"/>
    </row>
    <row r="902">
      <c r="F902" s="22"/>
      <c r="K902" s="23"/>
    </row>
    <row r="903">
      <c r="F903" s="22"/>
      <c r="K903" s="23"/>
    </row>
    <row r="904">
      <c r="F904" s="22"/>
      <c r="K904" s="23"/>
    </row>
    <row r="905">
      <c r="F905" s="22"/>
      <c r="K905" s="23"/>
    </row>
    <row r="906">
      <c r="F906" s="22"/>
      <c r="K906" s="23"/>
    </row>
    <row r="907">
      <c r="F907" s="22"/>
      <c r="K907" s="23"/>
    </row>
    <row r="908">
      <c r="F908" s="22"/>
      <c r="K908" s="23"/>
    </row>
    <row r="909">
      <c r="F909" s="22"/>
      <c r="K909" s="23"/>
    </row>
    <row r="910">
      <c r="F910" s="22"/>
      <c r="K910" s="23"/>
    </row>
    <row r="911">
      <c r="F911" s="22"/>
      <c r="K911" s="23"/>
    </row>
    <row r="912">
      <c r="F912" s="22"/>
      <c r="K912" s="23"/>
    </row>
    <row r="913">
      <c r="F913" s="22"/>
      <c r="K913" s="23"/>
    </row>
    <row r="914">
      <c r="F914" s="22"/>
      <c r="K914" s="23"/>
    </row>
    <row r="915">
      <c r="F915" s="22"/>
      <c r="K915" s="23"/>
    </row>
    <row r="916">
      <c r="F916" s="22"/>
      <c r="K916" s="23"/>
    </row>
    <row r="917">
      <c r="F917" s="22"/>
      <c r="K917" s="23"/>
    </row>
    <row r="918">
      <c r="F918" s="22"/>
      <c r="K918" s="23"/>
    </row>
    <row r="919">
      <c r="F919" s="22"/>
      <c r="K919" s="23"/>
    </row>
    <row r="920">
      <c r="F920" s="22"/>
      <c r="K920" s="23"/>
    </row>
    <row r="921">
      <c r="F921" s="22"/>
      <c r="K921" s="23"/>
    </row>
    <row r="922">
      <c r="F922" s="22"/>
      <c r="K922" s="23"/>
    </row>
    <row r="923">
      <c r="F923" s="22"/>
      <c r="K923" s="23"/>
    </row>
    <row r="924">
      <c r="F924" s="22"/>
      <c r="K924" s="23"/>
    </row>
    <row r="925">
      <c r="F925" s="22"/>
      <c r="K925" s="23"/>
    </row>
    <row r="926">
      <c r="F926" s="22"/>
      <c r="K926" s="23"/>
    </row>
    <row r="927">
      <c r="F927" s="22"/>
      <c r="K927" s="23"/>
    </row>
    <row r="928">
      <c r="F928" s="22"/>
      <c r="K928" s="23"/>
    </row>
    <row r="929">
      <c r="F929" s="22"/>
      <c r="K929" s="23"/>
    </row>
    <row r="930">
      <c r="F930" s="22"/>
      <c r="K930" s="23"/>
    </row>
    <row r="931">
      <c r="F931" s="22"/>
      <c r="K931" s="23"/>
    </row>
    <row r="932">
      <c r="F932" s="22"/>
      <c r="K932" s="23"/>
    </row>
    <row r="933">
      <c r="F933" s="22"/>
      <c r="K933" s="23"/>
    </row>
    <row r="934">
      <c r="F934" s="22"/>
      <c r="K934" s="23"/>
    </row>
    <row r="935">
      <c r="F935" s="22"/>
      <c r="K935" s="23"/>
    </row>
    <row r="936">
      <c r="F936" s="22"/>
      <c r="K936" s="23"/>
    </row>
    <row r="937">
      <c r="F937" s="22"/>
      <c r="K937" s="23"/>
    </row>
    <row r="938">
      <c r="F938" s="22"/>
      <c r="K938" s="23"/>
    </row>
    <row r="939">
      <c r="F939" s="22"/>
      <c r="K939" s="23"/>
    </row>
    <row r="940">
      <c r="F940" s="22"/>
      <c r="K940" s="23"/>
    </row>
    <row r="941">
      <c r="F941" s="22"/>
      <c r="K941" s="23"/>
    </row>
    <row r="942">
      <c r="F942" s="22"/>
      <c r="K942" s="23"/>
    </row>
    <row r="943">
      <c r="F943" s="22"/>
      <c r="K943" s="23"/>
    </row>
    <row r="944">
      <c r="F944" s="22"/>
      <c r="K944" s="23"/>
    </row>
    <row r="945">
      <c r="F945" s="22"/>
      <c r="K945" s="23"/>
    </row>
    <row r="946">
      <c r="F946" s="22"/>
      <c r="K946" s="23"/>
    </row>
    <row r="947">
      <c r="F947" s="22"/>
      <c r="K947" s="23"/>
    </row>
    <row r="948">
      <c r="F948" s="22"/>
      <c r="K948" s="23"/>
    </row>
    <row r="949">
      <c r="F949" s="22"/>
      <c r="K949" s="23"/>
    </row>
    <row r="950">
      <c r="F950" s="22"/>
      <c r="K950" s="23"/>
    </row>
    <row r="951">
      <c r="F951" s="22"/>
      <c r="K951" s="23"/>
    </row>
    <row r="952">
      <c r="F952" s="22"/>
      <c r="K952" s="23"/>
    </row>
    <row r="953">
      <c r="F953" s="22"/>
      <c r="K953" s="23"/>
    </row>
    <row r="954">
      <c r="F954" s="22"/>
      <c r="K954" s="23"/>
    </row>
    <row r="955">
      <c r="F955" s="22"/>
      <c r="K955" s="23"/>
    </row>
    <row r="956">
      <c r="F956" s="22"/>
      <c r="K956" s="23"/>
    </row>
    <row r="957">
      <c r="F957" s="22"/>
      <c r="K957" s="23"/>
    </row>
    <row r="958">
      <c r="F958" s="22"/>
      <c r="K958" s="23"/>
    </row>
    <row r="959">
      <c r="F959" s="22"/>
      <c r="K959" s="23"/>
    </row>
    <row r="960">
      <c r="F960" s="22"/>
      <c r="K960" s="23"/>
    </row>
    <row r="961">
      <c r="F961" s="22"/>
      <c r="K961" s="23"/>
    </row>
    <row r="962">
      <c r="F962" s="22"/>
      <c r="K962" s="23"/>
    </row>
    <row r="963">
      <c r="F963" s="22"/>
      <c r="K963" s="23"/>
    </row>
    <row r="964">
      <c r="F964" s="22"/>
      <c r="K964" s="23"/>
    </row>
    <row r="965">
      <c r="F965" s="22"/>
      <c r="K965" s="23"/>
    </row>
    <row r="966">
      <c r="F966" s="22"/>
      <c r="K966" s="23"/>
    </row>
    <row r="967">
      <c r="F967" s="22"/>
      <c r="K967" s="23"/>
    </row>
    <row r="968">
      <c r="F968" s="22"/>
      <c r="K968" s="23"/>
    </row>
    <row r="969">
      <c r="F969" s="22"/>
      <c r="K969" s="23"/>
    </row>
    <row r="970">
      <c r="F970" s="22"/>
      <c r="K970" s="23"/>
    </row>
    <row r="971">
      <c r="F971" s="22"/>
      <c r="K971" s="23"/>
    </row>
    <row r="972">
      <c r="F972" s="22"/>
      <c r="K972" s="23"/>
    </row>
    <row r="973">
      <c r="F973" s="22"/>
      <c r="K973" s="23"/>
    </row>
    <row r="974">
      <c r="F974" s="22"/>
      <c r="K974" s="23"/>
    </row>
    <row r="975">
      <c r="F975" s="22"/>
      <c r="K975" s="23"/>
    </row>
    <row r="976">
      <c r="F976" s="22"/>
      <c r="K976" s="23"/>
    </row>
    <row r="977">
      <c r="F977" s="22"/>
      <c r="K977" s="23"/>
    </row>
    <row r="978">
      <c r="F978" s="22"/>
      <c r="K978" s="23"/>
    </row>
    <row r="979">
      <c r="F979" s="22"/>
      <c r="K979" s="23"/>
    </row>
    <row r="980">
      <c r="F980" s="22"/>
      <c r="K980" s="23"/>
    </row>
    <row r="981">
      <c r="F981" s="22"/>
      <c r="K981" s="23"/>
    </row>
    <row r="982">
      <c r="F982" s="22"/>
      <c r="K982" s="23"/>
    </row>
  </sheetData>
  <mergeCells count="28">
    <mergeCell ref="A1:C1"/>
    <mergeCell ref="A2:B2"/>
    <mergeCell ref="A10:C10"/>
    <mergeCell ref="A11:B11"/>
    <mergeCell ref="A19:C19"/>
    <mergeCell ref="A20:B20"/>
    <mergeCell ref="A28:C28"/>
    <mergeCell ref="A29:B29"/>
    <mergeCell ref="A37:C37"/>
    <mergeCell ref="A38:B38"/>
    <mergeCell ref="A46:C46"/>
    <mergeCell ref="A47:B47"/>
    <mergeCell ref="A55:C55"/>
    <mergeCell ref="A56:B56"/>
    <mergeCell ref="A92:B92"/>
    <mergeCell ref="A100:C100"/>
    <mergeCell ref="A101:B101"/>
    <mergeCell ref="A109:C109"/>
    <mergeCell ref="A110:B110"/>
    <mergeCell ref="A118:C118"/>
    <mergeCell ref="A119:B119"/>
    <mergeCell ref="A64:C64"/>
    <mergeCell ref="A65:B65"/>
    <mergeCell ref="A73:C73"/>
    <mergeCell ref="A74:B74"/>
    <mergeCell ref="A82:C82"/>
    <mergeCell ref="A83:B83"/>
    <mergeCell ref="A91:C91"/>
  </mergeCells>
  <conditionalFormatting sqref="E1:E982">
    <cfRule type="containsText" dxfId="6" priority="1" operator="containsText" text="RESOLVED">
      <formula>NOT(ISERROR(SEARCH(("RESOLVED"),(E1))))</formula>
    </cfRule>
  </conditionalFormatting>
  <conditionalFormatting sqref="K6">
    <cfRule type="notContainsBlanks" dxfId="6" priority="2">
      <formula>LEN(TRIM(K6))&gt;0</formula>
    </cfRule>
  </conditionalFormatting>
  <conditionalFormatting sqref="E1:E982">
    <cfRule type="containsText" dxfId="7" priority="3" operator="containsText" text="ON GOING ISSUE">
      <formula>NOT(ISERROR(SEARCH(("ON GOING ISSUE"),(E1))))</formula>
    </cfRule>
  </conditionalFormatting>
  <printOptions gridLines="1" horizontalCentered="1"/>
  <pageMargins bottom="0.75" footer="0.0" header="0.0" left="0.7" right="0.7" top="0.75"/>
  <pageSetup fitToHeight="0" paperSize="5" cellComments="atEnd" orientation="landscape" pageOrder="overThenDown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14"/>
    <col customWidth="1" min="2" max="2" width="11.0"/>
    <col customWidth="1" min="3" max="3" width="7.71"/>
    <col customWidth="1" min="4" max="4" width="11.29"/>
    <col customWidth="1" min="7" max="7" width="18.0"/>
    <col customWidth="1" min="8" max="8" width="18.43"/>
    <col customWidth="1" min="9" max="9" width="15.86"/>
    <col customWidth="1" min="10" max="10" width="16.57"/>
    <col customWidth="1" min="11" max="11" width="9.14"/>
    <col customWidth="1" min="12" max="12" width="8.86"/>
    <col customWidth="1" min="13" max="13" width="38.57"/>
    <col customWidth="1" min="14" max="14" width="39.0"/>
  </cols>
  <sheetData>
    <row r="1">
      <c r="A1" s="33" t="s">
        <v>79</v>
      </c>
      <c r="B1" s="34" t="s">
        <v>80</v>
      </c>
      <c r="C1" s="34" t="s">
        <v>81</v>
      </c>
      <c r="D1" s="34" t="s">
        <v>82</v>
      </c>
      <c r="E1" s="69" t="s">
        <v>83</v>
      </c>
      <c r="F1" s="35" t="s">
        <v>84</v>
      </c>
      <c r="G1" s="36" t="s">
        <v>85</v>
      </c>
      <c r="H1" s="36" t="s">
        <v>86</v>
      </c>
      <c r="I1" s="37" t="s">
        <v>87</v>
      </c>
      <c r="J1" s="38" t="s">
        <v>88</v>
      </c>
      <c r="K1" s="39" t="s">
        <v>89</v>
      </c>
      <c r="L1" s="39" t="s">
        <v>90</v>
      </c>
      <c r="M1" s="38" t="s">
        <v>91</v>
      </c>
      <c r="N1" s="39" t="s">
        <v>54</v>
      </c>
    </row>
    <row r="2">
      <c r="A2" s="40">
        <v>43710.0</v>
      </c>
      <c r="B2" s="41" t="s">
        <v>92</v>
      </c>
      <c r="C2" s="43" t="str">
        <f>VLOOKUP(A2,Table!A:B,2,false)</f>
        <v>P1 W1</v>
      </c>
      <c r="D2" s="43" t="str">
        <f>VLOOKUP(A2,Table!A:D,4,false)</f>
        <v>Period 1</v>
      </c>
      <c r="E2" s="70" t="s">
        <v>93</v>
      </c>
      <c r="F2" s="43">
        <v>0.9166666666666666</v>
      </c>
      <c r="G2" s="43">
        <v>0.1423611111111111</v>
      </c>
      <c r="H2" s="43">
        <v>0.16944444444444445</v>
      </c>
      <c r="I2" s="71">
        <v>0.31875</v>
      </c>
      <c r="J2" s="45">
        <f t="shared" ref="J2:J101" si="1">IF(I2 &gt; 0,(I2-F2+(I2&lt;F2))*24*60)</f>
        <v>579</v>
      </c>
      <c r="L2" s="46" t="s">
        <v>152</v>
      </c>
      <c r="M2" s="72" t="s">
        <v>153</v>
      </c>
      <c r="N2" s="46" t="s">
        <v>37</v>
      </c>
    </row>
    <row r="3">
      <c r="A3" s="40">
        <v>43711.0</v>
      </c>
      <c r="B3" s="41" t="s">
        <v>94</v>
      </c>
      <c r="C3" s="43" t="str">
        <f>VLOOKUP(A3,Table!A:B,2,false)</f>
        <v>P1 W1</v>
      </c>
      <c r="D3" s="43" t="str">
        <f>VLOOKUP(A3,Table!A:D,4,false)</f>
        <v>Period 1</v>
      </c>
      <c r="E3" s="70" t="s">
        <v>93</v>
      </c>
      <c r="F3" s="43">
        <v>0.9166666666666666</v>
      </c>
      <c r="G3" s="43">
        <v>0.14444444444444443</v>
      </c>
      <c r="H3" s="43">
        <v>0.2972222222222222</v>
      </c>
      <c r="I3" s="71">
        <v>0.25833333333333336</v>
      </c>
      <c r="J3" s="45">
        <f t="shared" si="1"/>
        <v>492</v>
      </c>
      <c r="L3" s="46" t="s">
        <v>154</v>
      </c>
      <c r="M3" s="73" t="s">
        <v>155</v>
      </c>
      <c r="N3" s="27"/>
    </row>
    <row r="4">
      <c r="A4" s="40">
        <v>43712.0</v>
      </c>
      <c r="B4" s="41" t="s">
        <v>96</v>
      </c>
      <c r="C4" s="43" t="str">
        <f>VLOOKUP(A4,Table!A:B,2,false)</f>
        <v>P1 W1</v>
      </c>
      <c r="D4" s="43" t="str">
        <f>VLOOKUP(A4,Table!A:D,4,false)</f>
        <v>Period 1</v>
      </c>
      <c r="E4" s="70" t="s">
        <v>93</v>
      </c>
      <c r="F4" s="43">
        <v>0.9166666666666666</v>
      </c>
      <c r="G4" s="43">
        <v>0.10972222222222222</v>
      </c>
      <c r="H4" s="43">
        <v>0.13472222222222222</v>
      </c>
      <c r="I4" s="43">
        <v>0.24305555555555555</v>
      </c>
      <c r="J4" s="45">
        <f t="shared" si="1"/>
        <v>470</v>
      </c>
      <c r="L4" s="46" t="s">
        <v>156</v>
      </c>
      <c r="M4" s="27"/>
      <c r="N4" s="27"/>
    </row>
    <row r="5">
      <c r="A5" s="40">
        <v>43713.0</v>
      </c>
      <c r="B5" s="41" t="s">
        <v>97</v>
      </c>
      <c r="C5" s="43" t="str">
        <f>VLOOKUP(A5,Table!A:B,2,false)</f>
        <v>P1 W1</v>
      </c>
      <c r="D5" s="43" t="str">
        <f>VLOOKUP(A5,Table!A:D,4,false)</f>
        <v>Period 1</v>
      </c>
      <c r="E5" s="70" t="s">
        <v>93</v>
      </c>
      <c r="F5" s="43">
        <v>0.9166666666666666</v>
      </c>
      <c r="G5" s="43">
        <v>0.11458333333333333</v>
      </c>
      <c r="H5" s="43">
        <v>0.13958333333333334</v>
      </c>
      <c r="I5" s="43">
        <v>0.25555555555555554</v>
      </c>
      <c r="J5" s="45">
        <f t="shared" si="1"/>
        <v>488</v>
      </c>
      <c r="L5" s="46" t="s">
        <v>157</v>
      </c>
      <c r="M5" s="27"/>
      <c r="N5" s="27"/>
    </row>
    <row r="6">
      <c r="A6" s="40">
        <v>43714.0</v>
      </c>
      <c r="B6" s="41" t="s">
        <v>98</v>
      </c>
      <c r="C6" s="43" t="str">
        <f>VLOOKUP(A6,Table!A:B,2,false)</f>
        <v>P1 W1</v>
      </c>
      <c r="D6" s="43" t="str">
        <f>VLOOKUP(A6,Table!A:D,4,false)</f>
        <v>Period 1</v>
      </c>
      <c r="E6" s="70" t="s">
        <v>93</v>
      </c>
      <c r="F6" s="43">
        <v>0.9166666666666666</v>
      </c>
      <c r="G6" s="43">
        <v>0.11597222222222223</v>
      </c>
      <c r="H6" s="43">
        <v>0.13680555555555557</v>
      </c>
      <c r="I6" s="43">
        <v>0.26458333333333334</v>
      </c>
      <c r="J6" s="45">
        <f t="shared" si="1"/>
        <v>501</v>
      </c>
      <c r="L6" s="46" t="s">
        <v>158</v>
      </c>
      <c r="M6" s="27"/>
      <c r="N6" s="27"/>
    </row>
    <row r="7">
      <c r="A7" s="40">
        <v>43715.0</v>
      </c>
      <c r="B7" s="41" t="s">
        <v>99</v>
      </c>
      <c r="C7" s="43" t="str">
        <f>VLOOKUP(A7,Table!A:B,2,false)</f>
        <v>P1 W1</v>
      </c>
      <c r="D7" s="43" t="str">
        <f>VLOOKUP(A7,Table!A:D,4,false)</f>
        <v>Period 1</v>
      </c>
      <c r="E7" s="70" t="s">
        <v>93</v>
      </c>
      <c r="F7" s="43">
        <v>0.9166666666666666</v>
      </c>
      <c r="G7" s="43">
        <v>0.14305555555555555</v>
      </c>
      <c r="H7" s="43">
        <v>0.16458333333333333</v>
      </c>
      <c r="I7" s="43">
        <v>0.27847222222222223</v>
      </c>
      <c r="J7" s="45">
        <f t="shared" si="1"/>
        <v>521</v>
      </c>
      <c r="L7" s="46" t="s">
        <v>159</v>
      </c>
      <c r="M7" s="27"/>
      <c r="N7" s="73" t="s">
        <v>26</v>
      </c>
    </row>
    <row r="8">
      <c r="A8" s="40">
        <v>43716.0</v>
      </c>
      <c r="B8" s="41" t="s">
        <v>100</v>
      </c>
      <c r="C8" s="43" t="str">
        <f>VLOOKUP(A8,Table!A:B,2,false)</f>
        <v>P1 W1</v>
      </c>
      <c r="D8" s="43" t="str">
        <f>VLOOKUP(A8,Table!A:D,4,false)</f>
        <v>Period 1</v>
      </c>
      <c r="E8" s="70" t="s">
        <v>93</v>
      </c>
      <c r="F8" s="43">
        <v>0.9166666666666666</v>
      </c>
      <c r="G8" s="43">
        <v>0.14375</v>
      </c>
      <c r="H8" s="43">
        <v>0.16041666666666668</v>
      </c>
      <c r="I8" s="43">
        <v>0.2659722222222222</v>
      </c>
      <c r="J8" s="45">
        <f t="shared" si="1"/>
        <v>503</v>
      </c>
      <c r="L8" s="46" t="s">
        <v>160</v>
      </c>
      <c r="M8" s="27"/>
      <c r="N8" s="27"/>
    </row>
    <row r="9">
      <c r="A9" s="40">
        <v>43717.0</v>
      </c>
      <c r="B9" s="41" t="s">
        <v>92</v>
      </c>
      <c r="C9" s="43" t="str">
        <f>VLOOKUP(A9,Table!A:B,2,false)</f>
        <v>P1 W2</v>
      </c>
      <c r="D9" s="43" t="str">
        <f>VLOOKUP(A9,Table!A:D,4,false)</f>
        <v>Period 1</v>
      </c>
      <c r="E9" s="70" t="s">
        <v>101</v>
      </c>
      <c r="F9" s="43">
        <v>0.9166666666666666</v>
      </c>
      <c r="G9" s="43">
        <v>0.11597222222222223</v>
      </c>
      <c r="H9" s="43">
        <v>0.13541666666666666</v>
      </c>
      <c r="I9" s="43">
        <v>0.23541666666666666</v>
      </c>
      <c r="J9" s="45">
        <f t="shared" si="1"/>
        <v>459</v>
      </c>
      <c r="L9" s="46" t="s">
        <v>152</v>
      </c>
      <c r="M9" s="27"/>
      <c r="N9" s="27"/>
    </row>
    <row r="10">
      <c r="A10" s="40">
        <v>43718.0</v>
      </c>
      <c r="B10" s="41" t="s">
        <v>94</v>
      </c>
      <c r="C10" s="43" t="str">
        <f>VLOOKUP(A10,Table!A:B,2,false)</f>
        <v>P1 W2</v>
      </c>
      <c r="D10" s="43" t="str">
        <f>VLOOKUP(A10,Table!A:D,4,false)</f>
        <v>Period 1</v>
      </c>
      <c r="E10" s="70" t="s">
        <v>101</v>
      </c>
      <c r="F10" s="43">
        <v>0.9166666666666666</v>
      </c>
      <c r="G10" s="43">
        <v>0.13125</v>
      </c>
      <c r="H10" s="43">
        <v>0.15208333333333332</v>
      </c>
      <c r="I10" s="43">
        <v>0.25555555555555554</v>
      </c>
      <c r="J10" s="45">
        <f t="shared" si="1"/>
        <v>488</v>
      </c>
      <c r="L10" s="46" t="s">
        <v>154</v>
      </c>
      <c r="M10" s="27"/>
      <c r="N10" s="27"/>
    </row>
    <row r="11">
      <c r="A11" s="40">
        <v>43719.0</v>
      </c>
      <c r="B11" s="41" t="s">
        <v>96</v>
      </c>
      <c r="C11" s="43" t="str">
        <f>VLOOKUP(A11,Table!A:B,2,false)</f>
        <v>P1 W2</v>
      </c>
      <c r="D11" s="43" t="str">
        <f>VLOOKUP(A11,Table!A:D,4,false)</f>
        <v>Period 1</v>
      </c>
      <c r="E11" s="70" t="s">
        <v>101</v>
      </c>
      <c r="F11" s="43">
        <v>0.9166666666666666</v>
      </c>
      <c r="G11" s="43">
        <v>0.1257175925925926</v>
      </c>
      <c r="H11" s="43">
        <v>0.1546412037037037</v>
      </c>
      <c r="I11" s="43">
        <v>0.27847222222222223</v>
      </c>
      <c r="J11" s="45">
        <f t="shared" si="1"/>
        <v>521</v>
      </c>
      <c r="L11" s="46" t="s">
        <v>156</v>
      </c>
      <c r="M11" s="73" t="s">
        <v>161</v>
      </c>
      <c r="N11" s="73" t="s">
        <v>26</v>
      </c>
    </row>
    <row r="12">
      <c r="A12" s="40">
        <v>43720.0</v>
      </c>
      <c r="B12" s="41" t="s">
        <v>97</v>
      </c>
      <c r="C12" s="43" t="str">
        <f>VLOOKUP(A12,Table!A:B,2,false)</f>
        <v>P1 W2</v>
      </c>
      <c r="D12" s="43" t="str">
        <f>VLOOKUP(A12,Table!A:D,4,false)</f>
        <v>Period 1</v>
      </c>
      <c r="E12" s="70" t="s">
        <v>101</v>
      </c>
      <c r="F12" s="43">
        <v>0.9166666666666666</v>
      </c>
      <c r="G12" s="43">
        <v>0.11527777777777778</v>
      </c>
      <c r="H12" s="43">
        <v>0.27569444444444446</v>
      </c>
      <c r="I12" s="43">
        <v>0.5944444444444444</v>
      </c>
      <c r="J12" s="45">
        <f t="shared" si="1"/>
        <v>976</v>
      </c>
      <c r="L12" s="46" t="s">
        <v>157</v>
      </c>
      <c r="M12" s="73" t="s">
        <v>162</v>
      </c>
      <c r="N12" s="73" t="s">
        <v>26</v>
      </c>
    </row>
    <row r="13">
      <c r="A13" s="40">
        <v>43721.0</v>
      </c>
      <c r="B13" s="41" t="s">
        <v>98</v>
      </c>
      <c r="C13" s="43" t="str">
        <f>VLOOKUP(A13,Table!A:B,2,false)</f>
        <v>P1 W2</v>
      </c>
      <c r="D13" s="43" t="str">
        <f>VLOOKUP(A13,Table!A:D,4,false)</f>
        <v>Period 1</v>
      </c>
      <c r="E13" s="70" t="s">
        <v>101</v>
      </c>
      <c r="F13" s="43">
        <v>0.9166666666666666</v>
      </c>
      <c r="G13" s="43">
        <v>0.11319444444444444</v>
      </c>
      <c r="H13" s="43">
        <v>0.2722222222222222</v>
      </c>
      <c r="I13" s="43">
        <v>0.8320833333333333</v>
      </c>
      <c r="J13" s="45">
        <f t="shared" si="1"/>
        <v>1318.2</v>
      </c>
      <c r="L13" s="46" t="s">
        <v>158</v>
      </c>
      <c r="M13" s="73" t="s">
        <v>163</v>
      </c>
      <c r="N13" s="73" t="s">
        <v>26</v>
      </c>
    </row>
    <row r="14">
      <c r="A14" s="40">
        <v>43722.0</v>
      </c>
      <c r="B14" s="41" t="s">
        <v>99</v>
      </c>
      <c r="C14" s="43" t="str">
        <f>VLOOKUP(A14,Table!A:B,2,false)</f>
        <v>P1 W2</v>
      </c>
      <c r="D14" s="43" t="str">
        <f>VLOOKUP(A14,Table!A:D,4,false)</f>
        <v>Period 1</v>
      </c>
      <c r="E14" s="70" t="s">
        <v>101</v>
      </c>
      <c r="F14" s="43">
        <v>0.9166666666666666</v>
      </c>
      <c r="G14" s="43">
        <v>0.11518518518518518</v>
      </c>
      <c r="H14" s="43">
        <v>0.1320949074074074</v>
      </c>
      <c r="I14" s="43">
        <v>0.24086805555555554</v>
      </c>
      <c r="J14" s="45">
        <f t="shared" si="1"/>
        <v>466.85</v>
      </c>
      <c r="L14" s="46" t="s">
        <v>159</v>
      </c>
      <c r="M14" s="27"/>
      <c r="N14" s="27"/>
    </row>
    <row r="15">
      <c r="A15" s="40">
        <v>43723.0</v>
      </c>
      <c r="B15" s="41" t="s">
        <v>100</v>
      </c>
      <c r="C15" s="43" t="str">
        <f>VLOOKUP(A15,Table!A:B,2,false)</f>
        <v>P1 W2</v>
      </c>
      <c r="D15" s="43" t="str">
        <f>VLOOKUP(A15,Table!A:D,4,false)</f>
        <v>Period 1</v>
      </c>
      <c r="E15" s="70" t="s">
        <v>101</v>
      </c>
      <c r="F15" s="43">
        <v>0.9166666666666666</v>
      </c>
      <c r="G15" s="43">
        <v>0.1486111111111111</v>
      </c>
      <c r="H15" s="43">
        <v>0.18055555555555555</v>
      </c>
      <c r="I15" s="43">
        <v>0.25277777777777777</v>
      </c>
      <c r="J15" s="45">
        <f t="shared" si="1"/>
        <v>484</v>
      </c>
      <c r="L15" s="46" t="s">
        <v>160</v>
      </c>
      <c r="M15" s="27"/>
      <c r="N15" s="27"/>
    </row>
    <row r="16">
      <c r="A16" s="40">
        <v>43724.0</v>
      </c>
      <c r="B16" s="41" t="s">
        <v>92</v>
      </c>
      <c r="C16" s="43" t="str">
        <f>VLOOKUP(A16,Table!A:B,2,false)</f>
        <v>P1 W3</v>
      </c>
      <c r="D16" s="43" t="str">
        <f>VLOOKUP(A16,Table!A:D,4,false)</f>
        <v>Period 1</v>
      </c>
      <c r="E16" s="70" t="s">
        <v>106</v>
      </c>
      <c r="F16" s="43">
        <v>0.9166666666666666</v>
      </c>
      <c r="G16" s="43">
        <v>0.11805555555555555</v>
      </c>
      <c r="H16" s="43">
        <v>0.15</v>
      </c>
      <c r="I16" s="43">
        <v>0.24583333333333332</v>
      </c>
      <c r="J16" s="45">
        <f t="shared" si="1"/>
        <v>474</v>
      </c>
      <c r="L16" s="46" t="s">
        <v>152</v>
      </c>
      <c r="M16" s="27"/>
      <c r="N16" s="27"/>
    </row>
    <row r="17">
      <c r="A17" s="40">
        <v>43725.0</v>
      </c>
      <c r="B17" s="41" t="s">
        <v>94</v>
      </c>
      <c r="C17" s="43" t="str">
        <f>VLOOKUP(A17,Table!A:B,2,false)</f>
        <v>P1 W3</v>
      </c>
      <c r="D17" s="43" t="str">
        <f>VLOOKUP(A17,Table!A:D,4,false)</f>
        <v>Period 1</v>
      </c>
      <c r="E17" s="70" t="s">
        <v>106</v>
      </c>
      <c r="F17" s="43">
        <v>0.9166666666666666</v>
      </c>
      <c r="G17" s="43">
        <v>0.13541666666666666</v>
      </c>
      <c r="H17" s="43">
        <v>0.15625</v>
      </c>
      <c r="I17" s="43">
        <v>0.25555555555555554</v>
      </c>
      <c r="J17" s="45">
        <f t="shared" si="1"/>
        <v>488</v>
      </c>
      <c r="L17" s="46" t="s">
        <v>154</v>
      </c>
      <c r="M17" s="27"/>
      <c r="N17" s="27"/>
    </row>
    <row r="18">
      <c r="A18" s="40">
        <v>43726.0</v>
      </c>
      <c r="B18" s="41" t="s">
        <v>96</v>
      </c>
      <c r="C18" s="43" t="str">
        <f>VLOOKUP(A18,Table!A:B,2,false)</f>
        <v>P1 W3</v>
      </c>
      <c r="D18" s="43" t="str">
        <f>VLOOKUP(A18,Table!A:D,4,false)</f>
        <v>Period 1</v>
      </c>
      <c r="E18" s="70" t="s">
        <v>106</v>
      </c>
      <c r="F18" s="43">
        <v>0.9166666666666666</v>
      </c>
      <c r="G18" s="43">
        <v>0.11700231481481481</v>
      </c>
      <c r="H18" s="43">
        <v>0.1463310185185185</v>
      </c>
      <c r="I18" s="43">
        <v>0.2530324074074074</v>
      </c>
      <c r="J18" s="45">
        <f t="shared" si="1"/>
        <v>484.3666667</v>
      </c>
      <c r="L18" s="46" t="s">
        <v>156</v>
      </c>
      <c r="M18" s="27"/>
      <c r="N18" s="27"/>
    </row>
    <row r="19">
      <c r="A19" s="40">
        <v>43727.0</v>
      </c>
      <c r="B19" s="41" t="s">
        <v>97</v>
      </c>
      <c r="C19" s="43" t="str">
        <f>VLOOKUP(A19,Table!A:B,2,false)</f>
        <v>P1 W3</v>
      </c>
      <c r="D19" s="43" t="str">
        <f>VLOOKUP(A19,Table!A:D,4,false)</f>
        <v>Period 1</v>
      </c>
      <c r="E19" s="70" t="s">
        <v>106</v>
      </c>
      <c r="F19" s="43">
        <v>0.9166666666666666</v>
      </c>
      <c r="G19" s="43">
        <v>0.115</v>
      </c>
      <c r="H19" s="43">
        <v>0.13614583333333333</v>
      </c>
      <c r="I19" s="43">
        <v>0.23717592592592593</v>
      </c>
      <c r="J19" s="45">
        <f t="shared" si="1"/>
        <v>461.5333333</v>
      </c>
      <c r="L19" s="46" t="s">
        <v>157</v>
      </c>
      <c r="M19" s="27"/>
      <c r="N19" s="27"/>
    </row>
    <row r="20">
      <c r="A20" s="40">
        <v>43728.0</v>
      </c>
      <c r="B20" s="41" t="s">
        <v>98</v>
      </c>
      <c r="C20" s="43" t="str">
        <f>VLOOKUP(A20,Table!A:B,2,false)</f>
        <v>P1 W3</v>
      </c>
      <c r="D20" s="43" t="str">
        <f>VLOOKUP(A20,Table!A:D,4,false)</f>
        <v>Period 1</v>
      </c>
      <c r="E20" s="70" t="s">
        <v>106</v>
      </c>
      <c r="F20" s="43">
        <v>0.9166666666666666</v>
      </c>
      <c r="G20" s="43">
        <v>0.11388888888888889</v>
      </c>
      <c r="H20" s="43">
        <v>0.13680555555555557</v>
      </c>
      <c r="I20" s="43">
        <v>0.24930555555555556</v>
      </c>
      <c r="J20" s="45">
        <f t="shared" si="1"/>
        <v>479</v>
      </c>
      <c r="L20" s="46" t="s">
        <v>158</v>
      </c>
      <c r="M20" s="27"/>
      <c r="N20" s="27"/>
    </row>
    <row r="21">
      <c r="A21" s="40">
        <v>43729.0</v>
      </c>
      <c r="B21" s="41" t="s">
        <v>99</v>
      </c>
      <c r="C21" s="43" t="str">
        <f>VLOOKUP(A21,Table!A:B,2,false)</f>
        <v>P1 W3</v>
      </c>
      <c r="D21" s="43" t="str">
        <f>VLOOKUP(A21,Table!A:D,4,false)</f>
        <v>Period 1</v>
      </c>
      <c r="E21" s="70" t="s">
        <v>106</v>
      </c>
      <c r="F21" s="43">
        <v>0.9166666666666666</v>
      </c>
      <c r="G21" s="43">
        <v>0.1125</v>
      </c>
      <c r="H21" s="43">
        <v>0.12916666666666668</v>
      </c>
      <c r="I21" s="43">
        <v>0.25</v>
      </c>
      <c r="J21" s="45">
        <f t="shared" si="1"/>
        <v>480</v>
      </c>
      <c r="L21" s="46" t="s">
        <v>159</v>
      </c>
      <c r="M21" s="27"/>
      <c r="N21" s="27"/>
    </row>
    <row r="22">
      <c r="A22" s="40">
        <v>43730.0</v>
      </c>
      <c r="B22" s="41" t="s">
        <v>100</v>
      </c>
      <c r="C22" s="43" t="str">
        <f>VLOOKUP(A22,Table!A:B,2,false)</f>
        <v>P1 W3</v>
      </c>
      <c r="D22" s="43" t="str">
        <f>VLOOKUP(A22,Table!A:D,4,false)</f>
        <v>Period 1</v>
      </c>
      <c r="E22" s="70" t="s">
        <v>106</v>
      </c>
      <c r="F22" s="43">
        <v>0.9166666666666666</v>
      </c>
      <c r="G22" s="43">
        <v>0.15486111111111112</v>
      </c>
      <c r="H22" s="43">
        <v>0.18472222222222223</v>
      </c>
      <c r="I22" s="43">
        <v>0.26875</v>
      </c>
      <c r="J22" s="45">
        <f t="shared" si="1"/>
        <v>507</v>
      </c>
      <c r="L22" s="46" t="s">
        <v>160</v>
      </c>
      <c r="M22" s="74"/>
      <c r="N22" s="27"/>
    </row>
    <row r="23">
      <c r="A23" s="40">
        <v>43731.0</v>
      </c>
      <c r="B23" s="41" t="s">
        <v>92</v>
      </c>
      <c r="C23" s="43" t="str">
        <f>VLOOKUP(A23,Table!A:B,2,false)</f>
        <v>P1 W4</v>
      </c>
      <c r="D23" s="43" t="str">
        <f>VLOOKUP(A23,Table!A:D,4,false)</f>
        <v>Period 1</v>
      </c>
      <c r="E23" s="70" t="s">
        <v>110</v>
      </c>
      <c r="F23" s="43">
        <v>0.9166666666666666</v>
      </c>
      <c r="G23" s="43">
        <v>0.11458333333333333</v>
      </c>
      <c r="H23" s="43">
        <v>0.14444444444444443</v>
      </c>
      <c r="I23" s="43">
        <v>0.2534722222222222</v>
      </c>
      <c r="J23" s="45">
        <f t="shared" si="1"/>
        <v>485</v>
      </c>
      <c r="L23" s="46" t="s">
        <v>152</v>
      </c>
      <c r="M23" s="27"/>
      <c r="N23" s="27"/>
    </row>
    <row r="24">
      <c r="A24" s="40">
        <v>43732.0</v>
      </c>
      <c r="B24" s="41" t="s">
        <v>94</v>
      </c>
      <c r="C24" s="43" t="str">
        <f>VLOOKUP(A24,Table!A:B,2,false)</f>
        <v>P1 W4</v>
      </c>
      <c r="D24" s="43" t="str">
        <f>VLOOKUP(A24,Table!A:D,4,false)</f>
        <v>Period 1</v>
      </c>
      <c r="E24" s="70" t="s">
        <v>110</v>
      </c>
      <c r="F24" s="43">
        <v>0.9166666666666666</v>
      </c>
      <c r="G24" s="43">
        <v>0.1125</v>
      </c>
      <c r="H24" s="43">
        <v>0.1423611111111111</v>
      </c>
      <c r="I24" s="43">
        <v>0.25555555555555554</v>
      </c>
      <c r="J24" s="45">
        <f t="shared" si="1"/>
        <v>488</v>
      </c>
      <c r="L24" s="46" t="s">
        <v>154</v>
      </c>
      <c r="M24" s="27"/>
      <c r="N24" s="27"/>
    </row>
    <row r="25">
      <c r="A25" s="40">
        <v>43733.0</v>
      </c>
      <c r="B25" s="41" t="s">
        <v>96</v>
      </c>
      <c r="C25" s="43" t="str">
        <f>VLOOKUP(A25,Table!A:B,2,false)</f>
        <v>P1 W4</v>
      </c>
      <c r="D25" s="43" t="str">
        <f>VLOOKUP(A25,Table!A:D,4,false)</f>
        <v>Period 1</v>
      </c>
      <c r="E25" s="70" t="s">
        <v>110</v>
      </c>
      <c r="F25" s="43">
        <v>0.9166666666666666</v>
      </c>
      <c r="G25" s="43">
        <v>0.15208333333333332</v>
      </c>
      <c r="H25" s="43">
        <v>0.1840277777777778</v>
      </c>
      <c r="I25" s="43">
        <v>0.27708333333333335</v>
      </c>
      <c r="J25" s="45">
        <f t="shared" si="1"/>
        <v>519</v>
      </c>
      <c r="L25" s="46" t="s">
        <v>156</v>
      </c>
      <c r="M25" s="75" t="s">
        <v>164</v>
      </c>
      <c r="N25" s="73" t="s">
        <v>140</v>
      </c>
    </row>
    <row r="26">
      <c r="A26" s="40">
        <v>43734.0</v>
      </c>
      <c r="B26" s="41" t="s">
        <v>97</v>
      </c>
      <c r="C26" s="43" t="str">
        <f>VLOOKUP(A26,Table!A:B,2,false)</f>
        <v>P1 W4</v>
      </c>
      <c r="D26" s="43" t="str">
        <f>VLOOKUP(A26,Table!A:D,4,false)</f>
        <v>Period 1</v>
      </c>
      <c r="E26" s="70" t="s">
        <v>110</v>
      </c>
      <c r="F26" s="43">
        <v>0.9166666666666666</v>
      </c>
      <c r="G26" s="43">
        <v>0.11447916666666667</v>
      </c>
      <c r="H26" s="43">
        <v>0.1640625</v>
      </c>
      <c r="I26" s="43">
        <v>0.24628472222222222</v>
      </c>
      <c r="J26" s="45">
        <f t="shared" si="1"/>
        <v>474.65</v>
      </c>
      <c r="L26" s="46" t="s">
        <v>157</v>
      </c>
      <c r="M26" s="27"/>
      <c r="N26" s="27"/>
    </row>
    <row r="27">
      <c r="A27" s="40">
        <v>43735.0</v>
      </c>
      <c r="B27" s="41" t="s">
        <v>98</v>
      </c>
      <c r="C27" s="43" t="str">
        <f>VLOOKUP(A27,Table!A:B,2,false)</f>
        <v>P1 W4</v>
      </c>
      <c r="D27" s="43" t="str">
        <f>VLOOKUP(A27,Table!A:D,4,false)</f>
        <v>Period 1</v>
      </c>
      <c r="E27" s="70" t="s">
        <v>110</v>
      </c>
      <c r="F27" s="43">
        <v>0.9166666666666666</v>
      </c>
      <c r="G27" s="43">
        <v>0.18472222222222223</v>
      </c>
      <c r="H27" s="43">
        <v>0.20972222222222223</v>
      </c>
      <c r="I27" s="43">
        <v>0.35555555555555557</v>
      </c>
      <c r="J27" s="45">
        <f t="shared" si="1"/>
        <v>632</v>
      </c>
      <c r="L27" s="46" t="s">
        <v>158</v>
      </c>
      <c r="M27" s="76" t="s">
        <v>165</v>
      </c>
      <c r="N27" s="73" t="s">
        <v>143</v>
      </c>
    </row>
    <row r="28">
      <c r="A28" s="40">
        <v>43736.0</v>
      </c>
      <c r="B28" s="41" t="s">
        <v>99</v>
      </c>
      <c r="C28" s="43" t="str">
        <f>VLOOKUP(A28,Table!A:B,2,false)</f>
        <v>P1 W4</v>
      </c>
      <c r="D28" s="43" t="str">
        <f>VLOOKUP(A28,Table!A:D,4,false)</f>
        <v>Period 1</v>
      </c>
      <c r="E28" s="70" t="s">
        <v>110</v>
      </c>
      <c r="F28" s="43">
        <v>0.9166666666666666</v>
      </c>
      <c r="G28" s="43">
        <v>0.18153935185185185</v>
      </c>
      <c r="H28" s="43">
        <v>0.20277777777777778</v>
      </c>
      <c r="I28" s="43">
        <v>0.2791666666666667</v>
      </c>
      <c r="J28" s="45">
        <f t="shared" si="1"/>
        <v>522</v>
      </c>
      <c r="L28" s="46" t="s">
        <v>159</v>
      </c>
      <c r="M28" s="77"/>
      <c r="N28" s="73"/>
    </row>
    <row r="29">
      <c r="A29" s="40">
        <v>43737.0</v>
      </c>
      <c r="B29" s="41" t="s">
        <v>100</v>
      </c>
      <c r="C29" s="43" t="str">
        <f>VLOOKUP(A29,Table!A:B,2,false)</f>
        <v>P1 W4</v>
      </c>
      <c r="D29" s="43" t="str">
        <f>VLOOKUP(A29,Table!A:D,4,false)</f>
        <v>Period 1</v>
      </c>
      <c r="E29" s="70" t="s">
        <v>110</v>
      </c>
      <c r="F29" s="43">
        <v>0.9166666666666666</v>
      </c>
      <c r="G29" s="43">
        <v>0.18055555555555555</v>
      </c>
      <c r="H29" s="43">
        <v>0.2125</v>
      </c>
      <c r="I29" s="43">
        <v>0.29305555555555557</v>
      </c>
      <c r="J29" s="45">
        <f t="shared" si="1"/>
        <v>542</v>
      </c>
      <c r="L29" s="46" t="s">
        <v>160</v>
      </c>
      <c r="M29" s="77" t="s">
        <v>166</v>
      </c>
      <c r="N29" s="73" t="s">
        <v>149</v>
      </c>
    </row>
    <row r="30">
      <c r="A30" s="78">
        <v>43738.0</v>
      </c>
      <c r="B30" s="79" t="s">
        <v>92</v>
      </c>
      <c r="C30" s="54" t="str">
        <f>VLOOKUP(A30,Table!A:B,2,false)</f>
        <v>P2 W1</v>
      </c>
      <c r="D30" s="54" t="str">
        <f>VLOOKUP(A30,Table!A:D,4,false)</f>
        <v>Period 2</v>
      </c>
      <c r="E30" s="70" t="s">
        <v>93</v>
      </c>
      <c r="F30" s="43">
        <v>0.9166666666666666</v>
      </c>
      <c r="G30" s="43">
        <v>0.15416666666666667</v>
      </c>
      <c r="H30" s="43">
        <v>0.18611111111111112</v>
      </c>
      <c r="I30" s="43">
        <v>0.3909722222222222</v>
      </c>
      <c r="J30" s="45">
        <f t="shared" si="1"/>
        <v>683</v>
      </c>
      <c r="L30" s="46" t="s">
        <v>152</v>
      </c>
      <c r="M30" s="73" t="s">
        <v>167</v>
      </c>
      <c r="N30" s="73" t="s">
        <v>37</v>
      </c>
    </row>
    <row r="31">
      <c r="A31" s="40">
        <v>43739.0</v>
      </c>
      <c r="B31" s="41" t="s">
        <v>94</v>
      </c>
      <c r="C31" s="43" t="str">
        <f>VLOOKUP(A31,Table!A:B,2,false)</f>
        <v>P2 W1</v>
      </c>
      <c r="D31" s="43" t="str">
        <f>VLOOKUP(A31,Table!A:D,4,false)</f>
        <v>Period 2</v>
      </c>
      <c r="E31" s="70" t="s">
        <v>93</v>
      </c>
      <c r="F31" s="43">
        <v>0.9166666666666666</v>
      </c>
      <c r="G31" s="43">
        <v>0.12638888888888888</v>
      </c>
      <c r="H31" s="43">
        <v>0.14791666666666667</v>
      </c>
      <c r="I31" s="43">
        <v>0.2604166666666667</v>
      </c>
      <c r="J31" s="45">
        <f t="shared" si="1"/>
        <v>495</v>
      </c>
      <c r="L31" s="46" t="s">
        <v>154</v>
      </c>
      <c r="M31" s="27"/>
      <c r="N31" s="27"/>
    </row>
    <row r="32">
      <c r="A32" s="40">
        <v>43740.0</v>
      </c>
      <c r="B32" s="41" t="s">
        <v>96</v>
      </c>
      <c r="C32" s="43" t="str">
        <f>VLOOKUP(A32,Table!A:B,2,false)</f>
        <v>P2 W1</v>
      </c>
      <c r="D32" s="43" t="str">
        <f>VLOOKUP(A32,Table!A:D,4,false)</f>
        <v>Period 2</v>
      </c>
      <c r="E32" s="70" t="s">
        <v>93</v>
      </c>
      <c r="F32" s="43">
        <v>0.9166666666666666</v>
      </c>
      <c r="G32" s="43">
        <v>0.11178240740740741</v>
      </c>
      <c r="H32" s="43">
        <v>0.1329050925925926</v>
      </c>
      <c r="I32" s="43">
        <v>0.2847222222222222</v>
      </c>
      <c r="J32" s="45">
        <f t="shared" si="1"/>
        <v>530</v>
      </c>
      <c r="L32" s="46" t="s">
        <v>156</v>
      </c>
      <c r="M32" s="27"/>
      <c r="N32" s="73" t="s">
        <v>140</v>
      </c>
    </row>
    <row r="33">
      <c r="A33" s="40">
        <v>43741.0</v>
      </c>
      <c r="B33" s="41" t="s">
        <v>97</v>
      </c>
      <c r="C33" s="43" t="str">
        <f>VLOOKUP(A33,Table!A:B,2,false)</f>
        <v>P2 W1</v>
      </c>
      <c r="D33" s="43" t="str">
        <f>VLOOKUP(A33,Table!A:D,4,false)</f>
        <v>Period 2</v>
      </c>
      <c r="E33" s="70" t="s">
        <v>93</v>
      </c>
      <c r="F33" s="43">
        <v>0.9305555555555556</v>
      </c>
      <c r="G33" s="43">
        <v>0.11269675925925926</v>
      </c>
      <c r="H33" s="43">
        <v>0.13826388888888888</v>
      </c>
      <c r="I33" s="43">
        <v>0.26034722222222223</v>
      </c>
      <c r="J33" s="45">
        <f t="shared" si="1"/>
        <v>474.9</v>
      </c>
      <c r="L33" s="46" t="s">
        <v>157</v>
      </c>
      <c r="M33" s="27"/>
      <c r="N33" s="27"/>
    </row>
    <row r="34">
      <c r="A34" s="40">
        <v>43742.0</v>
      </c>
      <c r="B34" s="41" t="s">
        <v>98</v>
      </c>
      <c r="C34" s="43" t="str">
        <f>VLOOKUP(A34,Table!A:B,2,false)</f>
        <v>P2 W1</v>
      </c>
      <c r="D34" s="43" t="str">
        <f>VLOOKUP(A34,Table!A:D,4,false)</f>
        <v>Period 2</v>
      </c>
      <c r="E34" s="70" t="s">
        <v>93</v>
      </c>
      <c r="F34" s="43">
        <v>0.9166666666666666</v>
      </c>
      <c r="G34" s="43">
        <v>0.12430555555555556</v>
      </c>
      <c r="H34" s="43">
        <v>0.15637731481481482</v>
      </c>
      <c r="I34" s="43">
        <v>0.2619097222222222</v>
      </c>
      <c r="J34" s="45">
        <f t="shared" si="1"/>
        <v>497.15</v>
      </c>
      <c r="L34" s="46" t="s">
        <v>158</v>
      </c>
      <c r="M34" s="27"/>
      <c r="N34" s="27"/>
    </row>
    <row r="35">
      <c r="A35" s="40">
        <v>43743.0</v>
      </c>
      <c r="B35" s="41" t="s">
        <v>99</v>
      </c>
      <c r="C35" s="43" t="str">
        <f>VLOOKUP(A35,Table!A:B,2,false)</f>
        <v>P2 W1</v>
      </c>
      <c r="D35" s="43" t="str">
        <f>VLOOKUP(A35,Table!A:D,4,false)</f>
        <v>Period 2</v>
      </c>
      <c r="E35" s="70" t="s">
        <v>93</v>
      </c>
      <c r="F35" s="43">
        <v>0.9166666666666666</v>
      </c>
      <c r="G35" s="43">
        <v>0.11185185185185186</v>
      </c>
      <c r="H35" s="43">
        <v>0.12887731481481482</v>
      </c>
      <c r="I35" s="43">
        <v>0.24591435185185184</v>
      </c>
      <c r="J35" s="45">
        <f t="shared" si="1"/>
        <v>474.1166667</v>
      </c>
      <c r="L35" s="46" t="s">
        <v>159</v>
      </c>
      <c r="M35" s="27"/>
      <c r="N35" s="27"/>
    </row>
    <row r="36">
      <c r="A36" s="40">
        <v>43744.0</v>
      </c>
      <c r="B36" s="41" t="s">
        <v>100</v>
      </c>
      <c r="C36" s="43" t="str">
        <f>VLOOKUP(A36,Table!A:B,2,false)</f>
        <v>P2 W1</v>
      </c>
      <c r="D36" s="43" t="str">
        <f>VLOOKUP(A36,Table!A:D,4,false)</f>
        <v>Period 2</v>
      </c>
      <c r="E36" s="70" t="s">
        <v>93</v>
      </c>
      <c r="F36" s="43">
        <v>0.9166666666666666</v>
      </c>
      <c r="G36" s="43">
        <v>0.14722222222222223</v>
      </c>
      <c r="H36" s="43">
        <v>0.18125</v>
      </c>
      <c r="I36" s="43">
        <v>0.2875</v>
      </c>
      <c r="J36" s="45">
        <f t="shared" si="1"/>
        <v>534</v>
      </c>
      <c r="L36" s="46" t="s">
        <v>160</v>
      </c>
      <c r="M36" s="73" t="s">
        <v>168</v>
      </c>
      <c r="N36" s="73" t="s">
        <v>140</v>
      </c>
    </row>
    <row r="37">
      <c r="A37" s="40">
        <v>43745.0</v>
      </c>
      <c r="B37" s="41" t="s">
        <v>92</v>
      </c>
      <c r="C37" s="43" t="str">
        <f>VLOOKUP(A37,Table!A:B,2,false)</f>
        <v>P2 W2</v>
      </c>
      <c r="D37" s="43" t="str">
        <f>VLOOKUP(A37,Table!A:D,4,false)</f>
        <v>Period 2</v>
      </c>
      <c r="E37" s="70" t="s">
        <v>101</v>
      </c>
      <c r="F37" s="43">
        <v>0.9166666666666666</v>
      </c>
      <c r="G37" s="43">
        <v>0.13055555555555556</v>
      </c>
      <c r="H37" s="43">
        <v>0.14722222222222223</v>
      </c>
      <c r="I37" s="43">
        <v>0.2604166666666667</v>
      </c>
      <c r="J37" s="45">
        <f t="shared" si="1"/>
        <v>495</v>
      </c>
      <c r="L37" s="46" t="s">
        <v>152</v>
      </c>
      <c r="M37" s="27"/>
      <c r="N37" s="27"/>
    </row>
    <row r="38">
      <c r="A38" s="40">
        <v>43746.0</v>
      </c>
      <c r="B38" s="41" t="s">
        <v>94</v>
      </c>
      <c r="C38" s="43" t="str">
        <f>VLOOKUP(A38,Table!A:B,2,false)</f>
        <v>P2 W2</v>
      </c>
      <c r="D38" s="43" t="str">
        <f>VLOOKUP(A38,Table!A:D,4,false)</f>
        <v>Period 2</v>
      </c>
      <c r="E38" s="70" t="s">
        <v>101</v>
      </c>
      <c r="F38" s="43">
        <v>0.9166666666666666</v>
      </c>
      <c r="G38" s="43">
        <v>0.1284722222222222</v>
      </c>
      <c r="H38" s="43">
        <v>0.15208333333333332</v>
      </c>
      <c r="I38" s="43">
        <v>0.25972222222222224</v>
      </c>
      <c r="J38" s="45">
        <f t="shared" si="1"/>
        <v>494</v>
      </c>
      <c r="L38" s="46" t="s">
        <v>154</v>
      </c>
      <c r="M38" s="27"/>
      <c r="N38" s="80"/>
    </row>
    <row r="39">
      <c r="A39" s="40">
        <v>43747.0</v>
      </c>
      <c r="B39" s="41" t="s">
        <v>96</v>
      </c>
      <c r="C39" s="43" t="str">
        <f>VLOOKUP(A39,Table!A:B,2,false)</f>
        <v>P2 W2</v>
      </c>
      <c r="D39" s="43" t="str">
        <f>VLOOKUP(A39,Table!A:D,4,false)</f>
        <v>Period 2</v>
      </c>
      <c r="E39" s="70" t="s">
        <v>101</v>
      </c>
      <c r="F39" s="43">
        <v>0.9166666666666666</v>
      </c>
      <c r="G39" s="43">
        <v>0.13127314814814814</v>
      </c>
      <c r="H39" s="43">
        <v>0.154375</v>
      </c>
      <c r="I39" s="43">
        <v>0.2708333333333333</v>
      </c>
      <c r="J39" s="45">
        <f t="shared" si="1"/>
        <v>510</v>
      </c>
      <c r="L39" s="46" t="s">
        <v>156</v>
      </c>
      <c r="M39" s="81"/>
      <c r="N39" s="27"/>
    </row>
    <row r="40">
      <c r="A40" s="40">
        <v>43748.0</v>
      </c>
      <c r="B40" s="41" t="s">
        <v>97</v>
      </c>
      <c r="C40" s="43" t="str">
        <f>VLOOKUP(A40,Table!A:B,2,false)</f>
        <v>P2 W2</v>
      </c>
      <c r="D40" s="43" t="str">
        <f>VLOOKUP(A40,Table!A:D,4,false)</f>
        <v>Period 2</v>
      </c>
      <c r="E40" s="70" t="s">
        <v>101</v>
      </c>
      <c r="F40" s="43">
        <v>0.9166666666666666</v>
      </c>
      <c r="G40" s="43">
        <v>0.11466435185185185</v>
      </c>
      <c r="H40" s="43">
        <v>0.13800925925925925</v>
      </c>
      <c r="I40" s="43">
        <v>0.2763888888888889</v>
      </c>
      <c r="J40" s="45">
        <f t="shared" si="1"/>
        <v>518</v>
      </c>
      <c r="L40" s="46" t="s">
        <v>157</v>
      </c>
      <c r="M40" s="82" t="s">
        <v>169</v>
      </c>
      <c r="N40" s="73" t="s">
        <v>138</v>
      </c>
    </row>
    <row r="41">
      <c r="A41" s="40">
        <v>43749.0</v>
      </c>
      <c r="B41" s="41" t="s">
        <v>98</v>
      </c>
      <c r="C41" s="43" t="str">
        <f>VLOOKUP(A41,Table!A:B,2,false)</f>
        <v>P2 W2</v>
      </c>
      <c r="D41" s="43" t="str">
        <f>VLOOKUP(A41,Table!A:D,4,false)</f>
        <v>Period 2</v>
      </c>
      <c r="E41" s="70" t="s">
        <v>101</v>
      </c>
      <c r="F41" s="43">
        <v>0.9166666666666666</v>
      </c>
      <c r="G41" s="43">
        <v>0.13136574074074073</v>
      </c>
      <c r="H41" s="43">
        <v>0.1522800925925926</v>
      </c>
      <c r="I41" s="43">
        <v>0.27291666666666664</v>
      </c>
      <c r="J41" s="45">
        <f t="shared" si="1"/>
        <v>513</v>
      </c>
      <c r="L41" s="46" t="s">
        <v>158</v>
      </c>
      <c r="M41" s="81"/>
      <c r="N41" s="73" t="s">
        <v>138</v>
      </c>
    </row>
    <row r="42">
      <c r="A42" s="40">
        <v>43750.0</v>
      </c>
      <c r="B42" s="41" t="s">
        <v>99</v>
      </c>
      <c r="C42" s="43" t="str">
        <f>VLOOKUP(A42,Table!A:B,2,false)</f>
        <v>P2 W2</v>
      </c>
      <c r="D42" s="43" t="str">
        <f>VLOOKUP(A42,Table!A:D,4,false)</f>
        <v>Period 2</v>
      </c>
      <c r="E42" s="70" t="s">
        <v>101</v>
      </c>
      <c r="F42" s="43">
        <v>0.9166666666666666</v>
      </c>
      <c r="G42" s="43">
        <v>0.11314814814814815</v>
      </c>
      <c r="H42" s="43">
        <v>0.13203703703703704</v>
      </c>
      <c r="I42" s="43">
        <v>0.25972222222222224</v>
      </c>
      <c r="J42" s="45">
        <f t="shared" si="1"/>
        <v>494</v>
      </c>
      <c r="L42" s="46" t="s">
        <v>159</v>
      </c>
      <c r="M42" s="81"/>
      <c r="N42" s="27"/>
    </row>
    <row r="43">
      <c r="A43" s="40">
        <v>43751.0</v>
      </c>
      <c r="B43" s="41" t="s">
        <v>100</v>
      </c>
      <c r="C43" s="43" t="str">
        <f>VLOOKUP(A43,Table!A:B,2,false)</f>
        <v>P2 W2</v>
      </c>
      <c r="D43" s="43" t="str">
        <f>VLOOKUP(A43,Table!A:D,4,false)</f>
        <v>Period 2</v>
      </c>
      <c r="E43" s="70" t="s">
        <v>101</v>
      </c>
      <c r="F43" s="43">
        <v>0.9166666666666666</v>
      </c>
      <c r="G43" s="43">
        <v>0.14930555555555555</v>
      </c>
      <c r="H43" s="43">
        <v>0.17916666666666667</v>
      </c>
      <c r="I43" s="43">
        <v>0.28541666666666665</v>
      </c>
      <c r="J43" s="45">
        <f t="shared" si="1"/>
        <v>531</v>
      </c>
      <c r="L43" s="46" t="s">
        <v>160</v>
      </c>
      <c r="M43" s="82" t="s">
        <v>169</v>
      </c>
      <c r="N43" s="73" t="s">
        <v>138</v>
      </c>
    </row>
    <row r="44">
      <c r="A44" s="40">
        <v>43752.0</v>
      </c>
      <c r="B44" s="41" t="s">
        <v>92</v>
      </c>
      <c r="C44" s="43" t="str">
        <f>VLOOKUP(A44,Table!A:B,2,false)</f>
        <v>P2 W3</v>
      </c>
      <c r="D44" s="43" t="str">
        <f>VLOOKUP(A44,Table!A:D,4,false)</f>
        <v>Period 2</v>
      </c>
      <c r="E44" s="70" t="s">
        <v>106</v>
      </c>
      <c r="F44" s="43">
        <v>0.9166666666666666</v>
      </c>
      <c r="G44" s="43">
        <v>0.13402777777777777</v>
      </c>
      <c r="H44" s="43">
        <v>0.16527777777777777</v>
      </c>
      <c r="I44" s="43">
        <v>0.27361111111111114</v>
      </c>
      <c r="J44" s="45">
        <f t="shared" si="1"/>
        <v>514</v>
      </c>
      <c r="L44" s="46" t="s">
        <v>152</v>
      </c>
      <c r="M44" s="81" t="s">
        <v>170</v>
      </c>
      <c r="N44" s="83" t="s">
        <v>144</v>
      </c>
    </row>
    <row r="45">
      <c r="A45" s="40">
        <v>43753.0</v>
      </c>
      <c r="B45" s="41" t="s">
        <v>94</v>
      </c>
      <c r="C45" s="43" t="str">
        <f>VLOOKUP(A45,Table!A:B,2,false)</f>
        <v>P2 W3</v>
      </c>
      <c r="D45" s="43" t="str">
        <f>VLOOKUP(A45,Table!A:D,4,false)</f>
        <v>Period 2</v>
      </c>
      <c r="E45" s="70" t="s">
        <v>106</v>
      </c>
      <c r="F45" s="43">
        <v>0.9166666666666666</v>
      </c>
      <c r="G45" s="84">
        <v>0.13819444444444445</v>
      </c>
      <c r="H45" s="84">
        <v>0.18055555555555555</v>
      </c>
      <c r="I45" s="85">
        <v>0.3458333333333333</v>
      </c>
      <c r="J45" s="45">
        <f t="shared" si="1"/>
        <v>618</v>
      </c>
      <c r="L45" s="46" t="s">
        <v>154</v>
      </c>
      <c r="M45" s="73" t="s">
        <v>171</v>
      </c>
      <c r="N45" s="73" t="s">
        <v>142</v>
      </c>
    </row>
    <row r="46">
      <c r="A46" s="40">
        <v>43754.0</v>
      </c>
      <c r="B46" s="41" t="s">
        <v>96</v>
      </c>
      <c r="C46" s="43" t="str">
        <f>VLOOKUP(A46,Table!A:B,2,false)</f>
        <v>P2 W3</v>
      </c>
      <c r="D46" s="43" t="str">
        <f>VLOOKUP(A46,Table!A:D,4,false)</f>
        <v>Period 2</v>
      </c>
      <c r="E46" s="70" t="s">
        <v>106</v>
      </c>
      <c r="F46" s="43">
        <v>0.9166666666666666</v>
      </c>
      <c r="G46" s="84">
        <v>0.11388888888888889</v>
      </c>
      <c r="H46" s="84">
        <v>0.14930555555555555</v>
      </c>
      <c r="I46" s="85">
        <v>0.2791666666666667</v>
      </c>
      <c r="J46" s="45">
        <f t="shared" si="1"/>
        <v>522</v>
      </c>
      <c r="L46" s="46" t="s">
        <v>156</v>
      </c>
      <c r="M46" s="82" t="s">
        <v>169</v>
      </c>
      <c r="N46" s="73" t="s">
        <v>138</v>
      </c>
    </row>
    <row r="47">
      <c r="A47" s="40">
        <v>43755.0</v>
      </c>
      <c r="B47" s="41" t="s">
        <v>97</v>
      </c>
      <c r="C47" s="43" t="str">
        <f>VLOOKUP(A47,Table!A:B,2,false)</f>
        <v>P2 W3</v>
      </c>
      <c r="D47" s="43" t="str">
        <f>VLOOKUP(A47,Table!A:D,4,false)</f>
        <v>Period 2</v>
      </c>
      <c r="E47" s="70" t="s">
        <v>106</v>
      </c>
      <c r="F47" s="43">
        <v>0.9166666666666666</v>
      </c>
      <c r="G47" s="84">
        <v>0.12916666666666668</v>
      </c>
      <c r="H47" s="84">
        <v>0.15416666666666667</v>
      </c>
      <c r="I47" s="85">
        <v>0.3458333333333333</v>
      </c>
      <c r="J47" s="45">
        <f t="shared" si="1"/>
        <v>618</v>
      </c>
      <c r="L47" s="46" t="s">
        <v>157</v>
      </c>
      <c r="M47" s="27"/>
      <c r="N47" s="73" t="s">
        <v>138</v>
      </c>
    </row>
    <row r="48">
      <c r="A48" s="40">
        <v>43756.0</v>
      </c>
      <c r="B48" s="41" t="s">
        <v>98</v>
      </c>
      <c r="C48" s="43" t="str">
        <f>VLOOKUP(A48,Table!A:B,2,false)</f>
        <v>P2 W3</v>
      </c>
      <c r="D48" s="43" t="str">
        <f>VLOOKUP(A48,Table!A:D,4,false)</f>
        <v>Period 2</v>
      </c>
      <c r="E48" s="70" t="s">
        <v>106</v>
      </c>
      <c r="F48" s="43">
        <v>0.9166666666666666</v>
      </c>
      <c r="G48" s="84">
        <v>0.11597222222222223</v>
      </c>
      <c r="H48" s="84">
        <v>0.13958333333333334</v>
      </c>
      <c r="I48" s="85">
        <v>0.3229166666666667</v>
      </c>
      <c r="J48" s="45">
        <f t="shared" si="1"/>
        <v>585</v>
      </c>
      <c r="L48" s="46" t="s">
        <v>158</v>
      </c>
      <c r="M48" s="82" t="s">
        <v>169</v>
      </c>
      <c r="N48" s="73" t="s">
        <v>138</v>
      </c>
    </row>
    <row r="49">
      <c r="A49" s="40">
        <v>43757.0</v>
      </c>
      <c r="B49" s="41" t="s">
        <v>99</v>
      </c>
      <c r="C49" s="43" t="str">
        <f>VLOOKUP(A49,Table!A:B,2,false)</f>
        <v>P2 W3</v>
      </c>
      <c r="D49" s="43" t="str">
        <f>VLOOKUP(A49,Table!A:D,4,false)</f>
        <v>Period 2</v>
      </c>
      <c r="E49" s="70" t="s">
        <v>106</v>
      </c>
      <c r="F49" s="43">
        <v>0.9166666666666666</v>
      </c>
      <c r="G49" s="84">
        <v>0.1326388888888889</v>
      </c>
      <c r="H49" s="84">
        <v>0.14791666666666667</v>
      </c>
      <c r="I49" s="85">
        <v>0.26458333333333334</v>
      </c>
      <c r="J49" s="45">
        <f t="shared" si="1"/>
        <v>501</v>
      </c>
      <c r="L49" s="46" t="s">
        <v>159</v>
      </c>
      <c r="M49" s="27"/>
      <c r="N49" s="73"/>
    </row>
    <row r="50">
      <c r="A50" s="40">
        <v>43758.0</v>
      </c>
      <c r="B50" s="41" t="s">
        <v>100</v>
      </c>
      <c r="C50" s="43" t="str">
        <f>VLOOKUP(A50,Table!A:B,2,false)</f>
        <v>P2 W3</v>
      </c>
      <c r="D50" s="43" t="str">
        <f>VLOOKUP(A50,Table!A:D,4,false)</f>
        <v>Period 2</v>
      </c>
      <c r="E50" s="70" t="s">
        <v>106</v>
      </c>
      <c r="F50" s="43">
        <v>0.9166666666666666</v>
      </c>
      <c r="G50" s="84">
        <v>0.15069444444444444</v>
      </c>
      <c r="H50" s="84">
        <v>0.18055555555555555</v>
      </c>
      <c r="I50" s="85">
        <v>0.37569444444444444</v>
      </c>
      <c r="J50" s="45">
        <f t="shared" si="1"/>
        <v>661</v>
      </c>
      <c r="L50" s="46" t="s">
        <v>160</v>
      </c>
      <c r="M50" s="82" t="s">
        <v>169</v>
      </c>
      <c r="N50" s="73" t="s">
        <v>138</v>
      </c>
    </row>
    <row r="51">
      <c r="A51" s="40">
        <v>43759.0</v>
      </c>
      <c r="B51" s="41" t="s">
        <v>92</v>
      </c>
      <c r="C51" s="43" t="str">
        <f>VLOOKUP(A51,Table!A:B,2,false)</f>
        <v>P2 W4</v>
      </c>
      <c r="D51" s="43" t="str">
        <f>VLOOKUP(A51,Table!A:D,4,false)</f>
        <v>Period 2</v>
      </c>
      <c r="E51" s="70" t="s">
        <v>110</v>
      </c>
      <c r="F51" s="43">
        <v>0.9166666666666666</v>
      </c>
      <c r="G51" s="84">
        <v>0.11666666666666667</v>
      </c>
      <c r="H51" s="84">
        <v>0.1486111111111111</v>
      </c>
      <c r="I51" s="85">
        <v>0.28055555555555556</v>
      </c>
      <c r="J51" s="45">
        <f t="shared" si="1"/>
        <v>524</v>
      </c>
      <c r="L51" s="46" t="s">
        <v>152</v>
      </c>
      <c r="M51" s="82" t="s">
        <v>169</v>
      </c>
      <c r="N51" s="73" t="s">
        <v>138</v>
      </c>
    </row>
    <row r="52">
      <c r="A52" s="40">
        <v>43760.0</v>
      </c>
      <c r="B52" s="41" t="s">
        <v>94</v>
      </c>
      <c r="C52" s="43" t="str">
        <f>VLOOKUP(A52,Table!A:B,2,false)</f>
        <v>P2 W4</v>
      </c>
      <c r="D52" s="43" t="str">
        <f>VLOOKUP(A52,Table!A:D,4,false)</f>
        <v>Period 2</v>
      </c>
      <c r="E52" s="70" t="s">
        <v>110</v>
      </c>
      <c r="F52" s="43">
        <v>0.9166666666666666</v>
      </c>
      <c r="G52" s="84">
        <v>0.11527777777777778</v>
      </c>
      <c r="H52" s="84">
        <v>0.14722222222222223</v>
      </c>
      <c r="I52" s="85">
        <v>0.27152777777777776</v>
      </c>
      <c r="J52" s="45">
        <f t="shared" si="1"/>
        <v>511</v>
      </c>
      <c r="L52" s="46" t="s">
        <v>154</v>
      </c>
      <c r="M52" s="82" t="s">
        <v>169</v>
      </c>
      <c r="N52" s="73" t="s">
        <v>138</v>
      </c>
    </row>
    <row r="53">
      <c r="A53" s="40">
        <v>43761.0</v>
      </c>
      <c r="B53" s="41" t="s">
        <v>96</v>
      </c>
      <c r="C53" s="43" t="str">
        <f>VLOOKUP(A53,Table!A:B,2,false)</f>
        <v>P2 W4</v>
      </c>
      <c r="D53" s="43" t="str">
        <f>VLOOKUP(A53,Table!A:D,4,false)</f>
        <v>Period 2</v>
      </c>
      <c r="E53" s="70" t="s">
        <v>110</v>
      </c>
      <c r="F53" s="43">
        <v>0.9166666666666666</v>
      </c>
      <c r="G53" s="84">
        <v>0.15</v>
      </c>
      <c r="H53" s="84">
        <v>0.1840277777777778</v>
      </c>
      <c r="I53" s="85">
        <v>0.31180555555555556</v>
      </c>
      <c r="J53" s="45">
        <f t="shared" si="1"/>
        <v>569</v>
      </c>
      <c r="L53" s="46" t="s">
        <v>156</v>
      </c>
      <c r="M53" s="82" t="s">
        <v>169</v>
      </c>
      <c r="N53" s="73" t="s">
        <v>138</v>
      </c>
    </row>
    <row r="54">
      <c r="A54" s="40">
        <v>43762.0</v>
      </c>
      <c r="B54" s="41" t="s">
        <v>97</v>
      </c>
      <c r="C54" s="43" t="str">
        <f>VLOOKUP(A54,Table!A:B,2,false)</f>
        <v>P2 W4</v>
      </c>
      <c r="D54" s="43" t="str">
        <f>VLOOKUP(A54,Table!A:D,4,false)</f>
        <v>Period 2</v>
      </c>
      <c r="E54" s="70" t="s">
        <v>110</v>
      </c>
      <c r="F54" s="43">
        <v>0.9166666666666666</v>
      </c>
      <c r="G54" s="84">
        <v>0.11666666666666667</v>
      </c>
      <c r="H54" s="84">
        <v>0.14791666666666667</v>
      </c>
      <c r="I54" s="85">
        <v>0.2708333333333333</v>
      </c>
      <c r="J54" s="45">
        <f t="shared" si="1"/>
        <v>510</v>
      </c>
      <c r="L54" s="46" t="s">
        <v>157</v>
      </c>
      <c r="M54" s="83"/>
      <c r="N54" s="27"/>
    </row>
    <row r="55">
      <c r="A55" s="40">
        <v>43763.0</v>
      </c>
      <c r="B55" s="41" t="s">
        <v>98</v>
      </c>
      <c r="C55" s="43" t="str">
        <f>VLOOKUP(A55,Table!A:B,2,false)</f>
        <v>P2 W4</v>
      </c>
      <c r="D55" s="43" t="str">
        <f>VLOOKUP(A55,Table!A:D,4,false)</f>
        <v>Period 2</v>
      </c>
      <c r="E55" s="70" t="s">
        <v>110</v>
      </c>
      <c r="F55" s="43">
        <v>0.9166666666666666</v>
      </c>
      <c r="G55" s="84">
        <v>0.1361111111111111</v>
      </c>
      <c r="H55" s="84">
        <v>0.15694444444444444</v>
      </c>
      <c r="I55" s="85">
        <v>0.2965277777777778</v>
      </c>
      <c r="J55" s="45">
        <f t="shared" si="1"/>
        <v>547</v>
      </c>
      <c r="L55" s="46" t="s">
        <v>158</v>
      </c>
      <c r="M55" s="82" t="s">
        <v>169</v>
      </c>
      <c r="N55" s="73" t="s">
        <v>138</v>
      </c>
    </row>
    <row r="56">
      <c r="A56" s="40">
        <v>43764.0</v>
      </c>
      <c r="B56" s="41" t="s">
        <v>99</v>
      </c>
      <c r="C56" s="43" t="str">
        <f>VLOOKUP(A56,Table!A:B,2,false)</f>
        <v>P2 W4</v>
      </c>
      <c r="D56" s="43" t="str">
        <f>VLOOKUP(A56,Table!A:D,4,false)</f>
        <v>Period 2</v>
      </c>
      <c r="E56" s="70" t="s">
        <v>110</v>
      </c>
      <c r="F56" s="43">
        <v>0.9166666666666666</v>
      </c>
      <c r="G56" s="84">
        <v>0.17291666666666666</v>
      </c>
      <c r="H56" s="84">
        <v>0.19166666666666668</v>
      </c>
      <c r="I56" s="85">
        <v>0.3145833333333333</v>
      </c>
      <c r="J56" s="45">
        <f t="shared" si="1"/>
        <v>573</v>
      </c>
      <c r="L56" s="46" t="s">
        <v>159</v>
      </c>
      <c r="M56" s="82" t="s">
        <v>169</v>
      </c>
      <c r="N56" s="73" t="s">
        <v>138</v>
      </c>
    </row>
    <row r="57">
      <c r="A57" s="40">
        <v>43765.0</v>
      </c>
      <c r="B57" s="41" t="s">
        <v>100</v>
      </c>
      <c r="C57" s="43" t="str">
        <f>VLOOKUP(A57,Table!A:B,2,false)</f>
        <v>P2 W4</v>
      </c>
      <c r="D57" s="43" t="str">
        <f>VLOOKUP(A57,Table!A:D,4,false)</f>
        <v>Period 2</v>
      </c>
      <c r="E57" s="70" t="s">
        <v>110</v>
      </c>
      <c r="F57" s="43">
        <v>0.9166666666666666</v>
      </c>
      <c r="G57" s="84">
        <v>0.18541666666666667</v>
      </c>
      <c r="H57" s="84">
        <v>0.21388888888888888</v>
      </c>
      <c r="I57" s="85">
        <v>0.3138888888888889</v>
      </c>
      <c r="J57" s="45">
        <f t="shared" si="1"/>
        <v>572</v>
      </c>
      <c r="L57" s="46" t="s">
        <v>160</v>
      </c>
      <c r="M57" s="82" t="s">
        <v>169</v>
      </c>
      <c r="N57" s="73" t="s">
        <v>138</v>
      </c>
    </row>
    <row r="58">
      <c r="A58" s="78">
        <v>43766.0</v>
      </c>
      <c r="B58" s="79" t="s">
        <v>92</v>
      </c>
      <c r="C58" s="54" t="str">
        <f>VLOOKUP(A58,Table!A:B,2,false)</f>
        <v>P3 W1</v>
      </c>
      <c r="D58" s="54" t="str">
        <f>VLOOKUP(A58,Table!A:D,4,false)</f>
        <v>Period 3</v>
      </c>
      <c r="E58" s="70" t="s">
        <v>93</v>
      </c>
      <c r="F58" s="43">
        <v>0.9166666666666666</v>
      </c>
      <c r="G58" s="84">
        <v>0.14027777777777778</v>
      </c>
      <c r="H58" s="84">
        <v>0.1736111111111111</v>
      </c>
      <c r="I58" s="85">
        <v>0.3</v>
      </c>
      <c r="J58" s="45">
        <f t="shared" si="1"/>
        <v>552</v>
      </c>
      <c r="L58" s="46" t="s">
        <v>152</v>
      </c>
      <c r="M58" s="82" t="s">
        <v>169</v>
      </c>
      <c r="N58" s="73" t="s">
        <v>138</v>
      </c>
    </row>
    <row r="59">
      <c r="A59" s="40">
        <v>43767.0</v>
      </c>
      <c r="B59" s="41" t="s">
        <v>94</v>
      </c>
      <c r="C59" s="43" t="str">
        <f>VLOOKUP(A59,Table!A:B,2,false)</f>
        <v>P3 W1</v>
      </c>
      <c r="D59" s="43" t="str">
        <f>VLOOKUP(A59,Table!A:D,4,false)</f>
        <v>Period 3</v>
      </c>
      <c r="E59" s="70" t="s">
        <v>93</v>
      </c>
      <c r="F59" s="43">
        <v>0.9166666666666666</v>
      </c>
      <c r="G59" s="84">
        <v>0.12777777777777777</v>
      </c>
      <c r="H59" s="84">
        <v>0.15486111111111112</v>
      </c>
      <c r="I59" s="85">
        <v>0.28888888888888886</v>
      </c>
      <c r="J59" s="45">
        <f t="shared" si="1"/>
        <v>536</v>
      </c>
      <c r="L59" s="46" t="s">
        <v>154</v>
      </c>
      <c r="M59" s="82" t="s">
        <v>169</v>
      </c>
      <c r="N59" s="73" t="s">
        <v>138</v>
      </c>
    </row>
    <row r="60">
      <c r="A60" s="40">
        <v>43768.0</v>
      </c>
      <c r="B60" s="41" t="s">
        <v>96</v>
      </c>
      <c r="C60" s="43" t="str">
        <f>VLOOKUP(A60,Table!A:B,2,false)</f>
        <v>P3 W1</v>
      </c>
      <c r="D60" s="43" t="str">
        <f>VLOOKUP(A60,Table!A:D,4,false)</f>
        <v>Period 3</v>
      </c>
      <c r="E60" s="70" t="s">
        <v>93</v>
      </c>
      <c r="F60" s="43">
        <v>0.9166666666666666</v>
      </c>
      <c r="G60" s="84">
        <v>0.12916666666666668</v>
      </c>
      <c r="H60" s="84">
        <v>0.1527777777777778</v>
      </c>
      <c r="I60" s="85">
        <v>0.31527777777777777</v>
      </c>
      <c r="J60" s="45">
        <f t="shared" si="1"/>
        <v>574</v>
      </c>
      <c r="L60" s="46" t="s">
        <v>156</v>
      </c>
      <c r="M60" s="82" t="s">
        <v>169</v>
      </c>
      <c r="N60" s="73" t="s">
        <v>138</v>
      </c>
    </row>
    <row r="61">
      <c r="A61" s="40">
        <v>43769.0</v>
      </c>
      <c r="B61" s="41" t="s">
        <v>97</v>
      </c>
      <c r="C61" s="43" t="str">
        <f>VLOOKUP(A61,Table!A:B,2,false)</f>
        <v>P3 W1</v>
      </c>
      <c r="D61" s="43" t="str">
        <f>VLOOKUP(A61,Table!A:D,4,false)</f>
        <v>Period 3</v>
      </c>
      <c r="E61" s="70" t="s">
        <v>93</v>
      </c>
      <c r="F61" s="43">
        <v>0.9166666666666666</v>
      </c>
      <c r="G61" s="84">
        <v>0.1125</v>
      </c>
      <c r="H61" s="84">
        <v>0.13819444444444445</v>
      </c>
      <c r="I61" s="85">
        <v>0.2763888888888889</v>
      </c>
      <c r="J61" s="45">
        <f t="shared" si="1"/>
        <v>518</v>
      </c>
      <c r="L61" s="46" t="s">
        <v>157</v>
      </c>
      <c r="M61" s="82" t="s">
        <v>169</v>
      </c>
      <c r="N61" s="73" t="s">
        <v>138</v>
      </c>
    </row>
    <row r="62">
      <c r="A62" s="40">
        <v>43770.0</v>
      </c>
      <c r="B62" s="41" t="s">
        <v>98</v>
      </c>
      <c r="C62" s="43" t="str">
        <f>VLOOKUP(A62,Table!A:B,2,false)</f>
        <v>P3 W1</v>
      </c>
      <c r="D62" s="43" t="str">
        <f>VLOOKUP(A62,Table!A:D,4,false)</f>
        <v>Period 3</v>
      </c>
      <c r="E62" s="70" t="s">
        <v>93</v>
      </c>
      <c r="F62" s="43">
        <v>0.9166666666666666</v>
      </c>
      <c r="G62" s="84">
        <v>0.11388888888888889</v>
      </c>
      <c r="H62" s="84">
        <v>0.2013888888888889</v>
      </c>
      <c r="I62" s="85">
        <v>0.30486111111111114</v>
      </c>
      <c r="J62" s="45">
        <f t="shared" si="1"/>
        <v>559</v>
      </c>
      <c r="K62" s="46" t="s">
        <v>112</v>
      </c>
      <c r="L62" s="46" t="s">
        <v>158</v>
      </c>
      <c r="M62" s="82" t="s">
        <v>169</v>
      </c>
      <c r="N62" s="73" t="s">
        <v>138</v>
      </c>
    </row>
    <row r="63">
      <c r="A63" s="86">
        <v>43771.0</v>
      </c>
      <c r="B63" s="87" t="s">
        <v>99</v>
      </c>
      <c r="C63" s="53" t="str">
        <f>VLOOKUP(A63,Table!A:B,2,false)</f>
        <v>P3 W1</v>
      </c>
      <c r="D63" s="53" t="str">
        <f>VLOOKUP(A63,Table!A:D,4,false)</f>
        <v>Period 3</v>
      </c>
      <c r="E63" s="87" t="s">
        <v>93</v>
      </c>
      <c r="F63" s="53">
        <v>0.9166666666666666</v>
      </c>
      <c r="G63" s="88">
        <v>0.13125</v>
      </c>
      <c r="H63" s="88">
        <v>0.15208333333333332</v>
      </c>
      <c r="I63" s="85">
        <v>0.2388888888888889</v>
      </c>
      <c r="J63" s="45">
        <f t="shared" si="1"/>
        <v>464</v>
      </c>
      <c r="K63" s="46" t="s">
        <v>112</v>
      </c>
      <c r="L63" s="46" t="s">
        <v>159</v>
      </c>
      <c r="M63" s="89"/>
      <c r="N63" s="27"/>
    </row>
    <row r="64">
      <c r="A64" s="40">
        <v>43772.0</v>
      </c>
      <c r="B64" s="41" t="s">
        <v>100</v>
      </c>
      <c r="C64" s="43" t="str">
        <f>VLOOKUP(A64,Table!A:B,2,false)</f>
        <v>P3 W1</v>
      </c>
      <c r="D64" s="43" t="str">
        <f>VLOOKUP(A64,Table!A:D,4,false)</f>
        <v>Period 3</v>
      </c>
      <c r="E64" s="70" t="s">
        <v>93</v>
      </c>
      <c r="F64" s="43">
        <v>0.9166666666666666</v>
      </c>
      <c r="G64" s="84">
        <v>0.14930555555555555</v>
      </c>
      <c r="H64" s="84">
        <v>0.20625</v>
      </c>
      <c r="I64" s="85">
        <v>0.32916666666666666</v>
      </c>
      <c r="J64" s="45">
        <f t="shared" si="1"/>
        <v>594</v>
      </c>
      <c r="K64" s="46" t="s">
        <v>112</v>
      </c>
      <c r="L64" s="46" t="s">
        <v>160</v>
      </c>
      <c r="M64" s="90" t="s">
        <v>172</v>
      </c>
      <c r="N64" s="73" t="s">
        <v>148</v>
      </c>
    </row>
    <row r="65">
      <c r="A65" s="40">
        <v>43773.0</v>
      </c>
      <c r="B65" s="41" t="s">
        <v>92</v>
      </c>
      <c r="C65" s="43" t="str">
        <f>VLOOKUP(A65,Table!A:B,2,false)</f>
        <v>P3 W2</v>
      </c>
      <c r="D65" s="43" t="str">
        <f>VLOOKUP(A65,Table!A:D,4,false)</f>
        <v>Period 3</v>
      </c>
      <c r="E65" s="70" t="s">
        <v>101</v>
      </c>
      <c r="F65" s="43">
        <v>0.9166666666666666</v>
      </c>
      <c r="G65" s="43">
        <v>0.10138888888888889</v>
      </c>
      <c r="H65" s="43">
        <v>0.125</v>
      </c>
      <c r="I65" s="43">
        <v>0.20208333333333334</v>
      </c>
      <c r="J65" s="45">
        <f t="shared" si="1"/>
        <v>411</v>
      </c>
      <c r="K65" s="46" t="s">
        <v>112</v>
      </c>
      <c r="L65" s="46" t="s">
        <v>152</v>
      </c>
      <c r="M65" s="90"/>
      <c r="N65" s="27"/>
    </row>
    <row r="66">
      <c r="A66" s="40">
        <v>43774.0</v>
      </c>
      <c r="B66" s="41" t="s">
        <v>94</v>
      </c>
      <c r="C66" s="43" t="str">
        <f>VLOOKUP(A66,Table!A:B,2,false)</f>
        <v>P3 W2</v>
      </c>
      <c r="D66" s="43" t="str">
        <f>VLOOKUP(A66,Table!A:D,4,false)</f>
        <v>Period 3</v>
      </c>
      <c r="E66" s="70" t="s">
        <v>101</v>
      </c>
      <c r="F66" s="43">
        <v>0.9166666666666666</v>
      </c>
      <c r="G66" s="43">
        <v>0.10277777777777777</v>
      </c>
      <c r="H66" s="43">
        <v>0.13819444444444445</v>
      </c>
      <c r="I66" s="43">
        <v>0.20972222222222223</v>
      </c>
      <c r="J66" s="45">
        <f t="shared" si="1"/>
        <v>422</v>
      </c>
      <c r="L66" s="46" t="s">
        <v>154</v>
      </c>
      <c r="M66" s="27"/>
      <c r="N66" s="27"/>
    </row>
    <row r="67">
      <c r="A67" s="40">
        <v>43775.0</v>
      </c>
      <c r="B67" s="41" t="s">
        <v>96</v>
      </c>
      <c r="C67" s="43" t="str">
        <f>VLOOKUP(A67,Table!A:B,2,false)</f>
        <v>P3 W2</v>
      </c>
      <c r="D67" s="43" t="str">
        <f>VLOOKUP(A67,Table!A:D,4,false)</f>
        <v>Period 3</v>
      </c>
      <c r="E67" s="70" t="s">
        <v>101</v>
      </c>
      <c r="F67" s="43">
        <v>0.9166666666666666</v>
      </c>
      <c r="G67" s="84">
        <v>0.1125</v>
      </c>
      <c r="H67" s="84">
        <v>0.1375</v>
      </c>
      <c r="I67" s="85">
        <v>0.22083333333333333</v>
      </c>
      <c r="J67" s="45">
        <f t="shared" si="1"/>
        <v>438</v>
      </c>
      <c r="L67" s="46" t="s">
        <v>156</v>
      </c>
      <c r="M67" s="27"/>
      <c r="N67" s="27"/>
    </row>
    <row r="68">
      <c r="A68" s="40">
        <v>43776.0</v>
      </c>
      <c r="B68" s="41" t="s">
        <v>97</v>
      </c>
      <c r="C68" s="43" t="str">
        <f>VLOOKUP(A68,Table!A:B,2,false)</f>
        <v>P3 W2</v>
      </c>
      <c r="D68" s="43" t="str">
        <f>VLOOKUP(A68,Table!A:D,4,false)</f>
        <v>Period 3</v>
      </c>
      <c r="E68" s="70" t="s">
        <v>101</v>
      </c>
      <c r="F68" s="43">
        <v>0.9166666666666666</v>
      </c>
      <c r="G68" s="84">
        <v>0.08541666666666667</v>
      </c>
      <c r="H68" s="84">
        <v>0.12569444444444444</v>
      </c>
      <c r="I68" s="85">
        <v>0.19583333333333333</v>
      </c>
      <c r="J68" s="45">
        <f t="shared" si="1"/>
        <v>402</v>
      </c>
      <c r="L68" s="46" t="s">
        <v>157</v>
      </c>
      <c r="M68" s="27"/>
      <c r="N68" s="27"/>
    </row>
    <row r="69">
      <c r="A69" s="40">
        <v>43777.0</v>
      </c>
      <c r="B69" s="41" t="s">
        <v>98</v>
      </c>
      <c r="C69" s="43" t="str">
        <f>VLOOKUP(A69,Table!A:B,2,false)</f>
        <v>P3 W2</v>
      </c>
      <c r="D69" s="43" t="str">
        <f>VLOOKUP(A69,Table!A:D,4,false)</f>
        <v>Period 3</v>
      </c>
      <c r="E69" s="70" t="s">
        <v>101</v>
      </c>
      <c r="F69" s="43">
        <v>0.9166666666666666</v>
      </c>
      <c r="G69" s="43">
        <v>0.13055555555555556</v>
      </c>
      <c r="H69" s="43">
        <v>0.1638888888888889</v>
      </c>
      <c r="I69" s="43">
        <v>0.23055555555555557</v>
      </c>
      <c r="J69" s="45">
        <f t="shared" si="1"/>
        <v>452</v>
      </c>
      <c r="L69" s="46" t="s">
        <v>158</v>
      </c>
      <c r="M69" s="27"/>
      <c r="N69" s="27"/>
    </row>
    <row r="70">
      <c r="A70" s="40">
        <v>43778.0</v>
      </c>
      <c r="B70" s="41" t="s">
        <v>99</v>
      </c>
      <c r="C70" s="43" t="str">
        <f>VLOOKUP(A70,Table!A:B,2,false)</f>
        <v>P3 W2</v>
      </c>
      <c r="D70" s="43" t="str">
        <f>VLOOKUP(A70,Table!A:D,4,false)</f>
        <v>Period 3</v>
      </c>
      <c r="E70" s="70" t="s">
        <v>101</v>
      </c>
      <c r="F70" s="43">
        <v>0.9166666666666666</v>
      </c>
      <c r="G70" s="43">
        <v>0.11217592592592593</v>
      </c>
      <c r="H70" s="43">
        <v>0.1311226851851852</v>
      </c>
      <c r="I70" s="43">
        <v>0.2034837962962963</v>
      </c>
      <c r="J70" s="45">
        <f t="shared" si="1"/>
        <v>413.0166667</v>
      </c>
      <c r="L70" s="46" t="s">
        <v>159</v>
      </c>
      <c r="M70" s="27"/>
      <c r="N70" s="27"/>
    </row>
    <row r="71">
      <c r="A71" s="40">
        <v>43779.0</v>
      </c>
      <c r="B71" s="41" t="s">
        <v>100</v>
      </c>
      <c r="C71" s="43" t="str">
        <f>VLOOKUP(A71,Table!A:B,2,false)</f>
        <v>P3 W2</v>
      </c>
      <c r="D71" s="43" t="str">
        <f>VLOOKUP(A71,Table!A:D,4,false)</f>
        <v>Period 3</v>
      </c>
      <c r="E71" s="70" t="s">
        <v>101</v>
      </c>
      <c r="F71" s="43">
        <v>0.9166666666666666</v>
      </c>
      <c r="G71" s="43">
        <v>0.15763888888888888</v>
      </c>
      <c r="H71" s="43">
        <v>0.18958333333333333</v>
      </c>
      <c r="I71" s="43">
        <v>0.23125</v>
      </c>
      <c r="J71" s="45">
        <f t="shared" si="1"/>
        <v>453</v>
      </c>
      <c r="L71" s="46" t="s">
        <v>160</v>
      </c>
      <c r="M71" s="27"/>
      <c r="N71" s="27"/>
    </row>
    <row r="72">
      <c r="A72" s="40">
        <v>43780.0</v>
      </c>
      <c r="B72" s="41" t="s">
        <v>92</v>
      </c>
      <c r="C72" s="43" t="str">
        <f>VLOOKUP(A72,Table!A:B,2,false)</f>
        <v>P3 W3</v>
      </c>
      <c r="D72" s="43" t="str">
        <f>VLOOKUP(A72,Table!A:D,4,false)</f>
        <v>Period 3</v>
      </c>
      <c r="E72" s="70" t="s">
        <v>106</v>
      </c>
      <c r="F72" s="43">
        <v>0.9166666666666666</v>
      </c>
      <c r="G72" s="43">
        <v>0.11736111111111111</v>
      </c>
      <c r="H72" s="43">
        <v>0.14930555555555555</v>
      </c>
      <c r="I72" s="43">
        <v>0.21180555555555555</v>
      </c>
      <c r="J72" s="45">
        <f t="shared" si="1"/>
        <v>425</v>
      </c>
      <c r="L72" s="46" t="s">
        <v>152</v>
      </c>
      <c r="M72" s="27"/>
      <c r="N72" s="27"/>
    </row>
    <row r="73">
      <c r="A73" s="40">
        <v>43781.0</v>
      </c>
      <c r="B73" s="41" t="s">
        <v>94</v>
      </c>
      <c r="C73" s="43" t="str">
        <f>VLOOKUP(A73,Table!A:B,2,false)</f>
        <v>P3 W3</v>
      </c>
      <c r="D73" s="43" t="str">
        <f>VLOOKUP(A73,Table!A:D,4,false)</f>
        <v>Period 3</v>
      </c>
      <c r="E73" s="70" t="s">
        <v>106</v>
      </c>
      <c r="F73" s="43">
        <v>0.9166666666666666</v>
      </c>
      <c r="G73" s="43">
        <v>0.1361111111111111</v>
      </c>
      <c r="H73" s="43">
        <v>0.16319444444444445</v>
      </c>
      <c r="I73" s="43">
        <v>0.23402777777777778</v>
      </c>
      <c r="J73" s="45">
        <f t="shared" si="1"/>
        <v>457</v>
      </c>
      <c r="L73" s="46" t="s">
        <v>154</v>
      </c>
      <c r="M73" s="27"/>
      <c r="N73" s="80"/>
    </row>
    <row r="74">
      <c r="A74" s="40">
        <v>43782.0</v>
      </c>
      <c r="B74" s="41" t="s">
        <v>96</v>
      </c>
      <c r="C74" s="43" t="str">
        <f>VLOOKUP(A74,Table!A:B,2,false)</f>
        <v>P3 W3</v>
      </c>
      <c r="D74" s="43" t="str">
        <f>VLOOKUP(A74,Table!A:D,4,false)</f>
        <v>Period 3</v>
      </c>
      <c r="E74" s="70" t="s">
        <v>106</v>
      </c>
      <c r="F74" s="43">
        <v>0.9166666666666666</v>
      </c>
      <c r="G74" s="43">
        <v>0.12083333333333333</v>
      </c>
      <c r="H74" s="43">
        <v>0.17083333333333334</v>
      </c>
      <c r="I74" s="43">
        <v>0.22569444444444445</v>
      </c>
      <c r="J74" s="45">
        <f t="shared" si="1"/>
        <v>445</v>
      </c>
      <c r="L74" s="46" t="s">
        <v>156</v>
      </c>
      <c r="M74" s="27"/>
      <c r="N74" s="80"/>
    </row>
    <row r="75">
      <c r="A75" s="40">
        <v>43783.0</v>
      </c>
      <c r="B75" s="41" t="s">
        <v>97</v>
      </c>
      <c r="C75" s="43" t="str">
        <f>VLOOKUP(A75,Table!A:B,2,false)</f>
        <v>P3 W3</v>
      </c>
      <c r="D75" s="43" t="str">
        <f>VLOOKUP(A75,Table!A:D,4,false)</f>
        <v>Period 3</v>
      </c>
      <c r="E75" s="70" t="s">
        <v>106</v>
      </c>
      <c r="F75" s="43">
        <v>0.9166666666666666</v>
      </c>
      <c r="G75" s="84">
        <v>0.13055555555555556</v>
      </c>
      <c r="H75" s="84">
        <v>0.1701388888888889</v>
      </c>
      <c r="I75" s="85">
        <v>0.22847222222222222</v>
      </c>
      <c r="J75" s="45">
        <f t="shared" si="1"/>
        <v>449</v>
      </c>
      <c r="L75" s="46" t="s">
        <v>157</v>
      </c>
      <c r="M75" s="27"/>
      <c r="N75" s="80"/>
    </row>
    <row r="76">
      <c r="A76" s="40">
        <v>43784.0</v>
      </c>
      <c r="B76" s="41" t="s">
        <v>98</v>
      </c>
      <c r="C76" s="43" t="str">
        <f>VLOOKUP(A76,Table!A:B,2,false)</f>
        <v>P3 W3</v>
      </c>
      <c r="D76" s="43" t="str">
        <f>VLOOKUP(A76,Table!A:D,4,false)</f>
        <v>Period 3</v>
      </c>
      <c r="E76" s="70" t="s">
        <v>106</v>
      </c>
      <c r="F76" s="43">
        <v>0.9166666666666666</v>
      </c>
      <c r="G76" s="84">
        <v>0.15625</v>
      </c>
      <c r="H76" s="91"/>
      <c r="I76" s="85">
        <v>0.2652777777777778</v>
      </c>
      <c r="J76" s="45">
        <f t="shared" si="1"/>
        <v>502</v>
      </c>
      <c r="L76" s="46" t="s">
        <v>158</v>
      </c>
      <c r="M76" s="27"/>
      <c r="N76" s="80"/>
    </row>
    <row r="77">
      <c r="A77" s="40">
        <v>43785.0</v>
      </c>
      <c r="B77" s="41" t="s">
        <v>99</v>
      </c>
      <c r="C77" s="43" t="str">
        <f>VLOOKUP(A77,Table!A:B,2,false)</f>
        <v>P3 W3</v>
      </c>
      <c r="D77" s="43" t="str">
        <f>VLOOKUP(A77,Table!A:D,4,false)</f>
        <v>Period 3</v>
      </c>
      <c r="E77" s="70" t="s">
        <v>106</v>
      </c>
      <c r="F77" s="43">
        <v>0.9166666666666666</v>
      </c>
      <c r="G77" s="84">
        <v>0.1125</v>
      </c>
      <c r="H77" s="84">
        <v>0.12708333333333333</v>
      </c>
      <c r="I77" s="85">
        <v>0.20208333333333334</v>
      </c>
      <c r="J77" s="45">
        <f t="shared" si="1"/>
        <v>411</v>
      </c>
      <c r="L77" s="46" t="s">
        <v>159</v>
      </c>
      <c r="M77" s="27"/>
      <c r="N77" s="80"/>
    </row>
    <row r="78">
      <c r="A78" s="40">
        <v>43786.0</v>
      </c>
      <c r="B78" s="41" t="s">
        <v>100</v>
      </c>
      <c r="C78" s="43" t="str">
        <f>VLOOKUP(A78,Table!A:B,2,false)</f>
        <v>P3 W3</v>
      </c>
      <c r="D78" s="43" t="str">
        <f>VLOOKUP(A78,Table!A:D,4,false)</f>
        <v>Period 3</v>
      </c>
      <c r="E78" s="70" t="s">
        <v>106</v>
      </c>
      <c r="F78" s="43">
        <v>0.9166666666666666</v>
      </c>
      <c r="G78" s="84">
        <v>0.16944444444444445</v>
      </c>
      <c r="H78" s="84">
        <v>0.20347222222222222</v>
      </c>
      <c r="I78" s="85">
        <v>0.24513888888888888</v>
      </c>
      <c r="J78" s="45">
        <f t="shared" si="1"/>
        <v>473</v>
      </c>
      <c r="L78" s="46" t="s">
        <v>160</v>
      </c>
      <c r="M78" s="42"/>
      <c r="N78" s="27"/>
    </row>
    <row r="79">
      <c r="A79" s="40">
        <v>43787.0</v>
      </c>
      <c r="B79" s="41" t="s">
        <v>92</v>
      </c>
      <c r="C79" s="43" t="str">
        <f>VLOOKUP(A79,Table!A:B,2,false)</f>
        <v>P3 W4</v>
      </c>
      <c r="D79" s="43" t="str">
        <f>VLOOKUP(A79,Table!A:D,4,false)</f>
        <v>Period 3</v>
      </c>
      <c r="E79" s="70" t="s">
        <v>110</v>
      </c>
      <c r="F79" s="43">
        <v>0.9166666666666666</v>
      </c>
      <c r="G79" s="84">
        <v>0.10902777777777778</v>
      </c>
      <c r="H79" s="84">
        <v>0.14097222222222222</v>
      </c>
      <c r="I79" s="85">
        <v>0.20625</v>
      </c>
      <c r="J79" s="45">
        <f t="shared" si="1"/>
        <v>417</v>
      </c>
      <c r="L79" s="46" t="s">
        <v>152</v>
      </c>
      <c r="M79" s="27"/>
      <c r="N79" s="27"/>
    </row>
    <row r="80">
      <c r="A80" s="40">
        <v>43788.0</v>
      </c>
      <c r="B80" s="41" t="s">
        <v>94</v>
      </c>
      <c r="C80" s="43" t="str">
        <f>VLOOKUP(A80,Table!A:B,2,false)</f>
        <v>P3 W4</v>
      </c>
      <c r="D80" s="43" t="str">
        <f>VLOOKUP(A80,Table!A:D,4,false)</f>
        <v>Period 3</v>
      </c>
      <c r="E80" s="70" t="s">
        <v>110</v>
      </c>
      <c r="F80" s="43">
        <v>0.9166666666666666</v>
      </c>
      <c r="G80" s="85">
        <v>0.13819444444444445</v>
      </c>
      <c r="H80" s="85">
        <v>0.17847222222222223</v>
      </c>
      <c r="I80" s="85">
        <v>0.23402777777777778</v>
      </c>
      <c r="J80" s="45">
        <f t="shared" si="1"/>
        <v>457</v>
      </c>
      <c r="L80" s="46" t="s">
        <v>154</v>
      </c>
      <c r="M80" s="74"/>
      <c r="N80" s="80"/>
    </row>
    <row r="81">
      <c r="A81" s="40">
        <v>43789.0</v>
      </c>
      <c r="B81" s="41" t="s">
        <v>96</v>
      </c>
      <c r="C81" s="43" t="str">
        <f>VLOOKUP(A81,Table!A:B,2,false)</f>
        <v>P3 W4</v>
      </c>
      <c r="D81" s="43" t="str">
        <f>VLOOKUP(A81,Table!A:D,4,false)</f>
        <v>Period 3</v>
      </c>
      <c r="E81" s="70" t="s">
        <v>110</v>
      </c>
      <c r="F81" s="43">
        <v>0.9166666666666666</v>
      </c>
      <c r="G81" s="85">
        <v>0.1284722222222222</v>
      </c>
      <c r="H81" s="85">
        <v>0.16041666666666668</v>
      </c>
      <c r="I81" s="85">
        <v>0.21041666666666667</v>
      </c>
      <c r="J81" s="45">
        <f t="shared" si="1"/>
        <v>423</v>
      </c>
      <c r="L81" s="46" t="s">
        <v>156</v>
      </c>
      <c r="M81" s="74"/>
      <c r="N81" s="74"/>
    </row>
    <row r="82">
      <c r="A82" s="40">
        <v>43790.0</v>
      </c>
      <c r="B82" s="41" t="s">
        <v>97</v>
      </c>
      <c r="C82" s="43" t="str">
        <f>VLOOKUP(A82,Table!A:B,2,false)</f>
        <v>P3 W4</v>
      </c>
      <c r="D82" s="43" t="str">
        <f>VLOOKUP(A82,Table!A:D,4,false)</f>
        <v>Period 3</v>
      </c>
      <c r="E82" s="70" t="s">
        <v>110</v>
      </c>
      <c r="F82" s="43">
        <v>0.9166666666666666</v>
      </c>
      <c r="G82" s="85">
        <v>0.13194444444444445</v>
      </c>
      <c r="H82" s="85">
        <v>0.1638888888888889</v>
      </c>
      <c r="I82" s="85">
        <v>0.22847222222222222</v>
      </c>
      <c r="J82" s="45">
        <f t="shared" si="1"/>
        <v>449</v>
      </c>
      <c r="L82" s="46" t="s">
        <v>157</v>
      </c>
      <c r="M82" s="92"/>
      <c r="N82" s="80"/>
    </row>
    <row r="83">
      <c r="A83" s="40">
        <v>43791.0</v>
      </c>
      <c r="B83" s="41" t="s">
        <v>98</v>
      </c>
      <c r="C83" s="43" t="str">
        <f>VLOOKUP(A83,Table!A:B,2,false)</f>
        <v>P3 W4</v>
      </c>
      <c r="D83" s="43" t="str">
        <f>VLOOKUP(A83,Table!A:D,4,false)</f>
        <v>Period 3</v>
      </c>
      <c r="E83" s="70" t="s">
        <v>110</v>
      </c>
      <c r="F83" s="43">
        <v>0.9166666666666666</v>
      </c>
      <c r="G83" s="85">
        <v>0.14097222222222222</v>
      </c>
      <c r="H83" s="85">
        <v>0.18055555555555555</v>
      </c>
      <c r="I83" s="85">
        <v>0.37083333333333335</v>
      </c>
      <c r="J83" s="45">
        <f t="shared" si="1"/>
        <v>654</v>
      </c>
      <c r="L83" s="46" t="s">
        <v>158</v>
      </c>
      <c r="M83" s="72" t="s">
        <v>173</v>
      </c>
      <c r="N83" s="73" t="s">
        <v>37</v>
      </c>
    </row>
    <row r="84">
      <c r="A84" s="40">
        <v>43792.0</v>
      </c>
      <c r="B84" s="41" t="s">
        <v>99</v>
      </c>
      <c r="C84" s="43" t="str">
        <f>VLOOKUP(A84,Table!A:B,2,false)</f>
        <v>P3 W4</v>
      </c>
      <c r="D84" s="43" t="str">
        <f>VLOOKUP(A84,Table!A:D,4,false)</f>
        <v>Period 3</v>
      </c>
      <c r="E84" s="70" t="s">
        <v>110</v>
      </c>
      <c r="F84" s="43">
        <v>0.9166666666666666</v>
      </c>
      <c r="G84" s="85">
        <v>0.15416666666666667</v>
      </c>
      <c r="H84" s="85">
        <v>0.17777777777777778</v>
      </c>
      <c r="I84" s="85">
        <v>0.2298611111111111</v>
      </c>
      <c r="J84" s="45">
        <f t="shared" si="1"/>
        <v>451</v>
      </c>
      <c r="L84" s="46" t="s">
        <v>159</v>
      </c>
      <c r="M84" s="93"/>
      <c r="N84" s="27"/>
    </row>
    <row r="85">
      <c r="A85" s="40">
        <v>43793.0</v>
      </c>
      <c r="B85" s="41" t="s">
        <v>100</v>
      </c>
      <c r="C85" s="43" t="str">
        <f>VLOOKUP(A85,Table!A:B,2,false)</f>
        <v>P3 W4</v>
      </c>
      <c r="D85" s="43" t="str">
        <f>VLOOKUP(A85,Table!A:D,4,false)</f>
        <v>Period 3</v>
      </c>
      <c r="E85" s="70" t="s">
        <v>110</v>
      </c>
      <c r="F85" s="43">
        <v>0.9166666666666666</v>
      </c>
      <c r="G85" s="85">
        <v>0.19444444444444445</v>
      </c>
      <c r="H85" s="85">
        <v>0.3111111111111111</v>
      </c>
      <c r="I85" s="85">
        <v>0.26319444444444445</v>
      </c>
      <c r="J85" s="45">
        <f t="shared" si="1"/>
        <v>499</v>
      </c>
      <c r="L85" s="46" t="s">
        <v>160</v>
      </c>
      <c r="M85" s="82" t="s">
        <v>174</v>
      </c>
      <c r="N85" s="73" t="s">
        <v>145</v>
      </c>
    </row>
    <row r="86">
      <c r="A86" s="78">
        <v>43794.0</v>
      </c>
      <c r="B86" s="79" t="s">
        <v>92</v>
      </c>
      <c r="C86" s="54" t="str">
        <f>VLOOKUP(A86,Table!A:B,2,false)</f>
        <v>P4 W1</v>
      </c>
      <c r="D86" s="54" t="str">
        <f>VLOOKUP(A86,Table!A:D,4,false)</f>
        <v>Period 4</v>
      </c>
      <c r="E86" s="70" t="s">
        <v>93</v>
      </c>
      <c r="F86" s="43">
        <v>0.9166666666666666</v>
      </c>
      <c r="G86" s="85">
        <v>0.19166666666666668</v>
      </c>
      <c r="H86" s="85">
        <v>0.23125</v>
      </c>
      <c r="I86" s="85">
        <v>0.2763888888888889</v>
      </c>
      <c r="J86" s="45">
        <f t="shared" si="1"/>
        <v>518</v>
      </c>
      <c r="L86" s="46" t="s">
        <v>152</v>
      </c>
      <c r="M86" s="82" t="s">
        <v>175</v>
      </c>
      <c r="N86" s="73" t="s">
        <v>146</v>
      </c>
    </row>
    <row r="87">
      <c r="A87" s="40">
        <v>43795.0</v>
      </c>
      <c r="B87" s="41" t="s">
        <v>94</v>
      </c>
      <c r="C87" s="43" t="str">
        <f>VLOOKUP(A87,Table!A:B,2,false)</f>
        <v>P4 W1</v>
      </c>
      <c r="D87" s="43" t="str">
        <f>VLOOKUP(A87,Table!A:D,4,false)</f>
        <v>Period 4</v>
      </c>
      <c r="E87" s="70" t="s">
        <v>93</v>
      </c>
      <c r="F87" s="43">
        <v>0.9166666666666666</v>
      </c>
      <c r="G87" s="85">
        <v>0.19375</v>
      </c>
      <c r="H87" s="85">
        <v>0.23819444444444443</v>
      </c>
      <c r="I87" s="85">
        <v>0.2902777777777778</v>
      </c>
      <c r="J87" s="45">
        <f t="shared" si="1"/>
        <v>538</v>
      </c>
      <c r="L87" s="46" t="s">
        <v>154</v>
      </c>
      <c r="M87" s="72" t="s">
        <v>176</v>
      </c>
      <c r="N87" s="80" t="s">
        <v>40</v>
      </c>
    </row>
    <row r="88">
      <c r="A88" s="40">
        <v>43796.0</v>
      </c>
      <c r="B88" s="41" t="s">
        <v>96</v>
      </c>
      <c r="C88" s="43" t="str">
        <f>VLOOKUP(A88,Table!A:B,2,false)</f>
        <v>P4 W1</v>
      </c>
      <c r="D88" s="43" t="str">
        <f>VLOOKUP(A88,Table!A:D,4,false)</f>
        <v>Period 4</v>
      </c>
      <c r="E88" s="70" t="s">
        <v>93</v>
      </c>
      <c r="F88" s="43">
        <v>0.9166666666666666</v>
      </c>
      <c r="G88" s="85">
        <v>0.12986111111111112</v>
      </c>
      <c r="H88" s="85">
        <v>0.16527777777777777</v>
      </c>
      <c r="I88" s="85">
        <v>0.2326388888888889</v>
      </c>
      <c r="J88" s="45">
        <f t="shared" si="1"/>
        <v>455</v>
      </c>
      <c r="L88" s="46" t="s">
        <v>156</v>
      </c>
      <c r="M88" s="74"/>
      <c r="N88" s="80"/>
    </row>
    <row r="89">
      <c r="A89" s="40">
        <v>43797.0</v>
      </c>
      <c r="B89" s="41" t="s">
        <v>97</v>
      </c>
      <c r="C89" s="43" t="str">
        <f>VLOOKUP(A89,Table!A:B,2,false)</f>
        <v>P4 W1</v>
      </c>
      <c r="D89" s="43" t="str">
        <f>VLOOKUP(A89,Table!A:D,4,false)</f>
        <v>Period 4</v>
      </c>
      <c r="E89" s="70" t="s">
        <v>93</v>
      </c>
      <c r="F89" s="43">
        <v>0.9166666666666666</v>
      </c>
      <c r="G89" s="85">
        <v>0.10833333333333334</v>
      </c>
      <c r="H89" s="85">
        <v>0.14722222222222223</v>
      </c>
      <c r="I89" s="85">
        <v>0.2013888888888889</v>
      </c>
      <c r="J89" s="45">
        <f t="shared" si="1"/>
        <v>410</v>
      </c>
      <c r="L89" s="46" t="s">
        <v>157</v>
      </c>
      <c r="M89" s="27"/>
      <c r="N89" s="27"/>
    </row>
    <row r="90">
      <c r="A90" s="40">
        <v>43798.0</v>
      </c>
      <c r="B90" s="41" t="s">
        <v>98</v>
      </c>
      <c r="C90" s="43" t="str">
        <f>VLOOKUP(A90,Table!A:B,2,false)</f>
        <v>P4 W1</v>
      </c>
      <c r="D90" s="43" t="str">
        <f>VLOOKUP(A90,Table!A:D,4,false)</f>
        <v>Period 4</v>
      </c>
      <c r="E90" s="70" t="s">
        <v>93</v>
      </c>
      <c r="F90" s="43">
        <v>0.9166666666666666</v>
      </c>
      <c r="G90" s="85">
        <v>0.17152777777777778</v>
      </c>
      <c r="H90" s="85">
        <v>0.1986111111111111</v>
      </c>
      <c r="I90" s="85">
        <v>0.26944444444444443</v>
      </c>
      <c r="J90" s="45">
        <f t="shared" si="1"/>
        <v>508</v>
      </c>
      <c r="L90" s="46" t="s">
        <v>158</v>
      </c>
      <c r="M90" s="74"/>
      <c r="N90" s="80"/>
    </row>
    <row r="91">
      <c r="A91" s="40">
        <v>43799.0</v>
      </c>
      <c r="B91" s="41" t="s">
        <v>99</v>
      </c>
      <c r="C91" s="43" t="str">
        <f>VLOOKUP(A91,Table!A:B,2,false)</f>
        <v>P4 W1</v>
      </c>
      <c r="D91" s="43" t="str">
        <f>VLOOKUP(A91,Table!A:D,4,false)</f>
        <v>Period 4</v>
      </c>
      <c r="E91" s="70" t="s">
        <v>93</v>
      </c>
      <c r="F91" s="43">
        <v>0.9166666666666666</v>
      </c>
      <c r="G91" s="85">
        <v>0.14166666666666666</v>
      </c>
      <c r="H91" s="85">
        <v>0.16041666666666668</v>
      </c>
      <c r="I91" s="85">
        <v>0.2520833333333333</v>
      </c>
      <c r="J91" s="45">
        <f t="shared" si="1"/>
        <v>483</v>
      </c>
      <c r="L91" s="46" t="s">
        <v>159</v>
      </c>
      <c r="M91" s="74"/>
      <c r="N91" s="27"/>
    </row>
    <row r="92">
      <c r="A92" s="40">
        <v>43800.0</v>
      </c>
      <c r="B92" s="41" t="s">
        <v>100</v>
      </c>
      <c r="C92" s="43" t="str">
        <f>VLOOKUP(A92,Table!A:B,2,false)</f>
        <v>P4 W1</v>
      </c>
      <c r="D92" s="43" t="str">
        <f>VLOOKUP(A92,Table!A:D,4,false)</f>
        <v>Period 4</v>
      </c>
      <c r="E92" s="70" t="s">
        <v>93</v>
      </c>
      <c r="F92" s="43">
        <v>0.9166666666666666</v>
      </c>
      <c r="G92" s="85">
        <v>0.18888888888888888</v>
      </c>
      <c r="H92" s="85">
        <v>0.2125</v>
      </c>
      <c r="I92" s="85">
        <v>0.3277777777777778</v>
      </c>
      <c r="J92" s="45">
        <f t="shared" si="1"/>
        <v>592</v>
      </c>
      <c r="L92" s="46" t="s">
        <v>160</v>
      </c>
      <c r="M92" s="72" t="s">
        <v>177</v>
      </c>
      <c r="N92" s="73" t="s">
        <v>150</v>
      </c>
    </row>
    <row r="93">
      <c r="A93" s="40">
        <v>43801.0</v>
      </c>
      <c r="B93" s="41" t="s">
        <v>92</v>
      </c>
      <c r="C93" s="43" t="str">
        <f>VLOOKUP(A93,Table!A:B,2,false)</f>
        <v>P4 W2</v>
      </c>
      <c r="D93" s="43" t="str">
        <f>VLOOKUP(A93,Table!A:D,4,false)</f>
        <v>Period 4</v>
      </c>
      <c r="E93" s="70" t="s">
        <v>101</v>
      </c>
      <c r="F93" s="43">
        <v>0.9166666666666666</v>
      </c>
      <c r="G93" s="85">
        <v>0.14583333333333334</v>
      </c>
      <c r="H93" s="85">
        <v>0.17708333333333334</v>
      </c>
      <c r="I93" s="85">
        <v>0.25625</v>
      </c>
      <c r="J93" s="45">
        <f t="shared" si="1"/>
        <v>489</v>
      </c>
      <c r="L93" s="46" t="s">
        <v>152</v>
      </c>
      <c r="M93" s="74"/>
      <c r="N93" s="27"/>
    </row>
    <row r="94">
      <c r="A94" s="40">
        <v>43802.0</v>
      </c>
      <c r="B94" s="41" t="s">
        <v>94</v>
      </c>
      <c r="C94" s="43" t="str">
        <f>VLOOKUP(A94,Table!A:B,2,false)</f>
        <v>P4 W2</v>
      </c>
      <c r="D94" s="43" t="str">
        <f>VLOOKUP(A94,Table!A:D,4,false)</f>
        <v>Period 4</v>
      </c>
      <c r="E94" s="70" t="s">
        <v>101</v>
      </c>
      <c r="F94" s="43">
        <v>0.9166666666666666</v>
      </c>
      <c r="G94" s="43">
        <v>0.26458333333333334</v>
      </c>
      <c r="H94" s="43">
        <v>0.31875</v>
      </c>
      <c r="I94" s="43">
        <v>0.3701388888888889</v>
      </c>
      <c r="J94" s="45">
        <f t="shared" si="1"/>
        <v>653</v>
      </c>
      <c r="L94" s="46" t="s">
        <v>154</v>
      </c>
      <c r="M94" s="74" t="s">
        <v>178</v>
      </c>
      <c r="N94" s="73" t="s">
        <v>141</v>
      </c>
    </row>
    <row r="95">
      <c r="A95" s="40">
        <v>43803.0</v>
      </c>
      <c r="B95" s="41" t="s">
        <v>96</v>
      </c>
      <c r="C95" s="43" t="str">
        <f>VLOOKUP(A95,Table!A:B,2,false)</f>
        <v>P4 W2</v>
      </c>
      <c r="D95" s="43" t="str">
        <f>VLOOKUP(A95,Table!A:D,4,false)</f>
        <v>Period 4</v>
      </c>
      <c r="E95" s="70" t="s">
        <v>101</v>
      </c>
      <c r="F95" s="43">
        <v>0.9166666666666666</v>
      </c>
      <c r="G95" s="43">
        <v>0.23958333333333334</v>
      </c>
      <c r="H95" s="43">
        <v>0.2902777777777778</v>
      </c>
      <c r="I95" s="43">
        <v>0.34375</v>
      </c>
      <c r="J95" s="45">
        <f t="shared" si="1"/>
        <v>615</v>
      </c>
      <c r="L95" s="46" t="s">
        <v>156</v>
      </c>
      <c r="M95" s="74" t="s">
        <v>178</v>
      </c>
      <c r="N95" s="73" t="s">
        <v>141</v>
      </c>
    </row>
    <row r="96">
      <c r="A96" s="40">
        <v>43804.0</v>
      </c>
      <c r="B96" s="41" t="s">
        <v>97</v>
      </c>
      <c r="C96" s="43" t="str">
        <f>VLOOKUP(A96,Table!A:B,2,false)</f>
        <v>P4 W2</v>
      </c>
      <c r="D96" s="43" t="str">
        <f>VLOOKUP(A96,Table!A:D,4,false)</f>
        <v>Period 4</v>
      </c>
      <c r="E96" s="70" t="s">
        <v>101</v>
      </c>
      <c r="F96" s="43">
        <v>0.9166666666666666</v>
      </c>
      <c r="G96" s="85">
        <v>0.1736111111111111</v>
      </c>
      <c r="H96" s="85">
        <v>0.26180555555555557</v>
      </c>
      <c r="I96" s="85">
        <v>0.2743055555555556</v>
      </c>
      <c r="J96" s="45">
        <f t="shared" si="1"/>
        <v>515</v>
      </c>
      <c r="L96" s="46" t="s">
        <v>157</v>
      </c>
      <c r="M96" s="74"/>
      <c r="N96" s="80"/>
    </row>
    <row r="97">
      <c r="A97" s="40">
        <v>43805.0</v>
      </c>
      <c r="B97" s="41" t="s">
        <v>98</v>
      </c>
      <c r="C97" s="43" t="str">
        <f>VLOOKUP(A97,Table!A:B,2,false)</f>
        <v>P4 W2</v>
      </c>
      <c r="D97" s="43" t="str">
        <f>VLOOKUP(A97,Table!A:D,4,false)</f>
        <v>Period 4</v>
      </c>
      <c r="E97" s="70" t="s">
        <v>101</v>
      </c>
      <c r="F97" s="43">
        <v>0.9166666666666666</v>
      </c>
      <c r="G97" s="85">
        <v>0.18472222222222223</v>
      </c>
      <c r="H97" s="85">
        <v>0.23125</v>
      </c>
      <c r="I97" s="85">
        <v>0.28194444444444444</v>
      </c>
      <c r="J97" s="45">
        <f t="shared" si="1"/>
        <v>526</v>
      </c>
      <c r="L97" s="46" t="s">
        <v>158</v>
      </c>
      <c r="M97" s="74"/>
      <c r="N97" s="80"/>
    </row>
    <row r="98">
      <c r="A98" s="40">
        <v>43806.0</v>
      </c>
      <c r="B98" s="41" t="s">
        <v>99</v>
      </c>
      <c r="C98" s="43" t="str">
        <f>VLOOKUP(A98,Table!A:B,2,false)</f>
        <v>P4 W2</v>
      </c>
      <c r="D98" s="43" t="str">
        <f>VLOOKUP(A98,Table!A:D,4,false)</f>
        <v>Period 4</v>
      </c>
      <c r="E98" s="70" t="s">
        <v>101</v>
      </c>
      <c r="F98" s="43">
        <v>0.9166666666666666</v>
      </c>
      <c r="G98" s="85">
        <v>0.16458333333333333</v>
      </c>
      <c r="H98" s="85">
        <v>0.18611111111111112</v>
      </c>
      <c r="I98" s="85">
        <v>0.28125</v>
      </c>
      <c r="J98" s="45">
        <f t="shared" si="1"/>
        <v>525</v>
      </c>
      <c r="L98" s="46" t="s">
        <v>159</v>
      </c>
      <c r="M98" s="74"/>
      <c r="N98" s="80"/>
    </row>
    <row r="99">
      <c r="A99" s="40">
        <v>43807.0</v>
      </c>
      <c r="B99" s="41" t="s">
        <v>100</v>
      </c>
      <c r="C99" s="43" t="str">
        <f>VLOOKUP(A99,Table!A:B,2,false)</f>
        <v>P4 W2</v>
      </c>
      <c r="D99" s="43" t="str">
        <f>VLOOKUP(A99,Table!A:D,4,false)</f>
        <v>Period 4</v>
      </c>
      <c r="E99" s="70" t="s">
        <v>101</v>
      </c>
      <c r="F99" s="43">
        <v>0.9166666666666666</v>
      </c>
      <c r="G99" s="85">
        <v>0.14930555555555555</v>
      </c>
      <c r="H99" s="85">
        <v>0.18125</v>
      </c>
      <c r="I99" s="85">
        <v>0.25</v>
      </c>
      <c r="J99" s="45">
        <f t="shared" si="1"/>
        <v>480</v>
      </c>
      <c r="L99" s="46" t="s">
        <v>160</v>
      </c>
      <c r="M99" s="94"/>
      <c r="N99" s="27"/>
    </row>
    <row r="100">
      <c r="A100" s="40">
        <v>43808.0</v>
      </c>
      <c r="B100" s="41" t="s">
        <v>92</v>
      </c>
      <c r="C100" s="43" t="str">
        <f>VLOOKUP(A100,Table!A:B,2,false)</f>
        <v>P4 W3</v>
      </c>
      <c r="D100" s="43" t="str">
        <f>VLOOKUP(A100,Table!A:D,4,false)</f>
        <v>Period 4</v>
      </c>
      <c r="E100" s="70" t="s">
        <v>106</v>
      </c>
      <c r="F100" s="43">
        <v>0.9166666666666666</v>
      </c>
      <c r="G100" s="85">
        <v>0.13680555555555557</v>
      </c>
      <c r="H100" s="85">
        <v>0.17222222222222222</v>
      </c>
      <c r="I100" s="85">
        <v>0.2298611111111111</v>
      </c>
      <c r="J100" s="45">
        <f t="shared" si="1"/>
        <v>451</v>
      </c>
      <c r="L100" s="46" t="s">
        <v>152</v>
      </c>
      <c r="M100" s="27"/>
      <c r="N100" s="27"/>
    </row>
    <row r="101">
      <c r="A101" s="40">
        <v>43809.0</v>
      </c>
      <c r="B101" s="41" t="s">
        <v>94</v>
      </c>
      <c r="C101" s="43" t="str">
        <f>VLOOKUP(A101,Table!A:B,2,false)</f>
        <v>P4 W3</v>
      </c>
      <c r="D101" s="43" t="str">
        <f>VLOOKUP(A101,Table!A:D,4,false)</f>
        <v>Period 4</v>
      </c>
      <c r="E101" s="70" t="s">
        <v>106</v>
      </c>
      <c r="F101" s="43">
        <v>0.9166666666666666</v>
      </c>
      <c r="G101" s="85">
        <v>0.19930555555555557</v>
      </c>
      <c r="H101" s="85">
        <v>0.24722222222222223</v>
      </c>
      <c r="I101" s="85">
        <v>0.3125</v>
      </c>
      <c r="J101" s="45">
        <f t="shared" si="1"/>
        <v>570</v>
      </c>
      <c r="L101" s="46" t="s">
        <v>154</v>
      </c>
      <c r="M101" s="27"/>
      <c r="N101" s="31"/>
    </row>
    <row r="102">
      <c r="A102" s="40">
        <v>43810.0</v>
      </c>
      <c r="B102" s="41" t="s">
        <v>96</v>
      </c>
      <c r="C102" s="43" t="str">
        <f>VLOOKUP(A102,Table!A:B,2,false)</f>
        <v>P4 W3</v>
      </c>
      <c r="D102" s="43" t="str">
        <f>VLOOKUP(A102,Table!A:D,4,false)</f>
        <v>Period 4</v>
      </c>
      <c r="E102" s="70" t="s">
        <v>106</v>
      </c>
      <c r="F102" s="43">
        <v>0.9166666666666666</v>
      </c>
      <c r="G102" s="85">
        <v>0.15347222222222223</v>
      </c>
      <c r="H102" s="85">
        <v>0.2125</v>
      </c>
      <c r="I102" s="85">
        <v>0.2659722222222222</v>
      </c>
      <c r="J102" s="45">
        <f>IF(I101 &gt; 0,(I101-F102+(I101&lt;F102))*24*60)</f>
        <v>570</v>
      </c>
      <c r="L102" s="46" t="s">
        <v>156</v>
      </c>
      <c r="M102" s="27"/>
      <c r="N102" s="80"/>
    </row>
    <row r="103">
      <c r="A103" s="40">
        <v>43811.0</v>
      </c>
      <c r="B103" s="41" t="s">
        <v>97</v>
      </c>
      <c r="C103" s="43" t="str">
        <f>VLOOKUP(A103,Table!A:B,2,false)</f>
        <v>P4 W3</v>
      </c>
      <c r="D103" s="43" t="str">
        <f>VLOOKUP(A103,Table!A:D,4,false)</f>
        <v>Period 4</v>
      </c>
      <c r="E103" s="70" t="s">
        <v>106</v>
      </c>
      <c r="F103" s="43">
        <v>0.9166666666666666</v>
      </c>
      <c r="G103" s="85">
        <v>0.14444444444444443</v>
      </c>
      <c r="H103" s="85">
        <v>0.1909722222222222</v>
      </c>
      <c r="I103" s="85">
        <v>0.24583333333333332</v>
      </c>
      <c r="J103" s="45">
        <f t="shared" ref="J103:J189" si="2">IF(I103 &gt; 0,(I103-F103+(I103&lt;F103))*24*60)</f>
        <v>474</v>
      </c>
      <c r="L103" s="46" t="s">
        <v>157</v>
      </c>
      <c r="M103" s="27"/>
      <c r="N103" s="80"/>
    </row>
    <row r="104">
      <c r="A104" s="40">
        <v>43812.0</v>
      </c>
      <c r="B104" s="41" t="s">
        <v>98</v>
      </c>
      <c r="C104" s="43" t="str">
        <f>VLOOKUP(A104,Table!A:B,2,false)</f>
        <v>P4 W3</v>
      </c>
      <c r="D104" s="43" t="str">
        <f>VLOOKUP(A104,Table!A:D,4,false)</f>
        <v>Period 4</v>
      </c>
      <c r="E104" s="70" t="s">
        <v>106</v>
      </c>
      <c r="F104" s="43">
        <v>0.9166666666666666</v>
      </c>
      <c r="G104" s="85">
        <v>0.1986111111111111</v>
      </c>
      <c r="H104" s="85">
        <v>0.24444444444444444</v>
      </c>
      <c r="I104" s="85">
        <v>0.30625</v>
      </c>
      <c r="J104" s="45">
        <f t="shared" si="2"/>
        <v>561</v>
      </c>
      <c r="L104" s="46" t="s">
        <v>158</v>
      </c>
      <c r="M104" s="74"/>
      <c r="N104" s="80"/>
    </row>
    <row r="105">
      <c r="A105" s="40">
        <v>43813.0</v>
      </c>
      <c r="B105" s="41" t="s">
        <v>99</v>
      </c>
      <c r="C105" s="43" t="str">
        <f>VLOOKUP(A105,Table!A:B,2,false)</f>
        <v>P4 W3</v>
      </c>
      <c r="D105" s="43" t="str">
        <f>VLOOKUP(A105,Table!A:D,4,false)</f>
        <v>Period 4</v>
      </c>
      <c r="E105" s="70" t="s">
        <v>106</v>
      </c>
      <c r="F105" s="43">
        <v>0.9166666666666666</v>
      </c>
      <c r="G105" s="85">
        <v>0.08402777777777778</v>
      </c>
      <c r="H105" s="85">
        <v>0.09930555555555555</v>
      </c>
      <c r="I105" s="85">
        <v>0.19444444444444445</v>
      </c>
      <c r="J105" s="45">
        <f t="shared" si="2"/>
        <v>400</v>
      </c>
      <c r="L105" s="46" t="s">
        <v>159</v>
      </c>
      <c r="M105" s="92"/>
      <c r="N105" s="80"/>
    </row>
    <row r="106">
      <c r="A106" s="40">
        <v>43814.0</v>
      </c>
      <c r="B106" s="41" t="s">
        <v>100</v>
      </c>
      <c r="C106" s="43" t="str">
        <f>VLOOKUP(A106,Table!A:B,2,false)</f>
        <v>P4 W3</v>
      </c>
      <c r="D106" s="43" t="str">
        <f>VLOOKUP(A106,Table!A:D,4,false)</f>
        <v>Period 4</v>
      </c>
      <c r="E106" s="70" t="s">
        <v>106</v>
      </c>
      <c r="F106" s="43">
        <v>0.9166666666666666</v>
      </c>
      <c r="G106" s="85">
        <v>0.15694444444444444</v>
      </c>
      <c r="H106" s="85">
        <v>0.1909722222222222</v>
      </c>
      <c r="I106" s="85">
        <v>0.2777777777777778</v>
      </c>
      <c r="J106" s="45">
        <f t="shared" si="2"/>
        <v>520</v>
      </c>
      <c r="L106" s="46" t="s">
        <v>160</v>
      </c>
      <c r="M106" s="27"/>
      <c r="N106" s="27"/>
    </row>
    <row r="107">
      <c r="A107" s="40">
        <v>43815.0</v>
      </c>
      <c r="B107" s="41" t="s">
        <v>92</v>
      </c>
      <c r="C107" s="43" t="str">
        <f>VLOOKUP(A107,Table!A:B,2,false)</f>
        <v>P4 W4</v>
      </c>
      <c r="D107" s="43" t="str">
        <f>VLOOKUP(A107,Table!A:D,4,false)</f>
        <v>Period 4</v>
      </c>
      <c r="E107" s="70" t="s">
        <v>110</v>
      </c>
      <c r="F107" s="43">
        <v>0.9166666666666666</v>
      </c>
      <c r="G107" s="85">
        <v>0.13541666666666666</v>
      </c>
      <c r="H107" s="85">
        <v>0.16666666666666666</v>
      </c>
      <c r="I107" s="85">
        <v>0.2326388888888889</v>
      </c>
      <c r="J107" s="45">
        <f t="shared" si="2"/>
        <v>455</v>
      </c>
      <c r="L107" s="46" t="s">
        <v>152</v>
      </c>
      <c r="M107" s="74"/>
      <c r="N107" s="27"/>
    </row>
    <row r="108">
      <c r="A108" s="40">
        <v>43816.0</v>
      </c>
      <c r="B108" s="41" t="s">
        <v>94</v>
      </c>
      <c r="C108" s="43" t="str">
        <f>VLOOKUP(A108,Table!A:B,2,false)</f>
        <v>P4 W4</v>
      </c>
      <c r="D108" s="43" t="str">
        <f>VLOOKUP(A108,Table!A:D,4,false)</f>
        <v>Period 4</v>
      </c>
      <c r="E108" s="70" t="s">
        <v>110</v>
      </c>
      <c r="F108" s="43">
        <v>0.9166666666666666</v>
      </c>
      <c r="G108" s="85">
        <v>0.22430555555555556</v>
      </c>
      <c r="H108" s="85">
        <v>0.275</v>
      </c>
      <c r="I108" s="85">
        <v>0.3263888888888889</v>
      </c>
      <c r="J108" s="45">
        <f t="shared" si="2"/>
        <v>590</v>
      </c>
      <c r="L108" s="46" t="s">
        <v>154</v>
      </c>
      <c r="M108" s="95" t="s">
        <v>179</v>
      </c>
      <c r="N108" s="80"/>
    </row>
    <row r="109">
      <c r="A109" s="40">
        <v>43817.0</v>
      </c>
      <c r="B109" s="41" t="s">
        <v>96</v>
      </c>
      <c r="C109" s="43" t="str">
        <f>VLOOKUP(A109,Table!A:B,2,false)</f>
        <v>P4 W4</v>
      </c>
      <c r="D109" s="43" t="str">
        <f>VLOOKUP(A109,Table!A:D,4,false)</f>
        <v>Period 4</v>
      </c>
      <c r="E109" s="70" t="s">
        <v>110</v>
      </c>
      <c r="F109" s="43">
        <v>0.9166666666666666</v>
      </c>
      <c r="G109" s="85">
        <v>0.20347222222222222</v>
      </c>
      <c r="H109" s="85">
        <v>0.2520833333333333</v>
      </c>
      <c r="I109" s="85">
        <v>0.3104166666666667</v>
      </c>
      <c r="J109" s="45">
        <f t="shared" si="2"/>
        <v>567</v>
      </c>
      <c r="L109" s="46" t="s">
        <v>156</v>
      </c>
      <c r="M109" s="72" t="s">
        <v>180</v>
      </c>
      <c r="N109" s="27"/>
    </row>
    <row r="110">
      <c r="A110" s="40">
        <v>43818.0</v>
      </c>
      <c r="B110" s="41" t="s">
        <v>97</v>
      </c>
      <c r="C110" s="43" t="str">
        <f>VLOOKUP(A110,Table!A:B,2,false)</f>
        <v>P4 W4</v>
      </c>
      <c r="D110" s="43" t="str">
        <f>VLOOKUP(A110,Table!A:D,4,false)</f>
        <v>Period 4</v>
      </c>
      <c r="E110" s="70" t="s">
        <v>110</v>
      </c>
      <c r="F110" s="43">
        <v>0.9166666666666666</v>
      </c>
      <c r="G110" s="85">
        <v>0.15833333333333333</v>
      </c>
      <c r="H110" s="85">
        <v>0.20694444444444443</v>
      </c>
      <c r="I110" s="85">
        <v>0.26805555555555555</v>
      </c>
      <c r="J110" s="45">
        <f t="shared" si="2"/>
        <v>506</v>
      </c>
      <c r="L110" s="46" t="s">
        <v>157</v>
      </c>
      <c r="M110" s="74"/>
      <c r="N110" s="27"/>
    </row>
    <row r="111">
      <c r="A111" s="40">
        <v>43819.0</v>
      </c>
      <c r="B111" s="41" t="s">
        <v>98</v>
      </c>
      <c r="C111" s="43" t="str">
        <f>VLOOKUP(A111,Table!A:B,2,false)</f>
        <v>P4 W4</v>
      </c>
      <c r="D111" s="43" t="str">
        <f>VLOOKUP(A111,Table!A:D,4,false)</f>
        <v>Period 4</v>
      </c>
      <c r="E111" s="70" t="s">
        <v>110</v>
      </c>
      <c r="F111" s="43">
        <v>0.9166666666666666</v>
      </c>
      <c r="G111" s="85">
        <v>0.16666666666666666</v>
      </c>
      <c r="H111" s="85">
        <v>0.21666666666666667</v>
      </c>
      <c r="I111" s="85">
        <v>0.27569444444444446</v>
      </c>
      <c r="J111" s="45">
        <f t="shared" si="2"/>
        <v>517</v>
      </c>
      <c r="L111" s="46" t="s">
        <v>158</v>
      </c>
      <c r="M111" s="27"/>
      <c r="N111" s="80"/>
    </row>
    <row r="112">
      <c r="A112" s="40">
        <v>43820.0</v>
      </c>
      <c r="B112" s="41" t="s">
        <v>99</v>
      </c>
      <c r="C112" s="43" t="str">
        <f>VLOOKUP(A112,Table!A:B,2,false)</f>
        <v>P4 W4</v>
      </c>
      <c r="D112" s="43" t="str">
        <f>VLOOKUP(A112,Table!A:D,4,false)</f>
        <v>Period 4</v>
      </c>
      <c r="E112" s="70" t="s">
        <v>110</v>
      </c>
      <c r="F112" s="43">
        <v>0.9166666666666666</v>
      </c>
      <c r="G112" s="85">
        <v>0.1597222222222222</v>
      </c>
      <c r="H112" s="85">
        <v>0.18333333333333332</v>
      </c>
      <c r="I112" s="85">
        <v>0.2361111111111111</v>
      </c>
      <c r="J112" s="45">
        <f t="shared" si="2"/>
        <v>460</v>
      </c>
      <c r="L112" s="46" t="s">
        <v>159</v>
      </c>
      <c r="M112" s="27"/>
      <c r="N112" s="80"/>
    </row>
    <row r="113">
      <c r="A113" s="40">
        <v>43821.0</v>
      </c>
      <c r="B113" s="41" t="s">
        <v>100</v>
      </c>
      <c r="C113" s="43" t="str">
        <f>VLOOKUP(A113,Table!A:B,2,false)</f>
        <v>P4 W4</v>
      </c>
      <c r="D113" s="43" t="str">
        <f>VLOOKUP(A113,Table!A:D,4,false)</f>
        <v>Period 4</v>
      </c>
      <c r="E113" s="70" t="s">
        <v>110</v>
      </c>
      <c r="F113" s="43">
        <v>0.9166666666666666</v>
      </c>
      <c r="G113" s="85">
        <v>0.1875</v>
      </c>
      <c r="H113" s="85">
        <v>0.22361111111111112</v>
      </c>
      <c r="I113" s="85">
        <v>0.2722222222222222</v>
      </c>
      <c r="J113" s="45">
        <f t="shared" si="2"/>
        <v>512</v>
      </c>
      <c r="L113" s="46" t="s">
        <v>160</v>
      </c>
      <c r="M113" s="27"/>
      <c r="N113" s="80"/>
    </row>
    <row r="114">
      <c r="A114" s="78">
        <v>43822.0</v>
      </c>
      <c r="B114" s="79" t="s">
        <v>92</v>
      </c>
      <c r="C114" s="54" t="str">
        <f>VLOOKUP(A114,Table!A:B,2,false)</f>
        <v>P5 W1</v>
      </c>
      <c r="D114" s="54" t="str">
        <f>VLOOKUP(A114,Table!A:D,4,false)</f>
        <v>Period 5</v>
      </c>
      <c r="E114" s="70" t="s">
        <v>93</v>
      </c>
      <c r="F114" s="43">
        <v>0.9166666666666666</v>
      </c>
      <c r="G114" s="85">
        <v>0.11805555555555555</v>
      </c>
      <c r="H114" s="85">
        <v>0.16666666666666666</v>
      </c>
      <c r="I114" s="85">
        <v>0.22361111111111112</v>
      </c>
      <c r="J114" s="45">
        <f t="shared" si="2"/>
        <v>442</v>
      </c>
      <c r="L114" s="46" t="s">
        <v>152</v>
      </c>
      <c r="M114" s="27"/>
      <c r="N114" s="80"/>
    </row>
    <row r="115">
      <c r="A115" s="40">
        <v>43823.0</v>
      </c>
      <c r="B115" s="41" t="s">
        <v>94</v>
      </c>
      <c r="C115" s="43" t="str">
        <f>VLOOKUP(A115,Table!A:B,2,false)</f>
        <v>P5 W1</v>
      </c>
      <c r="D115" s="43" t="str">
        <f>VLOOKUP(A115,Table!A:D,4,false)</f>
        <v>Period 5</v>
      </c>
      <c r="E115" s="70" t="s">
        <v>93</v>
      </c>
      <c r="F115" s="43">
        <v>0.9166666666666666</v>
      </c>
      <c r="G115" s="85">
        <v>0.08611111111111111</v>
      </c>
      <c r="H115" s="85">
        <v>0.1361111111111111</v>
      </c>
      <c r="I115" s="85">
        <v>0.21180555555555555</v>
      </c>
      <c r="J115" s="45">
        <f t="shared" si="2"/>
        <v>425</v>
      </c>
      <c r="L115" s="46" t="s">
        <v>154</v>
      </c>
      <c r="M115" s="27"/>
      <c r="N115" s="27"/>
    </row>
    <row r="116">
      <c r="A116" s="40">
        <v>43824.0</v>
      </c>
      <c r="B116" s="41" t="s">
        <v>96</v>
      </c>
      <c r="C116" s="43" t="str">
        <f>VLOOKUP(A116,Table!A:B,2,false)</f>
        <v>P5 W1</v>
      </c>
      <c r="D116" s="43" t="str">
        <f>VLOOKUP(A116,Table!A:D,4,false)</f>
        <v>Period 5</v>
      </c>
      <c r="E116" s="70" t="s">
        <v>93</v>
      </c>
      <c r="F116" s="43">
        <v>0.9166666666666666</v>
      </c>
      <c r="G116" s="85">
        <v>0.12152777777777778</v>
      </c>
      <c r="H116" s="85">
        <v>0.13541666666666666</v>
      </c>
      <c r="I116" s="85">
        <v>0.2222222222222222</v>
      </c>
      <c r="J116" s="45">
        <f t="shared" si="2"/>
        <v>440</v>
      </c>
      <c r="L116" s="46" t="s">
        <v>156</v>
      </c>
      <c r="M116" s="27"/>
      <c r="N116" s="27"/>
    </row>
    <row r="117">
      <c r="A117" s="40">
        <v>43825.0</v>
      </c>
      <c r="B117" s="41" t="s">
        <v>97</v>
      </c>
      <c r="C117" s="43" t="str">
        <f>VLOOKUP(A117,Table!A:B,2,false)</f>
        <v>P5 W1</v>
      </c>
      <c r="D117" s="43" t="str">
        <f>VLOOKUP(A117,Table!A:D,4,false)</f>
        <v>Period 5</v>
      </c>
      <c r="E117" s="70" t="s">
        <v>93</v>
      </c>
      <c r="F117" s="43">
        <v>0.9166666666666666</v>
      </c>
      <c r="G117" s="85">
        <v>0.10138888888888889</v>
      </c>
      <c r="H117" s="85">
        <v>0.12430555555555556</v>
      </c>
      <c r="I117" s="85">
        <v>0.20555555555555555</v>
      </c>
      <c r="J117" s="45">
        <f t="shared" si="2"/>
        <v>416</v>
      </c>
      <c r="L117" s="46" t="s">
        <v>157</v>
      </c>
      <c r="M117" s="74"/>
      <c r="N117" s="80"/>
    </row>
    <row r="118">
      <c r="A118" s="40">
        <v>43826.0</v>
      </c>
      <c r="B118" s="41" t="s">
        <v>98</v>
      </c>
      <c r="C118" s="43" t="str">
        <f>VLOOKUP(A118,Table!A:B,2,false)</f>
        <v>P5 W1</v>
      </c>
      <c r="D118" s="43" t="str">
        <f>VLOOKUP(A118,Table!A:D,4,false)</f>
        <v>Period 5</v>
      </c>
      <c r="E118" s="70" t="s">
        <v>93</v>
      </c>
      <c r="F118" s="43">
        <v>0.9166666666666666</v>
      </c>
      <c r="G118" s="85">
        <v>0.10694444444444444</v>
      </c>
      <c r="H118" s="85">
        <v>0.1423611111111111</v>
      </c>
      <c r="I118" s="85">
        <v>0.21319444444444444</v>
      </c>
      <c r="J118" s="45">
        <f t="shared" si="2"/>
        <v>427</v>
      </c>
      <c r="L118" s="46" t="s">
        <v>158</v>
      </c>
      <c r="M118" s="81"/>
      <c r="N118" s="27"/>
    </row>
    <row r="119">
      <c r="A119" s="40">
        <v>43827.0</v>
      </c>
      <c r="B119" s="41" t="s">
        <v>99</v>
      </c>
      <c r="C119" s="43" t="str">
        <f>VLOOKUP(A119,Table!A:B,2,false)</f>
        <v>P5 W1</v>
      </c>
      <c r="D119" s="43" t="str">
        <f>VLOOKUP(A119,Table!A:D,4,false)</f>
        <v>Period 5</v>
      </c>
      <c r="E119" s="70" t="s">
        <v>93</v>
      </c>
      <c r="F119" s="43">
        <v>0.9166666666666666</v>
      </c>
      <c r="G119" s="85">
        <v>0.07847222222222222</v>
      </c>
      <c r="H119" s="85">
        <v>0.09305555555555556</v>
      </c>
      <c r="I119" s="85">
        <v>0.1763888888888889</v>
      </c>
      <c r="J119" s="45">
        <f t="shared" si="2"/>
        <v>374</v>
      </c>
      <c r="L119" s="46" t="s">
        <v>159</v>
      </c>
      <c r="M119" s="81"/>
      <c r="N119" s="80"/>
    </row>
    <row r="120">
      <c r="A120" s="40">
        <v>43828.0</v>
      </c>
      <c r="B120" s="41" t="s">
        <v>100</v>
      </c>
      <c r="C120" s="43" t="str">
        <f>VLOOKUP(A120,Table!A:B,2,false)</f>
        <v>P5 W1</v>
      </c>
      <c r="D120" s="43" t="str">
        <f>VLOOKUP(A120,Table!A:D,4,false)</f>
        <v>Period 5</v>
      </c>
      <c r="E120" s="70" t="s">
        <v>93</v>
      </c>
      <c r="F120" s="43">
        <v>0.9166666666666666</v>
      </c>
      <c r="G120" s="85">
        <v>0.1486111111111111</v>
      </c>
      <c r="H120" s="85">
        <v>0.23402777777777778</v>
      </c>
      <c r="I120" s="85">
        <v>0.2361111111111111</v>
      </c>
      <c r="J120" s="45">
        <f t="shared" si="2"/>
        <v>460</v>
      </c>
      <c r="L120" s="46" t="s">
        <v>160</v>
      </c>
      <c r="M120" s="74"/>
      <c r="N120" s="96"/>
    </row>
    <row r="121">
      <c r="A121" s="40">
        <v>43829.0</v>
      </c>
      <c r="B121" s="41" t="s">
        <v>92</v>
      </c>
      <c r="C121" s="43" t="str">
        <f>VLOOKUP(A121,Table!A:B,2,false)</f>
        <v>P5 W2</v>
      </c>
      <c r="D121" s="43" t="str">
        <f>VLOOKUP(A121,Table!A:D,4,false)</f>
        <v>Period 5</v>
      </c>
      <c r="E121" s="70" t="s">
        <v>101</v>
      </c>
      <c r="F121" s="43">
        <v>0.9166666666666666</v>
      </c>
      <c r="G121" s="85">
        <v>0.08472222222222223</v>
      </c>
      <c r="H121" s="85">
        <v>0.12916666666666668</v>
      </c>
      <c r="I121" s="85">
        <v>0.1986111111111111</v>
      </c>
      <c r="J121" s="45">
        <f t="shared" si="2"/>
        <v>406</v>
      </c>
      <c r="L121" s="46" t="s">
        <v>152</v>
      </c>
      <c r="M121" s="27"/>
      <c r="N121" s="27"/>
    </row>
    <row r="122">
      <c r="A122" s="40">
        <v>43830.0</v>
      </c>
      <c r="B122" s="41" t="s">
        <v>94</v>
      </c>
      <c r="C122" s="43" t="str">
        <f>VLOOKUP(A122,Table!A:B,2,false)</f>
        <v>P5 W2</v>
      </c>
      <c r="D122" s="43" t="str">
        <f>VLOOKUP(A122,Table!A:D,4,false)</f>
        <v>Period 5</v>
      </c>
      <c r="E122" s="70" t="s">
        <v>101</v>
      </c>
      <c r="F122" s="43">
        <v>0.9166666666666666</v>
      </c>
      <c r="G122" s="97">
        <v>0.09583333333333334</v>
      </c>
      <c r="H122" s="97">
        <v>0.14583333333333334</v>
      </c>
      <c r="I122" s="85">
        <v>0.19722222222222222</v>
      </c>
      <c r="J122" s="45">
        <f t="shared" si="2"/>
        <v>404</v>
      </c>
      <c r="L122" s="46" t="s">
        <v>154</v>
      </c>
      <c r="M122" s="27"/>
      <c r="N122" s="27"/>
    </row>
    <row r="123">
      <c r="A123" s="40">
        <v>43831.0</v>
      </c>
      <c r="B123" s="41" t="s">
        <v>96</v>
      </c>
      <c r="C123" s="43" t="str">
        <f>VLOOKUP(A123,Table!A:B,2,false)</f>
        <v>P5 W2</v>
      </c>
      <c r="D123" s="43" t="str">
        <f>VLOOKUP(A123,Table!A:D,4,false)</f>
        <v>Period 5</v>
      </c>
      <c r="E123" s="70" t="s">
        <v>101</v>
      </c>
      <c r="F123" s="43">
        <v>0.9166666666666666</v>
      </c>
      <c r="G123" s="98">
        <v>0.1326388888888889</v>
      </c>
      <c r="H123" s="98">
        <v>0.16111111111111112</v>
      </c>
      <c r="I123" s="85">
        <v>0.22916666666666666</v>
      </c>
      <c r="J123" s="45">
        <f t="shared" si="2"/>
        <v>450</v>
      </c>
      <c r="L123" s="46" t="s">
        <v>156</v>
      </c>
      <c r="M123" s="99"/>
      <c r="N123" s="27"/>
    </row>
    <row r="124">
      <c r="A124" s="40">
        <v>43832.0</v>
      </c>
      <c r="B124" s="41" t="s">
        <v>97</v>
      </c>
      <c r="C124" s="43" t="str">
        <f>VLOOKUP(A124,Table!A:B,2,false)</f>
        <v>P5 W2</v>
      </c>
      <c r="D124" s="43" t="str">
        <f>VLOOKUP(A124,Table!A:D,4,false)</f>
        <v>Period 5</v>
      </c>
      <c r="E124" s="70" t="s">
        <v>101</v>
      </c>
      <c r="F124" s="43">
        <v>0.9166666666666666</v>
      </c>
      <c r="G124" s="98">
        <v>0.10555555555555556</v>
      </c>
      <c r="H124" s="98">
        <v>0.14652777777777778</v>
      </c>
      <c r="I124" s="85">
        <v>0.22013888888888888</v>
      </c>
      <c r="J124" s="45">
        <f t="shared" si="2"/>
        <v>437</v>
      </c>
      <c r="L124" s="46" t="s">
        <v>157</v>
      </c>
      <c r="M124" s="100"/>
      <c r="N124" s="80"/>
    </row>
    <row r="125">
      <c r="A125" s="40">
        <v>43833.0</v>
      </c>
      <c r="B125" s="41" t="s">
        <v>98</v>
      </c>
      <c r="C125" s="43" t="str">
        <f>VLOOKUP(A125,Table!A:B,2,false)</f>
        <v>P5 W2</v>
      </c>
      <c r="D125" s="43" t="str">
        <f>VLOOKUP(A125,Table!A:D,4,false)</f>
        <v>Period 5</v>
      </c>
      <c r="E125" s="70" t="s">
        <v>101</v>
      </c>
      <c r="F125" s="43">
        <v>0.9166666666666666</v>
      </c>
      <c r="G125" s="85">
        <v>0.175</v>
      </c>
      <c r="H125" s="98">
        <v>0.21875</v>
      </c>
      <c r="I125" s="85">
        <v>0.2881944444444444</v>
      </c>
      <c r="J125" s="45">
        <f t="shared" si="2"/>
        <v>535</v>
      </c>
      <c r="L125" s="46" t="s">
        <v>158</v>
      </c>
      <c r="M125" s="27"/>
      <c r="N125" s="80"/>
    </row>
    <row r="126">
      <c r="A126" s="40">
        <v>43834.0</v>
      </c>
      <c r="B126" s="41" t="s">
        <v>99</v>
      </c>
      <c r="C126" s="43" t="str">
        <f>VLOOKUP(A126,Table!A:B,2,false)</f>
        <v>P5 W2</v>
      </c>
      <c r="D126" s="43" t="str">
        <f>VLOOKUP(A126,Table!A:D,4,false)</f>
        <v>Period 5</v>
      </c>
      <c r="E126" s="70" t="s">
        <v>101</v>
      </c>
      <c r="F126" s="43">
        <v>0.9166666666666666</v>
      </c>
      <c r="G126" s="98">
        <v>0.13194444444444445</v>
      </c>
      <c r="H126" s="98">
        <v>0.1673611111111111</v>
      </c>
      <c r="I126" s="85">
        <v>0.24513888888888888</v>
      </c>
      <c r="J126" s="45">
        <f t="shared" si="2"/>
        <v>473</v>
      </c>
      <c r="L126" s="46" t="s">
        <v>159</v>
      </c>
      <c r="M126" s="74"/>
      <c r="N126" s="80"/>
    </row>
    <row r="127">
      <c r="A127" s="40">
        <v>43835.0</v>
      </c>
      <c r="B127" s="41" t="s">
        <v>100</v>
      </c>
      <c r="C127" s="43" t="str">
        <f>VLOOKUP(A127,Table!A:B,2,false)</f>
        <v>P5 W2</v>
      </c>
      <c r="D127" s="43" t="str">
        <f>VLOOKUP(A127,Table!A:D,4,false)</f>
        <v>Period 5</v>
      </c>
      <c r="E127" s="70" t="s">
        <v>101</v>
      </c>
      <c r="F127" s="43">
        <v>0.9166666666666666</v>
      </c>
      <c r="G127" s="98">
        <v>0.15625</v>
      </c>
      <c r="H127" s="98">
        <v>0.19027777777777777</v>
      </c>
      <c r="I127" s="85">
        <v>0.24305555555555555</v>
      </c>
      <c r="J127" s="45">
        <f t="shared" si="2"/>
        <v>470</v>
      </c>
      <c r="L127" s="46" t="s">
        <v>160</v>
      </c>
      <c r="M127" s="74"/>
      <c r="N127" s="27"/>
    </row>
    <row r="128">
      <c r="A128" s="40">
        <v>43836.0</v>
      </c>
      <c r="B128" s="41" t="s">
        <v>92</v>
      </c>
      <c r="C128" s="43" t="str">
        <f>VLOOKUP(A128,Table!A:B,2,false)</f>
        <v>P5 W3</v>
      </c>
      <c r="D128" s="43" t="str">
        <f>VLOOKUP(A128,Table!A:D,4,false)</f>
        <v>Period 5</v>
      </c>
      <c r="E128" s="70" t="s">
        <v>106</v>
      </c>
      <c r="F128" s="43">
        <v>0.9166666666666666</v>
      </c>
      <c r="G128" s="98">
        <v>0.1388888888888889</v>
      </c>
      <c r="H128" s="98">
        <v>0.18055555555555555</v>
      </c>
      <c r="I128" s="85">
        <v>0.2520833333333333</v>
      </c>
      <c r="J128" s="45">
        <f t="shared" si="2"/>
        <v>483</v>
      </c>
      <c r="L128" s="46" t="s">
        <v>152</v>
      </c>
      <c r="M128" s="27"/>
      <c r="N128" s="27"/>
    </row>
    <row r="129">
      <c r="A129" s="40">
        <v>43837.0</v>
      </c>
      <c r="B129" s="41" t="s">
        <v>94</v>
      </c>
      <c r="C129" s="43" t="str">
        <f>VLOOKUP(A129,Table!A:B,2,false)</f>
        <v>P5 W3</v>
      </c>
      <c r="D129" s="43" t="str">
        <f>VLOOKUP(A129,Table!A:D,4,false)</f>
        <v>Period 5</v>
      </c>
      <c r="E129" s="70" t="s">
        <v>106</v>
      </c>
      <c r="F129" s="43">
        <v>0.9166666666666666</v>
      </c>
      <c r="G129" s="98">
        <v>0.1388888888888889</v>
      </c>
      <c r="H129" s="98">
        <v>0.1763888888888889</v>
      </c>
      <c r="I129" s="85">
        <v>0.25</v>
      </c>
      <c r="J129" s="45">
        <f t="shared" si="2"/>
        <v>480</v>
      </c>
      <c r="L129" s="46" t="s">
        <v>154</v>
      </c>
      <c r="M129" s="27"/>
      <c r="N129" s="80"/>
    </row>
    <row r="130">
      <c r="A130" s="40">
        <v>43838.0</v>
      </c>
      <c r="B130" s="41" t="s">
        <v>96</v>
      </c>
      <c r="C130" s="43" t="str">
        <f>VLOOKUP(A130,Table!A:B,2,false)</f>
        <v>P5 W3</v>
      </c>
      <c r="D130" s="43" t="str">
        <f>VLOOKUP(A130,Table!A:D,4,false)</f>
        <v>Period 5</v>
      </c>
      <c r="E130" s="70" t="s">
        <v>106</v>
      </c>
      <c r="F130" s="43">
        <v>0.9166666666666666</v>
      </c>
      <c r="G130" s="98">
        <v>0.12638888888888888</v>
      </c>
      <c r="H130" s="98">
        <v>0.17430555555555555</v>
      </c>
      <c r="I130" s="85">
        <v>0.23125</v>
      </c>
      <c r="J130" s="45">
        <f t="shared" si="2"/>
        <v>453</v>
      </c>
      <c r="L130" s="46" t="s">
        <v>156</v>
      </c>
      <c r="M130" s="27"/>
      <c r="N130" s="80"/>
    </row>
    <row r="131">
      <c r="A131" s="40">
        <v>43839.0</v>
      </c>
      <c r="B131" s="41" t="s">
        <v>97</v>
      </c>
      <c r="C131" s="43" t="str">
        <f>VLOOKUP(A131,Table!A:B,2,false)</f>
        <v>P5 W3</v>
      </c>
      <c r="D131" s="43" t="str">
        <f>VLOOKUP(A131,Table!A:D,4,false)</f>
        <v>Period 5</v>
      </c>
      <c r="E131" s="70" t="s">
        <v>106</v>
      </c>
      <c r="F131" s="43">
        <v>0.9166666666666666</v>
      </c>
      <c r="G131" s="98">
        <v>0.12569444444444444</v>
      </c>
      <c r="H131" s="98">
        <v>0.16527777777777777</v>
      </c>
      <c r="I131" s="85">
        <v>0.2326388888888889</v>
      </c>
      <c r="J131" s="45">
        <f t="shared" si="2"/>
        <v>455</v>
      </c>
      <c r="L131" s="46" t="s">
        <v>157</v>
      </c>
      <c r="M131" s="27"/>
      <c r="N131" s="80"/>
    </row>
    <row r="132">
      <c r="A132" s="40">
        <v>43840.0</v>
      </c>
      <c r="B132" s="41" t="s">
        <v>98</v>
      </c>
      <c r="C132" s="43" t="str">
        <f>VLOOKUP(A132,Table!A:B,2,false)</f>
        <v>P5 W3</v>
      </c>
      <c r="D132" s="43" t="str">
        <f>VLOOKUP(A132,Table!A:D,4,false)</f>
        <v>Period 5</v>
      </c>
      <c r="E132" s="70" t="s">
        <v>106</v>
      </c>
      <c r="F132" s="43">
        <v>0.9166666666666666</v>
      </c>
      <c r="G132" s="98">
        <v>0.1597222222222222</v>
      </c>
      <c r="H132" s="98">
        <v>0.2013888888888889</v>
      </c>
      <c r="I132" s="85">
        <v>0.26180555555555557</v>
      </c>
      <c r="J132" s="45">
        <f t="shared" si="2"/>
        <v>497</v>
      </c>
      <c r="L132" s="46" t="s">
        <v>158</v>
      </c>
      <c r="M132" s="27"/>
      <c r="N132" s="80"/>
    </row>
    <row r="133">
      <c r="A133" s="40">
        <v>43841.0</v>
      </c>
      <c r="B133" s="41" t="s">
        <v>99</v>
      </c>
      <c r="C133" s="43" t="str">
        <f>VLOOKUP(A133,Table!A:B,2,false)</f>
        <v>P5 W3</v>
      </c>
      <c r="D133" s="43" t="str">
        <f>VLOOKUP(A133,Table!A:D,4,false)</f>
        <v>Period 5</v>
      </c>
      <c r="E133" s="70" t="s">
        <v>106</v>
      </c>
      <c r="F133" s="43">
        <v>0.9166666666666666</v>
      </c>
      <c r="G133" s="98">
        <v>0.11666666666666667</v>
      </c>
      <c r="H133" s="98">
        <v>0.13333333333333333</v>
      </c>
      <c r="I133" s="85">
        <v>0.22083333333333333</v>
      </c>
      <c r="J133" s="45">
        <f t="shared" si="2"/>
        <v>438</v>
      </c>
      <c r="L133" s="46" t="s">
        <v>159</v>
      </c>
      <c r="M133" s="27"/>
      <c r="N133" s="80"/>
    </row>
    <row r="134">
      <c r="A134" s="40">
        <v>43842.0</v>
      </c>
      <c r="B134" s="41" t="s">
        <v>100</v>
      </c>
      <c r="C134" s="43" t="str">
        <f>VLOOKUP(A134,Table!A:B,2,false)</f>
        <v>P5 W3</v>
      </c>
      <c r="D134" s="43" t="str">
        <f>VLOOKUP(A134,Table!A:D,4,false)</f>
        <v>Period 5</v>
      </c>
      <c r="E134" s="70" t="s">
        <v>106</v>
      </c>
      <c r="F134" s="43">
        <v>0.9166666666666666</v>
      </c>
      <c r="G134" s="98">
        <v>0.1527777777777778</v>
      </c>
      <c r="H134" s="98">
        <v>0.1909722222222222</v>
      </c>
      <c r="I134" s="85">
        <v>0.26666666666666666</v>
      </c>
      <c r="J134" s="45">
        <f t="shared" si="2"/>
        <v>504</v>
      </c>
      <c r="L134" s="46" t="s">
        <v>160</v>
      </c>
      <c r="M134" s="27"/>
      <c r="N134" s="80"/>
    </row>
    <row r="135">
      <c r="A135" s="40">
        <v>43843.0</v>
      </c>
      <c r="B135" s="41" t="s">
        <v>92</v>
      </c>
      <c r="C135" s="43" t="str">
        <f>VLOOKUP(A135,Table!A:B,2,false)</f>
        <v>P5 W4</v>
      </c>
      <c r="D135" s="43" t="str">
        <f>VLOOKUP(A135,Table!A:D,4,false)</f>
        <v>Period 5</v>
      </c>
      <c r="E135" s="70" t="s">
        <v>110</v>
      </c>
      <c r="F135" s="43">
        <v>0.9166666666666666</v>
      </c>
      <c r="G135" s="98">
        <v>0.09722222222222222</v>
      </c>
      <c r="H135" s="98">
        <v>0.13125</v>
      </c>
      <c r="I135" s="85">
        <v>0.21319444444444444</v>
      </c>
      <c r="J135" s="45">
        <f t="shared" si="2"/>
        <v>427</v>
      </c>
      <c r="L135" s="46" t="s">
        <v>152</v>
      </c>
      <c r="M135" s="27"/>
      <c r="N135" s="27"/>
    </row>
    <row r="136">
      <c r="A136" s="40">
        <v>43844.0</v>
      </c>
      <c r="B136" s="41" t="s">
        <v>94</v>
      </c>
      <c r="C136" s="43" t="str">
        <f>VLOOKUP(A136,Table!A:B,2,false)</f>
        <v>P5 W4</v>
      </c>
      <c r="D136" s="43" t="str">
        <f>VLOOKUP(A136,Table!A:D,4,false)</f>
        <v>Period 5</v>
      </c>
      <c r="E136" s="70" t="s">
        <v>110</v>
      </c>
      <c r="F136" s="43">
        <v>0.9166666666666666</v>
      </c>
      <c r="G136" s="98">
        <v>0.1423611111111111</v>
      </c>
      <c r="H136" s="98">
        <v>0.17777777777777778</v>
      </c>
      <c r="I136" s="85">
        <v>0.24027777777777778</v>
      </c>
      <c r="J136" s="45">
        <f t="shared" si="2"/>
        <v>466</v>
      </c>
      <c r="L136" s="46" t="s">
        <v>154</v>
      </c>
      <c r="M136" s="74"/>
      <c r="N136" s="80"/>
    </row>
    <row r="137">
      <c r="A137" s="40">
        <v>43845.0</v>
      </c>
      <c r="B137" s="41" t="s">
        <v>96</v>
      </c>
      <c r="C137" s="43" t="str">
        <f>VLOOKUP(A137,Table!A:B,2,false)</f>
        <v>P5 W4</v>
      </c>
      <c r="D137" s="43" t="str">
        <f>VLOOKUP(A137,Table!A:D,4,false)</f>
        <v>Period 5</v>
      </c>
      <c r="E137" s="70" t="s">
        <v>110</v>
      </c>
      <c r="F137" s="43">
        <v>0.9166666666666666</v>
      </c>
      <c r="G137" s="98">
        <v>0.12291666666666666</v>
      </c>
      <c r="H137" s="98">
        <v>0.1673611111111111</v>
      </c>
      <c r="I137" s="85">
        <v>0.2222222222222222</v>
      </c>
      <c r="J137" s="45">
        <f t="shared" si="2"/>
        <v>440</v>
      </c>
      <c r="L137" s="46" t="s">
        <v>156</v>
      </c>
      <c r="M137" s="73"/>
      <c r="N137" s="80"/>
    </row>
    <row r="138">
      <c r="A138" s="40">
        <v>43846.0</v>
      </c>
      <c r="B138" s="41" t="s">
        <v>97</v>
      </c>
      <c r="C138" s="43" t="str">
        <f>VLOOKUP(A138,Table!A:B,2,false)</f>
        <v>P5 W4</v>
      </c>
      <c r="D138" s="43" t="str">
        <f>VLOOKUP(A138,Table!A:D,4,false)</f>
        <v>Period 5</v>
      </c>
      <c r="E138" s="70" t="s">
        <v>110</v>
      </c>
      <c r="F138" s="43">
        <v>0.9166666666666666</v>
      </c>
      <c r="G138" s="98">
        <v>0.08819444444444445</v>
      </c>
      <c r="H138" s="98">
        <v>0.11944444444444445</v>
      </c>
      <c r="I138" s="85">
        <v>0.21180555555555555</v>
      </c>
      <c r="J138" s="45">
        <f t="shared" si="2"/>
        <v>425</v>
      </c>
      <c r="L138" s="46" t="s">
        <v>157</v>
      </c>
      <c r="M138" s="27"/>
      <c r="N138" s="27"/>
    </row>
    <row r="139">
      <c r="A139" s="40">
        <v>43847.0</v>
      </c>
      <c r="B139" s="41" t="s">
        <v>98</v>
      </c>
      <c r="C139" s="43" t="str">
        <f>VLOOKUP(A139,Table!A:B,2,false)</f>
        <v>P5 W4</v>
      </c>
      <c r="D139" s="43" t="str">
        <f>VLOOKUP(A139,Table!A:D,4,false)</f>
        <v>Period 5</v>
      </c>
      <c r="E139" s="70" t="s">
        <v>110</v>
      </c>
      <c r="F139" s="43">
        <v>0.9166666666666666</v>
      </c>
      <c r="G139" s="98">
        <v>0.14375</v>
      </c>
      <c r="H139" s="98">
        <v>0.19444444444444445</v>
      </c>
      <c r="I139" s="85">
        <v>0.26319444444444445</v>
      </c>
      <c r="J139" s="45">
        <f t="shared" si="2"/>
        <v>499</v>
      </c>
      <c r="L139" s="46" t="s">
        <v>158</v>
      </c>
      <c r="M139" s="101"/>
      <c r="N139" s="27"/>
    </row>
    <row r="140">
      <c r="A140" s="40">
        <v>43848.0</v>
      </c>
      <c r="B140" s="41" t="s">
        <v>99</v>
      </c>
      <c r="C140" s="43" t="str">
        <f>VLOOKUP(A140,Table!A:B,2,false)</f>
        <v>P5 W4</v>
      </c>
      <c r="D140" s="43" t="str">
        <f>VLOOKUP(A140,Table!A:D,4,false)</f>
        <v>Period 5</v>
      </c>
      <c r="E140" s="70" t="s">
        <v>110</v>
      </c>
      <c r="F140" s="43">
        <v>0.9166666666666666</v>
      </c>
      <c r="G140" s="98">
        <v>0.17083333333333334</v>
      </c>
      <c r="H140" s="98">
        <v>0.18541666666666667</v>
      </c>
      <c r="I140" s="85">
        <v>0.23541666666666666</v>
      </c>
      <c r="J140" s="45">
        <f t="shared" si="2"/>
        <v>459</v>
      </c>
      <c r="L140" s="46" t="s">
        <v>159</v>
      </c>
      <c r="M140" s="27"/>
      <c r="N140" s="27"/>
    </row>
    <row r="141">
      <c r="A141" s="40">
        <v>43849.0</v>
      </c>
      <c r="B141" s="41" t="s">
        <v>100</v>
      </c>
      <c r="C141" s="43" t="str">
        <f>VLOOKUP(A141,Table!A:B,2,false)</f>
        <v>P5 W4</v>
      </c>
      <c r="D141" s="43" t="str">
        <f>VLOOKUP(A141,Table!A:D,4,false)</f>
        <v>Period 5</v>
      </c>
      <c r="E141" s="70" t="s">
        <v>110</v>
      </c>
      <c r="F141" s="43">
        <v>0.9166666666666666</v>
      </c>
      <c r="G141" s="98">
        <v>0.19444444444444445</v>
      </c>
      <c r="H141" s="98">
        <v>0.2222222222222222</v>
      </c>
      <c r="I141" s="85">
        <v>0.28125</v>
      </c>
      <c r="J141" s="45">
        <f t="shared" si="2"/>
        <v>525</v>
      </c>
      <c r="L141" s="46" t="s">
        <v>160</v>
      </c>
      <c r="M141" s="102"/>
      <c r="N141" s="27"/>
    </row>
    <row r="142">
      <c r="A142" s="78">
        <v>43850.0</v>
      </c>
      <c r="B142" s="79" t="s">
        <v>92</v>
      </c>
      <c r="C142" s="54" t="str">
        <f>VLOOKUP(A142,Table!A:B,2,false)</f>
        <v>P6 W1</v>
      </c>
      <c r="D142" s="54" t="str">
        <f>VLOOKUP(A142,Table!A:D,4,false)</f>
        <v>Period 6</v>
      </c>
      <c r="E142" s="70" t="s">
        <v>93</v>
      </c>
      <c r="F142" s="43">
        <v>0.9166666666666666</v>
      </c>
      <c r="G142" s="98">
        <v>0.16319444444444445</v>
      </c>
      <c r="H142" s="98">
        <v>0.2048611111111111</v>
      </c>
      <c r="I142" s="85">
        <v>0.2611111111111111</v>
      </c>
      <c r="J142" s="45">
        <f t="shared" si="2"/>
        <v>496</v>
      </c>
      <c r="L142" s="46" t="s">
        <v>152</v>
      </c>
      <c r="M142" s="27"/>
      <c r="N142" s="27"/>
    </row>
    <row r="143">
      <c r="A143" s="40">
        <v>43851.0</v>
      </c>
      <c r="B143" s="41" t="s">
        <v>94</v>
      </c>
      <c r="C143" s="43" t="str">
        <f>VLOOKUP(A143,Table!A:B,2,false)</f>
        <v>P6 W1</v>
      </c>
      <c r="D143" s="43" t="str">
        <f>VLOOKUP(A143,Table!A:D,4,false)</f>
        <v>Period 6</v>
      </c>
      <c r="E143" s="70" t="s">
        <v>93</v>
      </c>
      <c r="F143" s="43">
        <v>0.9166666666666666</v>
      </c>
      <c r="G143" s="98">
        <v>0.16666666666666666</v>
      </c>
      <c r="H143" s="98">
        <v>0.20416666666666666</v>
      </c>
      <c r="I143" s="85">
        <v>0.2638888888888889</v>
      </c>
      <c r="J143" s="45">
        <f t="shared" si="2"/>
        <v>500</v>
      </c>
      <c r="L143" s="46" t="s">
        <v>154</v>
      </c>
      <c r="M143" s="103"/>
      <c r="N143" s="31"/>
    </row>
    <row r="144">
      <c r="A144" s="40">
        <v>43852.0</v>
      </c>
      <c r="B144" s="41" t="s">
        <v>96</v>
      </c>
      <c r="C144" s="43" t="str">
        <f>VLOOKUP(A144,Table!A:B,2,false)</f>
        <v>P6 W1</v>
      </c>
      <c r="D144" s="43" t="str">
        <f>VLOOKUP(A144,Table!A:D,4,false)</f>
        <v>Period 6</v>
      </c>
      <c r="E144" s="70" t="s">
        <v>93</v>
      </c>
      <c r="F144" s="43">
        <v>0.9166666666666666</v>
      </c>
      <c r="G144" s="98">
        <v>0.10347222222222222</v>
      </c>
      <c r="H144" s="98">
        <v>0.1326388888888889</v>
      </c>
      <c r="I144" s="85">
        <v>0.2111111111111111</v>
      </c>
      <c r="J144" s="45">
        <f t="shared" si="2"/>
        <v>424</v>
      </c>
      <c r="L144" s="46" t="s">
        <v>156</v>
      </c>
      <c r="M144" s="27"/>
      <c r="N144" s="27"/>
    </row>
    <row r="145">
      <c r="A145" s="40">
        <v>43853.0</v>
      </c>
      <c r="B145" s="41" t="s">
        <v>97</v>
      </c>
      <c r="C145" s="43" t="str">
        <f>VLOOKUP(A145,Table!A:B,2,false)</f>
        <v>P6 W1</v>
      </c>
      <c r="D145" s="43" t="str">
        <f>VLOOKUP(A145,Table!A:D,4,false)</f>
        <v>Period 6</v>
      </c>
      <c r="E145" s="70" t="s">
        <v>93</v>
      </c>
      <c r="F145" s="43">
        <v>0.9166666666666666</v>
      </c>
      <c r="G145" s="98">
        <v>0.09027777777777778</v>
      </c>
      <c r="H145" s="98">
        <v>0.11736111111111111</v>
      </c>
      <c r="I145" s="85">
        <v>0.19444444444444445</v>
      </c>
      <c r="J145" s="45">
        <f t="shared" si="2"/>
        <v>400</v>
      </c>
      <c r="L145" s="46" t="s">
        <v>157</v>
      </c>
      <c r="M145" s="27"/>
      <c r="N145" s="27"/>
    </row>
    <row r="146">
      <c r="A146" s="40">
        <v>43854.0</v>
      </c>
      <c r="B146" s="41" t="s">
        <v>98</v>
      </c>
      <c r="C146" s="43" t="str">
        <f>VLOOKUP(A146,Table!A:B,2,false)</f>
        <v>P6 W1</v>
      </c>
      <c r="D146" s="43" t="str">
        <f>VLOOKUP(A146,Table!A:D,4,false)</f>
        <v>Period 6</v>
      </c>
      <c r="E146" s="70" t="s">
        <v>93</v>
      </c>
      <c r="F146" s="43">
        <v>0.9166666666666666</v>
      </c>
      <c r="G146" s="98">
        <v>0.12708333333333333</v>
      </c>
      <c r="H146" s="98">
        <v>0.16041666666666668</v>
      </c>
      <c r="I146" s="85">
        <v>0.23819444444444443</v>
      </c>
      <c r="J146" s="45">
        <f t="shared" si="2"/>
        <v>463</v>
      </c>
      <c r="L146" s="46" t="s">
        <v>158</v>
      </c>
      <c r="M146" s="104"/>
      <c r="N146" s="27"/>
    </row>
    <row r="147">
      <c r="A147" s="40">
        <v>43855.0</v>
      </c>
      <c r="B147" s="41" t="s">
        <v>99</v>
      </c>
      <c r="C147" s="43" t="str">
        <f>VLOOKUP(A147,Table!A:B,2,false)</f>
        <v>P6 W1</v>
      </c>
      <c r="D147" s="43" t="str">
        <f>VLOOKUP(A147,Table!A:D,4,false)</f>
        <v>Period 6</v>
      </c>
      <c r="E147" s="70" t="s">
        <v>93</v>
      </c>
      <c r="F147" s="43">
        <v>0.9166666666666666</v>
      </c>
      <c r="G147" s="98">
        <v>0.1111111111111111</v>
      </c>
      <c r="H147" s="98">
        <v>0.12430555555555556</v>
      </c>
      <c r="I147" s="85">
        <v>0.20833333333333334</v>
      </c>
      <c r="J147" s="45">
        <f t="shared" si="2"/>
        <v>420</v>
      </c>
      <c r="L147" s="46" t="s">
        <v>159</v>
      </c>
      <c r="M147" s="74"/>
      <c r="N147" s="27"/>
    </row>
    <row r="148">
      <c r="A148" s="40">
        <v>43856.0</v>
      </c>
      <c r="B148" s="41" t="s">
        <v>100</v>
      </c>
      <c r="C148" s="43" t="str">
        <f>VLOOKUP(A148,Table!A:B,2,false)</f>
        <v>P6 W1</v>
      </c>
      <c r="D148" s="43" t="str">
        <f>VLOOKUP(A148,Table!A:D,4,false)</f>
        <v>Period 6</v>
      </c>
      <c r="E148" s="70" t="s">
        <v>93</v>
      </c>
      <c r="F148" s="43">
        <v>0.9166666666666666</v>
      </c>
      <c r="G148" s="98">
        <v>0.14097222222222222</v>
      </c>
      <c r="H148" s="98">
        <v>0.16875</v>
      </c>
      <c r="I148" s="85">
        <v>0.22569444444444445</v>
      </c>
      <c r="J148" s="45">
        <f t="shared" si="2"/>
        <v>445</v>
      </c>
      <c r="L148" s="46" t="s">
        <v>160</v>
      </c>
      <c r="M148" s="27"/>
      <c r="N148" s="27"/>
    </row>
    <row r="149">
      <c r="A149" s="40">
        <v>43857.0</v>
      </c>
      <c r="B149" s="41" t="s">
        <v>92</v>
      </c>
      <c r="C149" s="43" t="str">
        <f>VLOOKUP(A149,Table!A:B,2,false)</f>
        <v>P6 W2</v>
      </c>
      <c r="D149" s="43" t="str">
        <f>VLOOKUP(A149,Table!A:D,4,false)</f>
        <v>Period 6</v>
      </c>
      <c r="E149" s="70" t="s">
        <v>101</v>
      </c>
      <c r="F149" s="43">
        <v>0.9166666666666666</v>
      </c>
      <c r="G149" s="98">
        <v>0.08541666666666667</v>
      </c>
      <c r="H149" s="98">
        <v>0.10833333333333334</v>
      </c>
      <c r="I149" s="85">
        <v>0.1909722222222222</v>
      </c>
      <c r="J149" s="45">
        <f t="shared" si="2"/>
        <v>395</v>
      </c>
      <c r="L149" s="46" t="s">
        <v>152</v>
      </c>
      <c r="M149" s="74"/>
      <c r="N149" s="27"/>
    </row>
    <row r="150">
      <c r="A150" s="40">
        <v>43858.0</v>
      </c>
      <c r="B150" s="41" t="s">
        <v>94</v>
      </c>
      <c r="C150" s="43" t="str">
        <f>VLOOKUP(A150,Table!A:B,2,false)</f>
        <v>P6 W2</v>
      </c>
      <c r="D150" s="43" t="str">
        <f>VLOOKUP(A150,Table!A:D,4,false)</f>
        <v>Period 6</v>
      </c>
      <c r="E150" s="70" t="s">
        <v>101</v>
      </c>
      <c r="F150" s="43">
        <v>0.9166666666666666</v>
      </c>
      <c r="G150" s="98">
        <v>0.12777777777777777</v>
      </c>
      <c r="H150" s="98">
        <v>0.1638888888888889</v>
      </c>
      <c r="I150" s="85">
        <v>0.22916666666666666</v>
      </c>
      <c r="J150" s="45">
        <f t="shared" si="2"/>
        <v>450</v>
      </c>
      <c r="L150" s="46" t="s">
        <v>154</v>
      </c>
      <c r="M150" s="27"/>
      <c r="N150" s="27"/>
    </row>
    <row r="151">
      <c r="A151" s="40">
        <v>43859.0</v>
      </c>
      <c r="B151" s="41" t="s">
        <v>96</v>
      </c>
      <c r="C151" s="43" t="str">
        <f>VLOOKUP(A151,Table!A:B,2,false)</f>
        <v>P6 W2</v>
      </c>
      <c r="D151" s="43" t="str">
        <f>VLOOKUP(A151,Table!A:D,4,false)</f>
        <v>Period 6</v>
      </c>
      <c r="E151" s="70" t="s">
        <v>101</v>
      </c>
      <c r="F151" s="43">
        <v>0.9166666666666666</v>
      </c>
      <c r="G151" s="98">
        <v>0.13055555555555556</v>
      </c>
      <c r="H151" s="98">
        <v>0.15625</v>
      </c>
      <c r="I151" s="85">
        <v>0.22847222222222222</v>
      </c>
      <c r="J151" s="45">
        <f t="shared" si="2"/>
        <v>449</v>
      </c>
      <c r="L151" s="46" t="s">
        <v>156</v>
      </c>
      <c r="M151" s="27"/>
      <c r="N151" s="27"/>
    </row>
    <row r="152">
      <c r="A152" s="40">
        <v>43860.0</v>
      </c>
      <c r="B152" s="41" t="s">
        <v>97</v>
      </c>
      <c r="C152" s="43" t="str">
        <f>VLOOKUP(A152,Table!A:B,2,false)</f>
        <v>P6 W2</v>
      </c>
      <c r="D152" s="43" t="str">
        <f>VLOOKUP(A152,Table!A:D,4,false)</f>
        <v>Period 6</v>
      </c>
      <c r="E152" s="70" t="s">
        <v>101</v>
      </c>
      <c r="F152" s="43">
        <v>0.9166666666666666</v>
      </c>
      <c r="G152" s="98">
        <v>0.07847222222222222</v>
      </c>
      <c r="H152" s="98">
        <v>0.1423611111111111</v>
      </c>
      <c r="I152" s="85">
        <v>0.18472222222222223</v>
      </c>
      <c r="J152" s="45">
        <f t="shared" si="2"/>
        <v>386</v>
      </c>
      <c r="L152" s="46" t="s">
        <v>157</v>
      </c>
      <c r="M152" s="27"/>
      <c r="N152" s="27"/>
    </row>
    <row r="153">
      <c r="A153" s="40">
        <v>43861.0</v>
      </c>
      <c r="B153" s="41" t="s">
        <v>98</v>
      </c>
      <c r="C153" s="43" t="str">
        <f>VLOOKUP(A153,Table!A:B,2,false)</f>
        <v>P6 W2</v>
      </c>
      <c r="D153" s="43" t="str">
        <f>VLOOKUP(A153,Table!A:D,4,false)</f>
        <v>Period 6</v>
      </c>
      <c r="E153" s="70" t="s">
        <v>101</v>
      </c>
      <c r="F153" s="43">
        <v>0.9166666666666666</v>
      </c>
      <c r="G153" s="98">
        <v>0.07916666666666666</v>
      </c>
      <c r="H153" s="98">
        <v>0.12430555555555556</v>
      </c>
      <c r="I153" s="85">
        <v>0.20277777777777778</v>
      </c>
      <c r="J153" s="45">
        <f t="shared" si="2"/>
        <v>412</v>
      </c>
      <c r="L153" s="46" t="s">
        <v>158</v>
      </c>
      <c r="M153" s="27"/>
      <c r="N153" s="27"/>
    </row>
    <row r="154">
      <c r="A154" s="40">
        <v>43862.0</v>
      </c>
      <c r="B154" s="41" t="s">
        <v>99</v>
      </c>
      <c r="C154" s="43" t="str">
        <f>VLOOKUP(A154,Table!A:B,2,false)</f>
        <v>P6 W2</v>
      </c>
      <c r="D154" s="43" t="str">
        <f>VLOOKUP(A154,Table!A:D,4,false)</f>
        <v>Period 6</v>
      </c>
      <c r="E154" s="70" t="s">
        <v>101</v>
      </c>
      <c r="F154" s="43">
        <v>0.9166666666666666</v>
      </c>
      <c r="G154" s="98">
        <v>0.19027777777777777</v>
      </c>
      <c r="H154" s="98">
        <v>0.20555555555555555</v>
      </c>
      <c r="I154" s="85">
        <v>0.2833333333333333</v>
      </c>
      <c r="J154" s="45">
        <f t="shared" si="2"/>
        <v>528</v>
      </c>
      <c r="L154" s="46" t="s">
        <v>159</v>
      </c>
      <c r="M154" s="27"/>
      <c r="N154" s="27"/>
    </row>
    <row r="155">
      <c r="A155" s="40">
        <v>43863.0</v>
      </c>
      <c r="B155" s="41" t="s">
        <v>100</v>
      </c>
      <c r="C155" s="43" t="str">
        <f>VLOOKUP(A155,Table!A:B,2,false)</f>
        <v>P6 W2</v>
      </c>
      <c r="D155" s="43" t="str">
        <f>VLOOKUP(A155,Table!A:D,4,false)</f>
        <v>Period 6</v>
      </c>
      <c r="E155" s="70" t="s">
        <v>101</v>
      </c>
      <c r="F155" s="43">
        <v>0.9166666666666666</v>
      </c>
      <c r="G155" s="98">
        <v>0.14722222222222223</v>
      </c>
      <c r="H155" s="98">
        <v>0.17916666666666667</v>
      </c>
      <c r="I155" s="85">
        <v>0.23055555555555557</v>
      </c>
      <c r="J155" s="45">
        <f t="shared" si="2"/>
        <v>452</v>
      </c>
      <c r="L155" s="46" t="s">
        <v>160</v>
      </c>
      <c r="M155" s="74"/>
      <c r="N155" s="27"/>
    </row>
    <row r="156">
      <c r="A156" s="40">
        <v>43864.0</v>
      </c>
      <c r="B156" s="41" t="s">
        <v>92</v>
      </c>
      <c r="C156" s="43" t="str">
        <f>VLOOKUP(A156,Table!A:B,2,false)</f>
        <v>P6 W3</v>
      </c>
      <c r="D156" s="43" t="str">
        <f>VLOOKUP(A156,Table!A:D,4,false)</f>
        <v>Period 6</v>
      </c>
      <c r="E156" s="70" t="s">
        <v>106</v>
      </c>
      <c r="F156" s="43">
        <v>0.9166666666666666</v>
      </c>
      <c r="G156" s="98">
        <v>0.08611111111111111</v>
      </c>
      <c r="H156" s="98">
        <v>0.11597222222222223</v>
      </c>
      <c r="I156" s="85">
        <v>0.18611111111111112</v>
      </c>
      <c r="J156" s="45">
        <f t="shared" si="2"/>
        <v>388</v>
      </c>
      <c r="L156" s="46" t="s">
        <v>152</v>
      </c>
      <c r="M156" s="27"/>
      <c r="N156" s="27"/>
    </row>
    <row r="157">
      <c r="A157" s="40">
        <v>43865.0</v>
      </c>
      <c r="B157" s="41" t="s">
        <v>94</v>
      </c>
      <c r="C157" s="43" t="str">
        <f>VLOOKUP(A157,Table!A:B,2,false)</f>
        <v>P6 W3</v>
      </c>
      <c r="D157" s="43" t="str">
        <f>VLOOKUP(A157,Table!A:D,4,false)</f>
        <v>Period 6</v>
      </c>
      <c r="E157" s="70" t="s">
        <v>106</v>
      </c>
      <c r="F157" s="43">
        <v>0.9166666666666666</v>
      </c>
      <c r="G157" s="98">
        <v>0.1326388888888889</v>
      </c>
      <c r="H157" s="98">
        <v>0.15625</v>
      </c>
      <c r="I157" s="85">
        <v>0.22847222222222222</v>
      </c>
      <c r="J157" s="45">
        <f t="shared" si="2"/>
        <v>449</v>
      </c>
      <c r="L157" s="46" t="s">
        <v>154</v>
      </c>
      <c r="M157" s="74"/>
      <c r="N157" s="27"/>
    </row>
    <row r="158">
      <c r="A158" s="40">
        <v>43866.0</v>
      </c>
      <c r="B158" s="41" t="s">
        <v>96</v>
      </c>
      <c r="C158" s="43" t="str">
        <f>VLOOKUP(A158,Table!A:B,2,false)</f>
        <v>P6 W3</v>
      </c>
      <c r="D158" s="43" t="str">
        <f>VLOOKUP(A158,Table!A:D,4,false)</f>
        <v>Period 6</v>
      </c>
      <c r="E158" s="70" t="s">
        <v>106</v>
      </c>
      <c r="F158" s="43">
        <v>0.9166666666666666</v>
      </c>
      <c r="G158" s="98">
        <v>0.08125</v>
      </c>
      <c r="H158" s="98">
        <v>0.13333333333333333</v>
      </c>
      <c r="I158" s="85">
        <v>0.19722222222222222</v>
      </c>
      <c r="J158" s="45">
        <f t="shared" si="2"/>
        <v>404</v>
      </c>
      <c r="L158" s="46" t="s">
        <v>156</v>
      </c>
      <c r="M158" s="74"/>
      <c r="N158" s="27"/>
    </row>
    <row r="159">
      <c r="A159" s="40">
        <v>43867.0</v>
      </c>
      <c r="B159" s="41" t="s">
        <v>97</v>
      </c>
      <c r="C159" s="43" t="str">
        <f>VLOOKUP(A159,Table!A:B,2,false)</f>
        <v>P6 W3</v>
      </c>
      <c r="D159" s="43" t="str">
        <f>VLOOKUP(A159,Table!A:D,4,false)</f>
        <v>Period 6</v>
      </c>
      <c r="E159" s="70" t="s">
        <v>106</v>
      </c>
      <c r="F159" s="43">
        <v>0.9166666666666666</v>
      </c>
      <c r="G159" s="98">
        <v>0.10902777777777778</v>
      </c>
      <c r="H159" s="98">
        <v>0.1326388888888889</v>
      </c>
      <c r="I159" s="85">
        <v>0.20833333333333334</v>
      </c>
      <c r="J159" s="45">
        <f t="shared" si="2"/>
        <v>420</v>
      </c>
      <c r="L159" s="46" t="s">
        <v>157</v>
      </c>
      <c r="M159" s="27"/>
      <c r="N159" s="27"/>
    </row>
    <row r="160">
      <c r="A160" s="40">
        <v>43868.0</v>
      </c>
      <c r="B160" s="41" t="s">
        <v>98</v>
      </c>
      <c r="C160" s="43" t="str">
        <f>VLOOKUP(A160,Table!A:B,2,false)</f>
        <v>P6 W3</v>
      </c>
      <c r="D160" s="43" t="str">
        <f>VLOOKUP(A160,Table!A:D,4,false)</f>
        <v>Period 6</v>
      </c>
      <c r="E160" s="70" t="s">
        <v>106</v>
      </c>
      <c r="F160" s="43">
        <v>0.9166666666666666</v>
      </c>
      <c r="G160" s="98">
        <v>0.09583333333333334</v>
      </c>
      <c r="H160" s="98">
        <v>0.11944444444444445</v>
      </c>
      <c r="I160" s="85">
        <v>0.20277777777777778</v>
      </c>
      <c r="J160" s="45">
        <f t="shared" si="2"/>
        <v>412</v>
      </c>
      <c r="L160" s="46" t="s">
        <v>158</v>
      </c>
      <c r="M160" s="27"/>
      <c r="N160" s="27"/>
    </row>
    <row r="161">
      <c r="A161" s="40">
        <v>43869.0</v>
      </c>
      <c r="B161" s="41" t="s">
        <v>99</v>
      </c>
      <c r="C161" s="43" t="str">
        <f>VLOOKUP(A161,Table!A:B,2,false)</f>
        <v>P6 W3</v>
      </c>
      <c r="D161" s="43" t="str">
        <f>VLOOKUP(A161,Table!A:D,4,false)</f>
        <v>Period 6</v>
      </c>
      <c r="E161" s="70" t="s">
        <v>106</v>
      </c>
      <c r="F161" s="43">
        <v>0.9166666666666666</v>
      </c>
      <c r="G161" s="98">
        <v>0.08888888888888889</v>
      </c>
      <c r="H161" s="98">
        <v>0.10347222222222222</v>
      </c>
      <c r="I161" s="85">
        <v>0.18541666666666667</v>
      </c>
      <c r="J161" s="45">
        <f t="shared" si="2"/>
        <v>387</v>
      </c>
      <c r="L161" s="46" t="s">
        <v>159</v>
      </c>
      <c r="M161" s="27"/>
      <c r="N161" s="27"/>
    </row>
    <row r="162">
      <c r="A162" s="40">
        <v>43870.0</v>
      </c>
      <c r="B162" s="41" t="s">
        <v>100</v>
      </c>
      <c r="C162" s="43" t="str">
        <f>VLOOKUP(A162,Table!A:B,2,false)</f>
        <v>P6 W3</v>
      </c>
      <c r="D162" s="43" t="str">
        <f>VLOOKUP(A162,Table!A:D,4,false)</f>
        <v>Period 6</v>
      </c>
      <c r="E162" s="70" t="s">
        <v>106</v>
      </c>
      <c r="F162" s="43">
        <v>0.9166666666666666</v>
      </c>
      <c r="G162" s="98">
        <v>0.14652777777777778</v>
      </c>
      <c r="H162" s="98">
        <v>0.17847222222222223</v>
      </c>
      <c r="I162" s="85">
        <v>0.2326388888888889</v>
      </c>
      <c r="J162" s="45">
        <f t="shared" si="2"/>
        <v>455</v>
      </c>
      <c r="L162" s="46" t="s">
        <v>160</v>
      </c>
      <c r="M162" s="27"/>
      <c r="N162" s="27"/>
    </row>
    <row r="163">
      <c r="A163" s="40">
        <v>43871.0</v>
      </c>
      <c r="B163" s="41" t="s">
        <v>92</v>
      </c>
      <c r="C163" s="43" t="str">
        <f>VLOOKUP(A163,Table!A:B,2,false)</f>
        <v>P6 W4</v>
      </c>
      <c r="D163" s="43" t="str">
        <f>VLOOKUP(A163,Table!A:D,4,false)</f>
        <v>Period 6</v>
      </c>
      <c r="E163" s="70" t="s">
        <v>110</v>
      </c>
      <c r="F163" s="43">
        <v>0.9166666666666666</v>
      </c>
      <c r="G163" s="98">
        <v>0.11388888888888889</v>
      </c>
      <c r="H163" s="98">
        <v>0.2659722222222222</v>
      </c>
      <c r="I163" s="85">
        <v>0.3423611111111111</v>
      </c>
      <c r="J163" s="45">
        <f t="shared" si="2"/>
        <v>613</v>
      </c>
      <c r="L163" s="46" t="s">
        <v>152</v>
      </c>
      <c r="M163" s="72" t="s">
        <v>181</v>
      </c>
      <c r="N163" s="73" t="s">
        <v>151</v>
      </c>
    </row>
    <row r="164">
      <c r="A164" s="40">
        <v>43872.0</v>
      </c>
      <c r="B164" s="41" t="s">
        <v>94</v>
      </c>
      <c r="C164" s="43" t="str">
        <f>VLOOKUP(A164,Table!A:B,2,false)</f>
        <v>P6 W4</v>
      </c>
      <c r="D164" s="43" t="str">
        <f>VLOOKUP(A164,Table!A:D,4,false)</f>
        <v>Period 6</v>
      </c>
      <c r="E164" s="70" t="s">
        <v>110</v>
      </c>
      <c r="F164" s="43">
        <v>0.9166666666666666</v>
      </c>
      <c r="G164" s="98">
        <v>0.11805555555555555</v>
      </c>
      <c r="H164" s="98">
        <v>0.14791666666666667</v>
      </c>
      <c r="I164" s="85">
        <v>0.21875</v>
      </c>
      <c r="J164" s="45">
        <f t="shared" si="2"/>
        <v>435</v>
      </c>
      <c r="L164" s="46" t="s">
        <v>154</v>
      </c>
      <c r="M164" s="27"/>
      <c r="N164" s="27"/>
    </row>
    <row r="165">
      <c r="A165" s="40">
        <v>43873.0</v>
      </c>
      <c r="B165" s="41" t="s">
        <v>96</v>
      </c>
      <c r="C165" s="43" t="str">
        <f>VLOOKUP(A165,Table!A:B,2,false)</f>
        <v>P6 W4</v>
      </c>
      <c r="D165" s="43" t="str">
        <f>VLOOKUP(A165,Table!A:D,4,false)</f>
        <v>Period 6</v>
      </c>
      <c r="E165" s="70" t="s">
        <v>110</v>
      </c>
      <c r="F165" s="43">
        <v>0.9166666666666666</v>
      </c>
      <c r="G165" s="98">
        <v>0.09722222222222222</v>
      </c>
      <c r="H165" s="98">
        <v>0.12708333333333333</v>
      </c>
      <c r="I165" s="85">
        <v>0.1875</v>
      </c>
      <c r="J165" s="45">
        <f t="shared" si="2"/>
        <v>390</v>
      </c>
      <c r="L165" s="46" t="s">
        <v>156</v>
      </c>
      <c r="M165" s="27"/>
      <c r="N165" s="27"/>
    </row>
    <row r="166">
      <c r="A166" s="40">
        <v>43874.0</v>
      </c>
      <c r="B166" s="41" t="s">
        <v>97</v>
      </c>
      <c r="C166" s="43" t="str">
        <f>VLOOKUP(A166,Table!A:B,2,false)</f>
        <v>P6 W4</v>
      </c>
      <c r="D166" s="43" t="str">
        <f>VLOOKUP(A166,Table!A:D,4,false)</f>
        <v>Period 6</v>
      </c>
      <c r="E166" s="70" t="s">
        <v>110</v>
      </c>
      <c r="F166" s="43">
        <v>0.9166666666666666</v>
      </c>
      <c r="G166" s="98">
        <v>0.1326388888888889</v>
      </c>
      <c r="H166" s="98">
        <v>0.1701388888888889</v>
      </c>
      <c r="I166" s="85">
        <v>0.23055555555555557</v>
      </c>
      <c r="J166" s="45">
        <f t="shared" si="2"/>
        <v>452</v>
      </c>
      <c r="L166" s="46" t="s">
        <v>157</v>
      </c>
      <c r="M166" s="27"/>
      <c r="N166" s="27"/>
    </row>
    <row r="167">
      <c r="A167" s="40">
        <v>43875.0</v>
      </c>
      <c r="B167" s="41" t="s">
        <v>98</v>
      </c>
      <c r="C167" s="43" t="str">
        <f>VLOOKUP(A167,Table!A:B,2,false)</f>
        <v>P6 W4</v>
      </c>
      <c r="D167" s="43" t="str">
        <f>VLOOKUP(A167,Table!A:D,4,false)</f>
        <v>Period 6</v>
      </c>
      <c r="E167" s="70" t="s">
        <v>110</v>
      </c>
      <c r="F167" s="43">
        <v>0.9166666666666666</v>
      </c>
      <c r="G167" s="98">
        <v>0.12916666666666668</v>
      </c>
      <c r="H167" s="98">
        <v>0.16319444444444445</v>
      </c>
      <c r="I167" s="85">
        <v>0.23194444444444445</v>
      </c>
      <c r="J167" s="45">
        <f t="shared" si="2"/>
        <v>454</v>
      </c>
      <c r="L167" s="46" t="s">
        <v>158</v>
      </c>
      <c r="M167" s="27"/>
      <c r="N167" s="27"/>
    </row>
    <row r="168">
      <c r="A168" s="40">
        <v>43876.0</v>
      </c>
      <c r="B168" s="41" t="s">
        <v>99</v>
      </c>
      <c r="C168" s="43" t="str">
        <f>VLOOKUP(A168,Table!A:B,2,false)</f>
        <v>P6 W4</v>
      </c>
      <c r="D168" s="43" t="str">
        <f>VLOOKUP(A168,Table!A:D,4,false)</f>
        <v>Period 6</v>
      </c>
      <c r="E168" s="70" t="s">
        <v>110</v>
      </c>
      <c r="F168" s="43">
        <v>0.9166666666666666</v>
      </c>
      <c r="G168" s="98">
        <v>0.12430555555555556</v>
      </c>
      <c r="H168" s="98">
        <v>0.14166666666666666</v>
      </c>
      <c r="I168" s="85">
        <v>0.19791666666666666</v>
      </c>
      <c r="J168" s="45">
        <f t="shared" si="2"/>
        <v>405</v>
      </c>
      <c r="L168" s="46" t="s">
        <v>159</v>
      </c>
      <c r="M168" s="27"/>
      <c r="N168" s="105"/>
    </row>
    <row r="169">
      <c r="A169" s="40">
        <v>43877.0</v>
      </c>
      <c r="B169" s="41" t="s">
        <v>100</v>
      </c>
      <c r="C169" s="43" t="str">
        <f>VLOOKUP(A169,Table!A:B,2,false)</f>
        <v>P6 W4</v>
      </c>
      <c r="D169" s="43" t="str">
        <f>VLOOKUP(A169,Table!A:D,4,false)</f>
        <v>Period 6</v>
      </c>
      <c r="E169" s="70" t="s">
        <v>110</v>
      </c>
      <c r="F169" s="43">
        <v>0.9166666666666666</v>
      </c>
      <c r="G169" s="98">
        <v>0.175</v>
      </c>
      <c r="H169" s="98">
        <v>0.2048611111111111</v>
      </c>
      <c r="I169" s="85">
        <v>0.25625</v>
      </c>
      <c r="J169" s="45">
        <f t="shared" si="2"/>
        <v>489</v>
      </c>
      <c r="L169" s="46" t="s">
        <v>160</v>
      </c>
      <c r="M169" s="74"/>
      <c r="N169" s="27"/>
    </row>
    <row r="170">
      <c r="A170" s="78">
        <v>43878.0</v>
      </c>
      <c r="B170" s="79" t="s">
        <v>92</v>
      </c>
      <c r="C170" s="54" t="str">
        <f>VLOOKUP(A170,Table!A:B,2,false)</f>
        <v>P7 W1</v>
      </c>
      <c r="D170" s="54" t="str">
        <f>VLOOKUP(A170,Table!A:D,4,false)</f>
        <v>Period 7</v>
      </c>
      <c r="E170" s="70" t="s">
        <v>93</v>
      </c>
      <c r="F170" s="43">
        <v>0.9166666666666666</v>
      </c>
      <c r="G170" s="98">
        <v>0.13194444444444445</v>
      </c>
      <c r="H170" s="98">
        <v>0.16180555555555556</v>
      </c>
      <c r="I170" s="85">
        <v>0.2152777777777778</v>
      </c>
      <c r="J170" s="45">
        <f t="shared" si="2"/>
        <v>430</v>
      </c>
      <c r="L170" s="46" t="s">
        <v>152</v>
      </c>
      <c r="M170" s="27"/>
      <c r="N170" s="27"/>
    </row>
    <row r="171">
      <c r="A171" s="40">
        <v>43879.0</v>
      </c>
      <c r="B171" s="41" t="s">
        <v>94</v>
      </c>
      <c r="C171" s="43" t="str">
        <f>VLOOKUP(A171,Table!A:B,2,false)</f>
        <v>P7 W1</v>
      </c>
      <c r="D171" s="43" t="str">
        <f>VLOOKUP(A171,Table!A:D,4,false)</f>
        <v>Period 7</v>
      </c>
      <c r="E171" s="70" t="s">
        <v>93</v>
      </c>
      <c r="F171" s="43">
        <v>0.9166666666666666</v>
      </c>
      <c r="G171" s="98">
        <v>0.07777777777777778</v>
      </c>
      <c r="H171" s="98">
        <v>0.10138888888888889</v>
      </c>
      <c r="I171" s="85">
        <v>0.18055555555555555</v>
      </c>
      <c r="J171" s="45">
        <f t="shared" si="2"/>
        <v>380</v>
      </c>
      <c r="L171" s="46" t="s">
        <v>154</v>
      </c>
      <c r="M171" s="27"/>
      <c r="N171" s="27"/>
    </row>
    <row r="172">
      <c r="A172" s="40">
        <v>43880.0</v>
      </c>
      <c r="B172" s="41" t="s">
        <v>96</v>
      </c>
      <c r="C172" s="43" t="str">
        <f>VLOOKUP(A172,Table!A:B,2,false)</f>
        <v>P7 W1</v>
      </c>
      <c r="D172" s="43" t="str">
        <f>VLOOKUP(A172,Table!A:D,4,false)</f>
        <v>Period 7</v>
      </c>
      <c r="E172" s="70" t="s">
        <v>93</v>
      </c>
      <c r="F172" s="43">
        <v>0.9166666666666666</v>
      </c>
      <c r="G172" s="98">
        <v>0.10694444444444444</v>
      </c>
      <c r="H172" s="98">
        <v>0.12569444444444444</v>
      </c>
      <c r="I172" s="85">
        <v>0.2048611111111111</v>
      </c>
      <c r="J172" s="45">
        <f t="shared" si="2"/>
        <v>415</v>
      </c>
      <c r="L172" s="46" t="s">
        <v>156</v>
      </c>
      <c r="M172" s="74"/>
      <c r="N172" s="27"/>
    </row>
    <row r="173">
      <c r="A173" s="40">
        <v>43881.0</v>
      </c>
      <c r="B173" s="41" t="s">
        <v>97</v>
      </c>
      <c r="C173" s="43" t="str">
        <f>VLOOKUP(A173,Table!A:B,2,false)</f>
        <v>P7 W1</v>
      </c>
      <c r="D173" s="43" t="str">
        <f>VLOOKUP(A173,Table!A:D,4,false)</f>
        <v>Period 7</v>
      </c>
      <c r="E173" s="70" t="s">
        <v>93</v>
      </c>
      <c r="F173" s="43">
        <v>0.9166666666666666</v>
      </c>
      <c r="G173" s="98">
        <v>0.08680555555555555</v>
      </c>
      <c r="H173" s="98">
        <v>0.1284722222222222</v>
      </c>
      <c r="I173" s="85">
        <v>0.19305555555555556</v>
      </c>
      <c r="J173" s="45">
        <f t="shared" si="2"/>
        <v>398</v>
      </c>
      <c r="L173" s="46" t="s">
        <v>157</v>
      </c>
      <c r="M173" s="27"/>
      <c r="N173" s="27"/>
    </row>
    <row r="174">
      <c r="A174" s="40">
        <v>43882.0</v>
      </c>
      <c r="B174" s="41" t="s">
        <v>98</v>
      </c>
      <c r="C174" s="43" t="str">
        <f>VLOOKUP(A174,Table!A:B,2,false)</f>
        <v>P7 W1</v>
      </c>
      <c r="D174" s="43" t="str">
        <f>VLOOKUP(A174,Table!A:D,4,false)</f>
        <v>Period 7</v>
      </c>
      <c r="E174" s="70" t="s">
        <v>93</v>
      </c>
      <c r="F174" s="43">
        <v>0.9166666666666666</v>
      </c>
      <c r="G174" s="98">
        <v>0.12152777777777778</v>
      </c>
      <c r="H174" s="98">
        <v>0.15138888888888888</v>
      </c>
      <c r="I174" s="85">
        <v>0.21944444444444444</v>
      </c>
      <c r="J174" s="45">
        <f t="shared" si="2"/>
        <v>436</v>
      </c>
      <c r="L174" s="46" t="s">
        <v>158</v>
      </c>
      <c r="M174" s="27"/>
      <c r="N174" s="27"/>
    </row>
    <row r="175">
      <c r="A175" s="40">
        <v>43883.0</v>
      </c>
      <c r="B175" s="41" t="s">
        <v>99</v>
      </c>
      <c r="C175" s="43" t="str">
        <f>VLOOKUP(A175,Table!A:B,2,false)</f>
        <v>P7 W1</v>
      </c>
      <c r="D175" s="43" t="str">
        <f>VLOOKUP(A175,Table!A:D,4,false)</f>
        <v>Period 7</v>
      </c>
      <c r="E175" s="70" t="s">
        <v>93</v>
      </c>
      <c r="F175" s="43">
        <v>0.9166666666666666</v>
      </c>
      <c r="G175" s="98">
        <v>0.08402777777777778</v>
      </c>
      <c r="H175" s="98">
        <v>0.09861111111111111</v>
      </c>
      <c r="I175" s="85">
        <v>0.1909722222222222</v>
      </c>
      <c r="J175" s="45">
        <f t="shared" si="2"/>
        <v>395</v>
      </c>
      <c r="L175" s="46" t="s">
        <v>159</v>
      </c>
      <c r="M175" s="27"/>
      <c r="N175" s="27"/>
    </row>
    <row r="176">
      <c r="A176" s="40">
        <v>43884.0</v>
      </c>
      <c r="B176" s="41" t="s">
        <v>100</v>
      </c>
      <c r="C176" s="43" t="str">
        <f>VLOOKUP(A176,Table!A:B,2,false)</f>
        <v>P7 W1</v>
      </c>
      <c r="D176" s="43" t="str">
        <f>VLOOKUP(A176,Table!A:D,4,false)</f>
        <v>Period 7</v>
      </c>
      <c r="E176" s="70" t="s">
        <v>93</v>
      </c>
      <c r="F176" s="43">
        <v>0.9166666666666666</v>
      </c>
      <c r="G176" s="98">
        <v>0.14444444444444443</v>
      </c>
      <c r="H176" s="98">
        <v>0.15902777777777777</v>
      </c>
      <c r="I176" s="85">
        <v>0.23125</v>
      </c>
      <c r="J176" s="45">
        <f t="shared" si="2"/>
        <v>453</v>
      </c>
      <c r="L176" s="46" t="s">
        <v>160</v>
      </c>
      <c r="M176" s="27"/>
      <c r="N176" s="27"/>
    </row>
    <row r="177">
      <c r="A177" s="40">
        <v>43885.0</v>
      </c>
      <c r="B177" s="41" t="s">
        <v>92</v>
      </c>
      <c r="C177" s="43" t="str">
        <f>VLOOKUP(A177,Table!A:B,2,false)</f>
        <v>P7 W2</v>
      </c>
      <c r="D177" s="43" t="str">
        <f>VLOOKUP(A177,Table!A:D,4,false)</f>
        <v>Period 7</v>
      </c>
      <c r="E177" s="70" t="s">
        <v>101</v>
      </c>
      <c r="F177" s="43">
        <v>0.9166666666666666</v>
      </c>
      <c r="G177" s="98">
        <v>0.09236111111111112</v>
      </c>
      <c r="H177" s="98">
        <v>0.1361111111111111</v>
      </c>
      <c r="I177" s="85">
        <v>0.2</v>
      </c>
      <c r="J177" s="45">
        <f t="shared" si="2"/>
        <v>408</v>
      </c>
      <c r="L177" s="46" t="s">
        <v>152</v>
      </c>
      <c r="M177" s="27"/>
      <c r="N177" s="27"/>
    </row>
    <row r="178">
      <c r="A178" s="40">
        <v>43886.0</v>
      </c>
      <c r="B178" s="41" t="s">
        <v>94</v>
      </c>
      <c r="C178" s="43" t="str">
        <f>VLOOKUP(A178,Table!A:B,2,false)</f>
        <v>P7 W2</v>
      </c>
      <c r="D178" s="43" t="str">
        <f>VLOOKUP(A178,Table!A:D,4,false)</f>
        <v>Period 7</v>
      </c>
      <c r="E178" s="70" t="s">
        <v>101</v>
      </c>
      <c r="F178" s="43">
        <v>0.9166666666666666</v>
      </c>
      <c r="G178" s="98">
        <v>0.1284722222222222</v>
      </c>
      <c r="H178" s="98">
        <v>0.15555555555555556</v>
      </c>
      <c r="I178" s="85">
        <v>0.225</v>
      </c>
      <c r="J178" s="45">
        <f t="shared" si="2"/>
        <v>444</v>
      </c>
      <c r="L178" s="46" t="s">
        <v>154</v>
      </c>
      <c r="M178" s="27"/>
      <c r="N178" s="27"/>
    </row>
    <row r="179">
      <c r="A179" s="40">
        <v>43887.0</v>
      </c>
      <c r="B179" s="41" t="s">
        <v>96</v>
      </c>
      <c r="C179" s="43" t="str">
        <f>VLOOKUP(A179,Table!A:B,2,false)</f>
        <v>P7 W2</v>
      </c>
      <c r="D179" s="43" t="str">
        <f>VLOOKUP(A179,Table!A:D,4,false)</f>
        <v>Period 7</v>
      </c>
      <c r="E179" s="70" t="s">
        <v>101</v>
      </c>
      <c r="F179" s="43">
        <v>0.9166666666666666</v>
      </c>
      <c r="G179" s="98">
        <v>0.08611111111111111</v>
      </c>
      <c r="H179" s="98">
        <v>0.1111111111111111</v>
      </c>
      <c r="I179" s="85">
        <v>0.19236111111111112</v>
      </c>
      <c r="J179" s="45">
        <f t="shared" si="2"/>
        <v>397</v>
      </c>
      <c r="L179" s="46" t="s">
        <v>156</v>
      </c>
      <c r="M179" s="27"/>
      <c r="N179" s="27"/>
    </row>
    <row r="180">
      <c r="A180" s="40">
        <v>43888.0</v>
      </c>
      <c r="B180" s="41" t="s">
        <v>97</v>
      </c>
      <c r="C180" s="43" t="str">
        <f>VLOOKUP(A180,Table!A:B,2,false)</f>
        <v>P7 W2</v>
      </c>
      <c r="D180" s="43" t="str">
        <f>VLOOKUP(A180,Table!A:D,4,false)</f>
        <v>Period 7</v>
      </c>
      <c r="E180" s="70" t="s">
        <v>101</v>
      </c>
      <c r="F180" s="43">
        <v>0.9166666666666666</v>
      </c>
      <c r="G180" s="98">
        <v>0.0763888888888889</v>
      </c>
      <c r="H180" s="98">
        <v>0.11180555555555556</v>
      </c>
      <c r="I180" s="85">
        <v>0.19027777777777777</v>
      </c>
      <c r="J180" s="45">
        <f t="shared" si="2"/>
        <v>394</v>
      </c>
      <c r="L180" s="46" t="s">
        <v>157</v>
      </c>
      <c r="M180" s="27"/>
      <c r="N180" s="27"/>
    </row>
    <row r="181">
      <c r="A181" s="40">
        <v>43889.0</v>
      </c>
      <c r="B181" s="41" t="s">
        <v>98</v>
      </c>
      <c r="C181" s="43" t="str">
        <f>VLOOKUP(A181,Table!A:B,2,false)</f>
        <v>P7 W2</v>
      </c>
      <c r="D181" s="43" t="str">
        <f>VLOOKUP(A181,Table!A:D,4,false)</f>
        <v>Period 7</v>
      </c>
      <c r="E181" s="70" t="s">
        <v>101</v>
      </c>
      <c r="F181" s="43">
        <v>0.9166666666666666</v>
      </c>
      <c r="G181" s="98">
        <v>0.10347222222222222</v>
      </c>
      <c r="H181" s="98">
        <v>0.1375</v>
      </c>
      <c r="I181" s="85">
        <v>0.2111111111111111</v>
      </c>
      <c r="J181" s="45">
        <f t="shared" si="2"/>
        <v>424</v>
      </c>
      <c r="L181" s="46" t="s">
        <v>158</v>
      </c>
      <c r="M181" s="27"/>
      <c r="N181" s="27"/>
    </row>
    <row r="182">
      <c r="A182" s="40">
        <v>43890.0</v>
      </c>
      <c r="B182" s="41" t="s">
        <v>99</v>
      </c>
      <c r="C182" s="43" t="str">
        <f>VLOOKUP(A182,Table!A:B,2,false)</f>
        <v>P7 W2</v>
      </c>
      <c r="D182" s="43" t="str">
        <f>VLOOKUP(A182,Table!A:D,4,false)</f>
        <v>Period 7</v>
      </c>
      <c r="E182" s="70" t="s">
        <v>101</v>
      </c>
      <c r="F182" s="43">
        <v>0.9166666666666666</v>
      </c>
      <c r="G182" s="98">
        <v>0.10972222222222222</v>
      </c>
      <c r="H182" s="98">
        <v>0.125</v>
      </c>
      <c r="I182" s="85">
        <v>0.22152777777777777</v>
      </c>
      <c r="J182" s="45">
        <f t="shared" si="2"/>
        <v>439</v>
      </c>
      <c r="L182" s="46" t="s">
        <v>159</v>
      </c>
      <c r="M182" s="27"/>
      <c r="N182" s="27"/>
    </row>
    <row r="183">
      <c r="A183" s="40">
        <v>43891.0</v>
      </c>
      <c r="B183" s="41" t="s">
        <v>100</v>
      </c>
      <c r="C183" s="43" t="str">
        <f>VLOOKUP(A183,Table!A:B,2,false)</f>
        <v>P7 W2</v>
      </c>
      <c r="D183" s="43" t="str">
        <f>VLOOKUP(A183,Table!A:D,4,false)</f>
        <v>Period 7</v>
      </c>
      <c r="E183" s="70" t="s">
        <v>101</v>
      </c>
      <c r="F183" s="43">
        <v>0.9166666666666666</v>
      </c>
      <c r="G183" s="98">
        <v>0.1625</v>
      </c>
      <c r="H183" s="98">
        <v>0.19375</v>
      </c>
      <c r="I183" s="85">
        <v>0.24513888888888888</v>
      </c>
      <c r="J183" s="45">
        <f t="shared" si="2"/>
        <v>473</v>
      </c>
      <c r="L183" s="46" t="s">
        <v>160</v>
      </c>
      <c r="M183" s="27"/>
      <c r="N183" s="27"/>
    </row>
    <row r="184">
      <c r="A184" s="40">
        <v>43892.0</v>
      </c>
      <c r="B184" s="41" t="s">
        <v>92</v>
      </c>
      <c r="C184" s="43" t="str">
        <f>VLOOKUP(A184,Table!A:B,2,false)</f>
        <v>P7 W3</v>
      </c>
      <c r="D184" s="43" t="str">
        <f>VLOOKUP(A184,Table!A:D,4,false)</f>
        <v>Period 7</v>
      </c>
      <c r="E184" s="70" t="s">
        <v>106</v>
      </c>
      <c r="F184" s="43">
        <v>0.9166666666666666</v>
      </c>
      <c r="G184" s="98">
        <v>0.11388888888888889</v>
      </c>
      <c r="H184" s="98">
        <v>0.14583333333333334</v>
      </c>
      <c r="I184" s="85">
        <v>0.22152777777777777</v>
      </c>
      <c r="J184" s="45">
        <f t="shared" si="2"/>
        <v>439</v>
      </c>
      <c r="L184" s="46" t="s">
        <v>152</v>
      </c>
      <c r="M184" s="27"/>
      <c r="N184" s="27"/>
    </row>
    <row r="185">
      <c r="A185" s="40">
        <v>43893.0</v>
      </c>
      <c r="B185" s="41" t="s">
        <v>94</v>
      </c>
      <c r="C185" s="43" t="str">
        <f>VLOOKUP(A185,Table!A:B,2,false)</f>
        <v>P7 W3</v>
      </c>
      <c r="D185" s="43" t="str">
        <f>VLOOKUP(A185,Table!A:D,4,false)</f>
        <v>Period 7</v>
      </c>
      <c r="E185" s="70" t="s">
        <v>106</v>
      </c>
      <c r="F185" s="43">
        <v>0.9166666666666666</v>
      </c>
      <c r="G185" s="98">
        <v>0.11041666666666666</v>
      </c>
      <c r="H185" s="98">
        <v>0.14444444444444443</v>
      </c>
      <c r="I185" s="85">
        <v>0.21944444444444444</v>
      </c>
      <c r="J185" s="45">
        <f t="shared" si="2"/>
        <v>436</v>
      </c>
      <c r="L185" s="46" t="s">
        <v>154</v>
      </c>
      <c r="M185" s="27"/>
      <c r="N185" s="27"/>
    </row>
    <row r="186">
      <c r="A186" s="40">
        <v>43894.0</v>
      </c>
      <c r="B186" s="41" t="s">
        <v>96</v>
      </c>
      <c r="C186" s="43" t="str">
        <f>VLOOKUP(A186,Table!A:B,2,false)</f>
        <v>P7 W3</v>
      </c>
      <c r="D186" s="43" t="str">
        <f>VLOOKUP(A186,Table!A:D,4,false)</f>
        <v>Period 7</v>
      </c>
      <c r="E186" s="70" t="s">
        <v>106</v>
      </c>
      <c r="F186" s="43">
        <v>0.9166666666666666</v>
      </c>
      <c r="G186" s="98">
        <v>0.20625</v>
      </c>
      <c r="H186" s="98">
        <v>0.33819444444444446</v>
      </c>
      <c r="I186" s="85">
        <v>0.5284722222222222</v>
      </c>
      <c r="J186" s="45">
        <f t="shared" si="2"/>
        <v>881</v>
      </c>
      <c r="L186" s="46" t="s">
        <v>156</v>
      </c>
      <c r="M186" s="106" t="s">
        <v>182</v>
      </c>
      <c r="N186" s="73" t="s">
        <v>40</v>
      </c>
    </row>
    <row r="187">
      <c r="A187" s="40">
        <v>43895.0</v>
      </c>
      <c r="B187" s="41" t="s">
        <v>97</v>
      </c>
      <c r="C187" s="43" t="str">
        <f>VLOOKUP(A187,Table!A:B,2,false)</f>
        <v>P7 W3</v>
      </c>
      <c r="D187" s="43" t="str">
        <f>VLOOKUP(A187,Table!A:D,4,false)</f>
        <v>Period 7</v>
      </c>
      <c r="E187" s="70" t="s">
        <v>106</v>
      </c>
      <c r="F187" s="43">
        <v>0.9166666666666666</v>
      </c>
      <c r="G187" s="98">
        <v>0.08263888888888889</v>
      </c>
      <c r="H187" s="98">
        <v>0.11458333333333333</v>
      </c>
      <c r="I187" s="85">
        <v>0.19444444444444445</v>
      </c>
      <c r="J187" s="45">
        <f t="shared" si="2"/>
        <v>400</v>
      </c>
      <c r="L187" s="46" t="s">
        <v>157</v>
      </c>
      <c r="M187" s="107"/>
      <c r="N187" s="27"/>
    </row>
    <row r="188">
      <c r="A188" s="40">
        <v>43896.0</v>
      </c>
      <c r="B188" s="41" t="s">
        <v>98</v>
      </c>
      <c r="C188" s="43" t="str">
        <f>VLOOKUP(A188,Table!A:B,2,false)</f>
        <v>P7 W3</v>
      </c>
      <c r="D188" s="43" t="str">
        <f>VLOOKUP(A188,Table!A:D,4,false)</f>
        <v>Period 7</v>
      </c>
      <c r="E188" s="70" t="s">
        <v>106</v>
      </c>
      <c r="F188" s="43">
        <v>0.9166666666666666</v>
      </c>
      <c r="G188" s="98">
        <v>0.11875</v>
      </c>
      <c r="H188" s="98">
        <v>0.1486111111111111</v>
      </c>
      <c r="I188" s="85">
        <v>0.2263888888888889</v>
      </c>
      <c r="J188" s="45">
        <f t="shared" si="2"/>
        <v>446</v>
      </c>
      <c r="L188" s="46" t="s">
        <v>158</v>
      </c>
      <c r="M188" s="27"/>
      <c r="N188" s="27"/>
    </row>
    <row r="189">
      <c r="A189" s="40">
        <v>43897.0</v>
      </c>
      <c r="B189" s="41" t="s">
        <v>99</v>
      </c>
      <c r="C189" s="43" t="str">
        <f>VLOOKUP(A189,Table!A:B,2,false)</f>
        <v>P7 W3</v>
      </c>
      <c r="D189" s="43" t="str">
        <f>VLOOKUP(A189,Table!A:D,4,false)</f>
        <v>Period 7</v>
      </c>
      <c r="E189" s="70" t="s">
        <v>106</v>
      </c>
      <c r="F189" s="43">
        <v>0.9166666666666666</v>
      </c>
      <c r="G189" s="98">
        <v>0.07569444444444444</v>
      </c>
      <c r="H189" s="98">
        <v>0.13125</v>
      </c>
      <c r="I189" s="85">
        <v>0.2111111111111111</v>
      </c>
      <c r="J189" s="45">
        <f t="shared" si="2"/>
        <v>424</v>
      </c>
      <c r="L189" s="46" t="s">
        <v>159</v>
      </c>
      <c r="M189" s="27"/>
      <c r="N189" s="27"/>
    </row>
    <row r="190">
      <c r="A190" s="40">
        <v>43898.0</v>
      </c>
      <c r="B190" s="41" t="s">
        <v>100</v>
      </c>
      <c r="C190" s="43" t="str">
        <f>VLOOKUP(A190,Table!A:B,2,false)</f>
        <v>P7 W3</v>
      </c>
      <c r="D190" s="43" t="str">
        <f>VLOOKUP(A190,Table!A:D,4,false)</f>
        <v>Period 7</v>
      </c>
      <c r="E190" s="70" t="s">
        <v>106</v>
      </c>
      <c r="F190" s="43">
        <v>0.9166666666666666</v>
      </c>
      <c r="G190" s="98">
        <v>0.14722222222222223</v>
      </c>
      <c r="H190" s="98">
        <v>0.17708333333333334</v>
      </c>
      <c r="I190" s="85">
        <v>0.31180555555555556</v>
      </c>
      <c r="J190" s="45">
        <f>IF(I189 &gt; 0,(I189-F190+(I189&lt;F190))*24*60)</f>
        <v>424</v>
      </c>
      <c r="L190" s="46" t="s">
        <v>160</v>
      </c>
      <c r="M190" s="27"/>
      <c r="N190" s="73" t="s">
        <v>142</v>
      </c>
    </row>
    <row r="191">
      <c r="A191" s="40">
        <v>43899.0</v>
      </c>
      <c r="B191" s="41" t="s">
        <v>92</v>
      </c>
      <c r="C191" s="43" t="str">
        <f>VLOOKUP(A191,Table!A:B,2,false)</f>
        <v>P7 W4</v>
      </c>
      <c r="D191" s="43" t="str">
        <f>VLOOKUP(A191,Table!A:D,4,false)</f>
        <v>Period 7</v>
      </c>
      <c r="E191" s="70" t="s">
        <v>110</v>
      </c>
      <c r="F191" s="43">
        <v>0.9166666666666666</v>
      </c>
      <c r="G191" s="98">
        <v>0.10069444444444445</v>
      </c>
      <c r="H191" s="98">
        <v>0.13055555555555556</v>
      </c>
      <c r="I191" s="85">
        <v>0.20833333333333334</v>
      </c>
      <c r="J191" s="45">
        <f t="shared" ref="J191:J365" si="3">IF(I191 &gt; 0,(I191-F191+(I191&lt;F191))*24*60)</f>
        <v>420</v>
      </c>
      <c r="L191" s="46" t="s">
        <v>152</v>
      </c>
      <c r="M191" s="46" t="s">
        <v>183</v>
      </c>
      <c r="N191" s="73" t="s">
        <v>40</v>
      </c>
    </row>
    <row r="192">
      <c r="A192" s="40">
        <v>43900.0</v>
      </c>
      <c r="B192" s="41" t="s">
        <v>94</v>
      </c>
      <c r="C192" s="43" t="str">
        <f>VLOOKUP(A192,Table!A:B,2,false)</f>
        <v>P7 W4</v>
      </c>
      <c r="D192" s="43" t="str">
        <f>VLOOKUP(A192,Table!A:D,4,false)</f>
        <v>Period 7</v>
      </c>
      <c r="E192" s="70" t="s">
        <v>110</v>
      </c>
      <c r="F192" s="43">
        <v>0.9166666666666666</v>
      </c>
      <c r="G192" s="98">
        <v>0.11041666666666666</v>
      </c>
      <c r="H192" s="98">
        <v>0.15069444444444444</v>
      </c>
      <c r="I192" s="85">
        <v>0.22013888888888888</v>
      </c>
      <c r="J192" s="45">
        <f t="shared" si="3"/>
        <v>437</v>
      </c>
      <c r="L192" s="46" t="s">
        <v>154</v>
      </c>
      <c r="M192" s="27"/>
      <c r="N192" s="27"/>
    </row>
    <row r="193">
      <c r="A193" s="40">
        <v>43901.0</v>
      </c>
      <c r="B193" s="41" t="s">
        <v>96</v>
      </c>
      <c r="C193" s="43" t="str">
        <f>VLOOKUP(A193,Table!A:B,2,false)</f>
        <v>P7 W4</v>
      </c>
      <c r="D193" s="43" t="str">
        <f>VLOOKUP(A193,Table!A:D,4,false)</f>
        <v>Period 7</v>
      </c>
      <c r="E193" s="70" t="s">
        <v>110</v>
      </c>
      <c r="F193" s="43">
        <v>0.9166666666666666</v>
      </c>
      <c r="G193" s="98">
        <v>0.13402777777777777</v>
      </c>
      <c r="H193" s="98">
        <v>0.17569444444444443</v>
      </c>
      <c r="I193" s="85">
        <v>0.24722222222222223</v>
      </c>
      <c r="J193" s="45">
        <f t="shared" si="3"/>
        <v>476</v>
      </c>
      <c r="L193" s="46" t="s">
        <v>156</v>
      </c>
      <c r="M193" s="27"/>
      <c r="N193" s="27"/>
    </row>
    <row r="194">
      <c r="A194" s="40">
        <v>43902.0</v>
      </c>
      <c r="B194" s="41" t="s">
        <v>97</v>
      </c>
      <c r="C194" s="43" t="str">
        <f>VLOOKUP(A194,Table!A:B,2,false)</f>
        <v>P7 W4</v>
      </c>
      <c r="D194" s="43" t="str">
        <f>VLOOKUP(A194,Table!A:D,4,false)</f>
        <v>Period 7</v>
      </c>
      <c r="E194" s="70" t="s">
        <v>110</v>
      </c>
      <c r="F194" s="43">
        <v>0.9166666666666666</v>
      </c>
      <c r="G194" s="98">
        <v>0.1361111111111111</v>
      </c>
      <c r="H194" s="98">
        <v>0.1840277777777778</v>
      </c>
      <c r="I194" s="85">
        <v>0.24791666666666667</v>
      </c>
      <c r="J194" s="45">
        <f t="shared" si="3"/>
        <v>477</v>
      </c>
      <c r="L194" s="46" t="s">
        <v>157</v>
      </c>
      <c r="M194" s="27"/>
      <c r="N194" s="27"/>
    </row>
    <row r="195">
      <c r="A195" s="40">
        <v>43903.0</v>
      </c>
      <c r="B195" s="41" t="s">
        <v>98</v>
      </c>
      <c r="C195" s="43" t="str">
        <f>VLOOKUP(A195,Table!A:B,2,false)</f>
        <v>P7 W4</v>
      </c>
      <c r="D195" s="43" t="str">
        <f>VLOOKUP(A195,Table!A:D,4,false)</f>
        <v>Period 7</v>
      </c>
      <c r="E195" s="70" t="s">
        <v>110</v>
      </c>
      <c r="F195" s="43">
        <v>0.9166666666666666</v>
      </c>
      <c r="G195" s="98">
        <v>0.15833333333333333</v>
      </c>
      <c r="H195" s="98">
        <v>0.19652777777777777</v>
      </c>
      <c r="I195" s="85">
        <v>0.26458333333333334</v>
      </c>
      <c r="J195" s="45">
        <f t="shared" si="3"/>
        <v>501</v>
      </c>
      <c r="L195" s="46" t="s">
        <v>158</v>
      </c>
      <c r="M195" s="27"/>
      <c r="N195" s="27"/>
    </row>
    <row r="196">
      <c r="A196" s="40">
        <v>43904.0</v>
      </c>
      <c r="B196" s="41" t="s">
        <v>99</v>
      </c>
      <c r="C196" s="43" t="str">
        <f>VLOOKUP(A196,Table!A:B,2,false)</f>
        <v>P7 W4</v>
      </c>
      <c r="D196" s="43" t="str">
        <f>VLOOKUP(A196,Table!A:D,4,false)</f>
        <v>Period 7</v>
      </c>
      <c r="E196" s="70" t="s">
        <v>110</v>
      </c>
      <c r="F196" s="43">
        <v>0.9166666666666666</v>
      </c>
      <c r="G196" s="98">
        <v>0.16041666666666668</v>
      </c>
      <c r="H196" s="98">
        <v>0.17569444444444443</v>
      </c>
      <c r="I196" s="85">
        <v>0.23055555555555557</v>
      </c>
      <c r="J196" s="45">
        <f t="shared" si="3"/>
        <v>452</v>
      </c>
      <c r="L196" s="46" t="s">
        <v>159</v>
      </c>
      <c r="M196" s="27"/>
      <c r="N196" s="27"/>
    </row>
    <row r="197">
      <c r="A197" s="40">
        <v>43905.0</v>
      </c>
      <c r="B197" s="41" t="s">
        <v>100</v>
      </c>
      <c r="C197" s="43" t="str">
        <f>VLOOKUP(A197,Table!A:B,2,false)</f>
        <v>P7 W4</v>
      </c>
      <c r="D197" s="43" t="str">
        <f>VLOOKUP(A197,Table!A:D,4,false)</f>
        <v>Period 7</v>
      </c>
      <c r="E197" s="70" t="s">
        <v>110</v>
      </c>
      <c r="F197" s="43">
        <v>0.9166666666666666</v>
      </c>
      <c r="G197" s="98">
        <v>0.22916666666666666</v>
      </c>
      <c r="H197" s="98">
        <v>0.2611111111111111</v>
      </c>
      <c r="I197" s="85">
        <v>0.3451388888888889</v>
      </c>
      <c r="J197" s="45">
        <f t="shared" si="3"/>
        <v>617</v>
      </c>
      <c r="L197" s="46" t="s">
        <v>160</v>
      </c>
      <c r="M197" s="27"/>
      <c r="N197" s="27"/>
    </row>
    <row r="198">
      <c r="A198" s="78">
        <v>43906.0</v>
      </c>
      <c r="B198" s="79" t="s">
        <v>92</v>
      </c>
      <c r="C198" s="54" t="str">
        <f>VLOOKUP(A198,Table!A:B,2,false)</f>
        <v>P8 W1</v>
      </c>
      <c r="D198" s="54" t="str">
        <f>VLOOKUP(A198,Table!A:D,4,false)</f>
        <v>Period 8</v>
      </c>
      <c r="E198" s="70" t="s">
        <v>93</v>
      </c>
      <c r="F198" s="54">
        <v>0.9166666666666666</v>
      </c>
      <c r="G198" s="98">
        <v>0.13541666666666666</v>
      </c>
      <c r="H198" s="98">
        <v>0.17083333333333334</v>
      </c>
      <c r="I198" s="85">
        <v>0.23055555555555557</v>
      </c>
      <c r="J198" s="45">
        <f t="shared" si="3"/>
        <v>452</v>
      </c>
      <c r="L198" s="46" t="s">
        <v>152</v>
      </c>
      <c r="M198" s="27"/>
      <c r="N198" s="27"/>
    </row>
    <row r="199">
      <c r="A199" s="40">
        <v>43907.0</v>
      </c>
      <c r="B199" s="41" t="s">
        <v>94</v>
      </c>
      <c r="C199" s="43" t="str">
        <f>VLOOKUP(A199,Table!A:B,2,false)</f>
        <v>P8 W1</v>
      </c>
      <c r="D199" s="43" t="str">
        <f>VLOOKUP(A199,Table!A:D,4,false)</f>
        <v>Period 8</v>
      </c>
      <c r="E199" s="70" t="s">
        <v>93</v>
      </c>
      <c r="F199" s="43">
        <v>0.9166666666666666</v>
      </c>
      <c r="G199" s="98">
        <v>0.15555555555555556</v>
      </c>
      <c r="H199" s="98">
        <v>0.18263888888888888</v>
      </c>
      <c r="I199" s="85">
        <v>0.2590277777777778</v>
      </c>
      <c r="J199" s="45">
        <f t="shared" si="3"/>
        <v>493</v>
      </c>
      <c r="L199" s="46" t="s">
        <v>154</v>
      </c>
      <c r="M199" s="27"/>
      <c r="N199" s="27"/>
    </row>
    <row r="200">
      <c r="A200" s="40">
        <v>43908.0</v>
      </c>
      <c r="B200" s="41" t="s">
        <v>96</v>
      </c>
      <c r="C200" s="43" t="str">
        <f>VLOOKUP(A200,Table!A:B,2,false)</f>
        <v>P8 W1</v>
      </c>
      <c r="D200" s="43" t="str">
        <f>VLOOKUP(A200,Table!A:D,4,false)</f>
        <v>Period 8</v>
      </c>
      <c r="E200" s="70" t="s">
        <v>93</v>
      </c>
      <c r="F200" s="43">
        <v>0.9166666666666666</v>
      </c>
      <c r="G200" s="98">
        <v>0.11319444444444444</v>
      </c>
      <c r="H200" s="98">
        <v>0.13819444444444445</v>
      </c>
      <c r="I200" s="85">
        <v>0.225</v>
      </c>
      <c r="J200" s="45">
        <f t="shared" si="3"/>
        <v>444</v>
      </c>
      <c r="L200" s="46" t="s">
        <v>156</v>
      </c>
      <c r="M200" s="27"/>
      <c r="N200" s="27"/>
    </row>
    <row r="201">
      <c r="A201" s="40">
        <v>43909.0</v>
      </c>
      <c r="B201" s="41" t="s">
        <v>97</v>
      </c>
      <c r="C201" s="43" t="str">
        <f>VLOOKUP(A201,Table!A:B,2,false)</f>
        <v>P8 W1</v>
      </c>
      <c r="D201" s="43" t="str">
        <f>VLOOKUP(A201,Table!A:D,4,false)</f>
        <v>Period 8</v>
      </c>
      <c r="E201" s="70" t="s">
        <v>93</v>
      </c>
      <c r="F201" s="43">
        <v>0.9166666666666666</v>
      </c>
      <c r="G201" s="98">
        <v>0.11319444444444444</v>
      </c>
      <c r="H201" s="98">
        <v>0.1361111111111111</v>
      </c>
      <c r="I201" s="85">
        <v>0.21388888888888888</v>
      </c>
      <c r="J201" s="45">
        <f t="shared" si="3"/>
        <v>428</v>
      </c>
      <c r="L201" s="46" t="s">
        <v>157</v>
      </c>
      <c r="M201" s="27"/>
      <c r="N201" s="27"/>
    </row>
    <row r="202">
      <c r="A202" s="40">
        <v>43910.0</v>
      </c>
      <c r="B202" s="41" t="s">
        <v>98</v>
      </c>
      <c r="C202" s="43" t="str">
        <f>VLOOKUP(A202,Table!A:B,2,false)</f>
        <v>P8 W1</v>
      </c>
      <c r="D202" s="43" t="str">
        <f>VLOOKUP(A202,Table!A:D,4,false)</f>
        <v>Period 8</v>
      </c>
      <c r="E202" s="70" t="s">
        <v>93</v>
      </c>
      <c r="F202" s="43">
        <v>0.9166666666666666</v>
      </c>
      <c r="G202" s="98">
        <v>0.13055555555555556</v>
      </c>
      <c r="H202" s="98">
        <v>0.1638888888888889</v>
      </c>
      <c r="I202" s="85">
        <v>0.24375</v>
      </c>
      <c r="J202" s="45">
        <f t="shared" si="3"/>
        <v>471</v>
      </c>
      <c r="L202" s="46" t="s">
        <v>158</v>
      </c>
      <c r="M202" s="27"/>
      <c r="N202" s="27"/>
    </row>
    <row r="203">
      <c r="A203" s="40">
        <v>43911.0</v>
      </c>
      <c r="B203" s="41" t="s">
        <v>99</v>
      </c>
      <c r="C203" s="43" t="str">
        <f>VLOOKUP(A203,Table!A:B,2,false)</f>
        <v>P8 W1</v>
      </c>
      <c r="D203" s="43" t="str">
        <f>VLOOKUP(A203,Table!A:D,4,false)</f>
        <v>Period 8</v>
      </c>
      <c r="E203" s="70" t="s">
        <v>93</v>
      </c>
      <c r="F203" s="43">
        <v>0.9166666666666666</v>
      </c>
      <c r="G203" s="98">
        <v>0.11666666666666667</v>
      </c>
      <c r="H203" s="98">
        <v>0.12986111111111112</v>
      </c>
      <c r="I203" s="85">
        <v>0.2125</v>
      </c>
      <c r="J203" s="45">
        <f t="shared" si="3"/>
        <v>426</v>
      </c>
      <c r="L203" s="46" t="s">
        <v>159</v>
      </c>
      <c r="M203" s="27"/>
      <c r="N203" s="27"/>
    </row>
    <row r="204">
      <c r="A204" s="40">
        <v>43912.0</v>
      </c>
      <c r="B204" s="41" t="s">
        <v>100</v>
      </c>
      <c r="C204" s="43" t="str">
        <f>VLOOKUP(A204,Table!A:B,2,false)</f>
        <v>P8 W1</v>
      </c>
      <c r="D204" s="43" t="str">
        <f>VLOOKUP(A204,Table!A:D,4,false)</f>
        <v>Period 8</v>
      </c>
      <c r="E204" s="70" t="s">
        <v>93</v>
      </c>
      <c r="F204" s="43">
        <v>0.9166666666666666</v>
      </c>
      <c r="G204" s="98">
        <v>0.14305555555555555</v>
      </c>
      <c r="H204" s="98">
        <v>0.17291666666666666</v>
      </c>
      <c r="I204" s="85">
        <v>0.25069444444444444</v>
      </c>
      <c r="J204" s="45">
        <f t="shared" si="3"/>
        <v>481</v>
      </c>
      <c r="L204" s="46" t="s">
        <v>160</v>
      </c>
      <c r="M204" s="27"/>
      <c r="N204" s="27"/>
    </row>
    <row r="205">
      <c r="A205" s="40">
        <v>43913.0</v>
      </c>
      <c r="B205" s="41" t="s">
        <v>92</v>
      </c>
      <c r="C205" s="43" t="str">
        <f>VLOOKUP(A205,Table!A:B,2,false)</f>
        <v>P8 W2</v>
      </c>
      <c r="D205" s="43" t="str">
        <f>VLOOKUP(A205,Table!A:D,4,false)</f>
        <v>Period 8</v>
      </c>
      <c r="E205" s="70" t="s">
        <v>101</v>
      </c>
      <c r="F205" s="43">
        <v>0.9166666666666666</v>
      </c>
      <c r="G205" s="98">
        <v>0.12986111111111112</v>
      </c>
      <c r="H205" s="98">
        <v>0.14930555555555555</v>
      </c>
      <c r="I205" s="85">
        <v>0.23402777777777778</v>
      </c>
      <c r="J205" s="45">
        <f t="shared" si="3"/>
        <v>457</v>
      </c>
      <c r="L205" s="46" t="s">
        <v>152</v>
      </c>
      <c r="M205" s="27"/>
      <c r="N205" s="27"/>
    </row>
    <row r="206">
      <c r="A206" s="40">
        <v>43914.0</v>
      </c>
      <c r="B206" s="41" t="s">
        <v>94</v>
      </c>
      <c r="C206" s="43" t="str">
        <f>VLOOKUP(A206,Table!A:B,2,false)</f>
        <v>P8 W2</v>
      </c>
      <c r="D206" s="43" t="str">
        <f>VLOOKUP(A206,Table!A:D,4,false)</f>
        <v>Period 8</v>
      </c>
      <c r="E206" s="70" t="s">
        <v>101</v>
      </c>
      <c r="F206" s="43">
        <v>0.9166666666666666</v>
      </c>
      <c r="G206" s="98">
        <v>0.11875</v>
      </c>
      <c r="H206" s="98">
        <v>0.14375</v>
      </c>
      <c r="I206" s="85">
        <v>0.225</v>
      </c>
      <c r="J206" s="45">
        <f t="shared" si="3"/>
        <v>444</v>
      </c>
      <c r="L206" s="46" t="s">
        <v>154</v>
      </c>
      <c r="M206" s="27"/>
      <c r="N206" s="27"/>
    </row>
    <row r="207">
      <c r="A207" s="40">
        <v>43915.0</v>
      </c>
      <c r="B207" s="41" t="s">
        <v>96</v>
      </c>
      <c r="C207" s="43" t="str">
        <f>VLOOKUP(A207,Table!A:B,2,false)</f>
        <v>P8 W2</v>
      </c>
      <c r="D207" s="43" t="str">
        <f>VLOOKUP(A207,Table!A:D,4,false)</f>
        <v>Period 8</v>
      </c>
      <c r="E207" s="70" t="s">
        <v>101</v>
      </c>
      <c r="F207" s="43">
        <v>0.9166666666666666</v>
      </c>
      <c r="G207" s="98">
        <v>0.13541666666666666</v>
      </c>
      <c r="H207" s="98">
        <v>0.15902777777777777</v>
      </c>
      <c r="I207" s="85">
        <v>0.24444444444444444</v>
      </c>
      <c r="J207" s="45">
        <f t="shared" si="3"/>
        <v>472</v>
      </c>
      <c r="L207" s="46" t="s">
        <v>156</v>
      </c>
      <c r="M207" s="27"/>
      <c r="N207" s="27"/>
    </row>
    <row r="208">
      <c r="A208" s="40">
        <v>43916.0</v>
      </c>
      <c r="B208" s="41" t="s">
        <v>97</v>
      </c>
      <c r="C208" s="43" t="str">
        <f>VLOOKUP(A208,Table!A:B,2,false)</f>
        <v>P8 W2</v>
      </c>
      <c r="D208" s="43" t="str">
        <f>VLOOKUP(A208,Table!A:D,4,false)</f>
        <v>Period 8</v>
      </c>
      <c r="E208" s="70" t="s">
        <v>101</v>
      </c>
      <c r="F208" s="43">
        <v>0.9166666666666666</v>
      </c>
      <c r="G208" s="98">
        <v>0.12986111111111112</v>
      </c>
      <c r="H208" s="98">
        <v>0.16597222222222222</v>
      </c>
      <c r="I208" s="85">
        <v>0.24305555555555555</v>
      </c>
      <c r="J208" s="45">
        <f t="shared" si="3"/>
        <v>470</v>
      </c>
      <c r="L208" s="46" t="s">
        <v>157</v>
      </c>
      <c r="M208" s="27"/>
      <c r="N208" s="27"/>
    </row>
    <row r="209">
      <c r="A209" s="40">
        <v>43917.0</v>
      </c>
      <c r="B209" s="41" t="s">
        <v>98</v>
      </c>
      <c r="C209" s="43" t="str">
        <f>VLOOKUP(A209,Table!A:B,2,false)</f>
        <v>P8 W2</v>
      </c>
      <c r="D209" s="43" t="str">
        <f>VLOOKUP(A209,Table!A:D,4,false)</f>
        <v>Period 8</v>
      </c>
      <c r="E209" s="70" t="s">
        <v>101</v>
      </c>
      <c r="F209" s="43">
        <v>0.9166666666666666</v>
      </c>
      <c r="G209" s="98">
        <v>0.16111111111111112</v>
      </c>
      <c r="H209" s="98">
        <v>0.1701388888888889</v>
      </c>
      <c r="I209" s="85">
        <v>0.2534722222222222</v>
      </c>
      <c r="J209" s="45">
        <f t="shared" si="3"/>
        <v>485</v>
      </c>
      <c r="L209" s="46" t="s">
        <v>158</v>
      </c>
      <c r="M209" s="27"/>
      <c r="N209" s="27"/>
    </row>
    <row r="210">
      <c r="A210" s="40">
        <v>43918.0</v>
      </c>
      <c r="B210" s="41" t="s">
        <v>99</v>
      </c>
      <c r="C210" s="43" t="str">
        <f>VLOOKUP(A210,Table!A:B,2,false)</f>
        <v>P8 W2</v>
      </c>
      <c r="D210" s="43" t="str">
        <f>VLOOKUP(A210,Table!A:D,4,false)</f>
        <v>Period 8</v>
      </c>
      <c r="E210" s="70" t="s">
        <v>101</v>
      </c>
      <c r="F210" s="43">
        <v>0.9166666666666666</v>
      </c>
      <c r="G210" s="98">
        <v>0.11944444444444445</v>
      </c>
      <c r="H210" s="98">
        <v>0.13472222222222222</v>
      </c>
      <c r="I210" s="85">
        <v>0.2152777777777778</v>
      </c>
      <c r="J210" s="45">
        <f t="shared" si="3"/>
        <v>430</v>
      </c>
      <c r="L210" s="46" t="s">
        <v>159</v>
      </c>
      <c r="M210" s="27"/>
      <c r="N210" s="27"/>
    </row>
    <row r="211">
      <c r="A211" s="40">
        <v>43919.0</v>
      </c>
      <c r="B211" s="41" t="s">
        <v>100</v>
      </c>
      <c r="C211" s="43" t="str">
        <f>VLOOKUP(A211,Table!A:B,2,false)</f>
        <v>P8 W2</v>
      </c>
      <c r="D211" s="43" t="str">
        <f>VLOOKUP(A211,Table!A:D,4,false)</f>
        <v>Period 8</v>
      </c>
      <c r="E211" s="70" t="s">
        <v>101</v>
      </c>
      <c r="F211" s="43">
        <v>0.9166666666666666</v>
      </c>
      <c r="G211" s="98">
        <v>0.19375</v>
      </c>
      <c r="H211" s="98">
        <v>0.22291666666666668</v>
      </c>
      <c r="I211" s="85">
        <v>0.30486111111111114</v>
      </c>
      <c r="J211" s="45">
        <f t="shared" si="3"/>
        <v>559</v>
      </c>
      <c r="L211" s="46" t="s">
        <v>160</v>
      </c>
      <c r="M211" s="27"/>
      <c r="N211" s="73" t="s">
        <v>147</v>
      </c>
    </row>
    <row r="212">
      <c r="A212" s="40">
        <v>43920.0</v>
      </c>
      <c r="B212" s="41" t="s">
        <v>92</v>
      </c>
      <c r="C212" s="43" t="str">
        <f>VLOOKUP(A212,Table!A:B,2,false)</f>
        <v>P8 W3</v>
      </c>
      <c r="D212" s="43" t="str">
        <f>VLOOKUP(A212,Table!A:D,4,false)</f>
        <v>Period 8</v>
      </c>
      <c r="E212" s="70" t="s">
        <v>106</v>
      </c>
      <c r="F212" s="43">
        <v>0.9166666666666666</v>
      </c>
      <c r="G212" s="98">
        <v>0.14444444444444443</v>
      </c>
      <c r="H212" s="98">
        <v>0.16805555555555557</v>
      </c>
      <c r="I212" s="85">
        <v>0.24861111111111112</v>
      </c>
      <c r="J212" s="45">
        <f t="shared" si="3"/>
        <v>478</v>
      </c>
      <c r="L212" s="46" t="s">
        <v>152</v>
      </c>
      <c r="M212" s="27"/>
      <c r="N212" s="27"/>
    </row>
    <row r="213">
      <c r="A213" s="40">
        <v>43921.0</v>
      </c>
      <c r="B213" s="41" t="s">
        <v>94</v>
      </c>
      <c r="C213" s="43" t="str">
        <f>VLOOKUP(A213,Table!A:B,2,false)</f>
        <v>P8 W3</v>
      </c>
      <c r="D213" s="43" t="str">
        <f>VLOOKUP(A213,Table!A:D,4,false)</f>
        <v>Period 8</v>
      </c>
      <c r="E213" s="70" t="s">
        <v>106</v>
      </c>
      <c r="F213" s="43">
        <v>0.9166666666666666</v>
      </c>
      <c r="G213" s="98">
        <v>0.14375</v>
      </c>
      <c r="H213" s="98">
        <v>0.17569444444444443</v>
      </c>
      <c r="I213" s="85">
        <v>0.25069444444444444</v>
      </c>
      <c r="J213" s="45">
        <f t="shared" si="3"/>
        <v>481</v>
      </c>
      <c r="L213" s="46" t="s">
        <v>154</v>
      </c>
      <c r="M213" s="27"/>
      <c r="N213" s="27"/>
    </row>
    <row r="214">
      <c r="A214" s="40">
        <v>43922.0</v>
      </c>
      <c r="B214" s="41" t="s">
        <v>96</v>
      </c>
      <c r="C214" s="43" t="str">
        <f>VLOOKUP(A214,Table!A:B,2,false)</f>
        <v>P8 W3</v>
      </c>
      <c r="D214" s="43" t="str">
        <f>VLOOKUP(A214,Table!A:D,4,false)</f>
        <v>Period 8</v>
      </c>
      <c r="E214" s="70" t="s">
        <v>106</v>
      </c>
      <c r="F214" s="43">
        <v>0.9166666666666666</v>
      </c>
      <c r="G214" s="98">
        <v>0.14097222222222222</v>
      </c>
      <c r="H214" s="98">
        <v>0.17291666666666666</v>
      </c>
      <c r="I214" s="85">
        <v>0.25625</v>
      </c>
      <c r="J214" s="45">
        <f t="shared" si="3"/>
        <v>489</v>
      </c>
      <c r="L214" s="46" t="s">
        <v>156</v>
      </c>
      <c r="M214" s="27"/>
      <c r="N214" s="27"/>
    </row>
    <row r="215">
      <c r="A215" s="40">
        <v>43923.0</v>
      </c>
      <c r="B215" s="41" t="s">
        <v>97</v>
      </c>
      <c r="C215" s="43" t="str">
        <f>VLOOKUP(A215,Table!A:B,2,false)</f>
        <v>P8 W3</v>
      </c>
      <c r="D215" s="43" t="str">
        <f>VLOOKUP(A215,Table!A:D,4,false)</f>
        <v>Period 8</v>
      </c>
      <c r="E215" s="70" t="s">
        <v>106</v>
      </c>
      <c r="F215" s="43">
        <v>0.9166666666666666</v>
      </c>
      <c r="G215" s="98">
        <v>0.2152777777777778</v>
      </c>
      <c r="H215" s="98">
        <v>0.24097222222222223</v>
      </c>
      <c r="I215" s="85">
        <v>0.32708333333333334</v>
      </c>
      <c r="J215" s="45">
        <f t="shared" si="3"/>
        <v>591</v>
      </c>
      <c r="L215" s="46" t="s">
        <v>157</v>
      </c>
      <c r="M215" s="73" t="s">
        <v>184</v>
      </c>
      <c r="N215" s="73" t="s">
        <v>139</v>
      </c>
    </row>
    <row r="216">
      <c r="A216" s="40">
        <v>43924.0</v>
      </c>
      <c r="B216" s="41" t="s">
        <v>98</v>
      </c>
      <c r="C216" s="43" t="str">
        <f>VLOOKUP(A216,Table!A:B,2,false)</f>
        <v>P8 W3</v>
      </c>
      <c r="D216" s="43" t="str">
        <f>VLOOKUP(A216,Table!A:D,4,false)</f>
        <v>Period 8</v>
      </c>
      <c r="E216" s="70" t="s">
        <v>106</v>
      </c>
      <c r="F216" s="43">
        <v>0.9166666666666666</v>
      </c>
      <c r="G216" s="98">
        <v>0.1597222222222222</v>
      </c>
      <c r="H216" s="98">
        <v>0.17916666666666667</v>
      </c>
      <c r="I216" s="85">
        <v>0.27291666666666664</v>
      </c>
      <c r="J216" s="45">
        <f t="shared" si="3"/>
        <v>513</v>
      </c>
      <c r="L216" s="46" t="s">
        <v>158</v>
      </c>
      <c r="M216" s="73"/>
      <c r="N216" s="73" t="s">
        <v>139</v>
      </c>
    </row>
    <row r="217">
      <c r="A217" s="40">
        <v>43925.0</v>
      </c>
      <c r="B217" s="41" t="s">
        <v>99</v>
      </c>
      <c r="C217" s="43" t="str">
        <f>VLOOKUP(A217,Table!A:B,2,false)</f>
        <v>P8 W3</v>
      </c>
      <c r="D217" s="43" t="str">
        <f>VLOOKUP(A217,Table!A:D,4,false)</f>
        <v>Period 8</v>
      </c>
      <c r="E217" s="70" t="s">
        <v>106</v>
      </c>
      <c r="F217" s="43">
        <v>0.9166666666666666</v>
      </c>
      <c r="G217" s="98">
        <v>0.40902777777777777</v>
      </c>
      <c r="H217" s="98">
        <v>0.45208333333333334</v>
      </c>
      <c r="I217" s="85">
        <v>0.5256944444444445</v>
      </c>
      <c r="J217" s="45">
        <f t="shared" si="3"/>
        <v>877</v>
      </c>
      <c r="L217" s="46" t="s">
        <v>159</v>
      </c>
      <c r="M217" s="73"/>
      <c r="N217" s="73" t="s">
        <v>139</v>
      </c>
    </row>
    <row r="218">
      <c r="A218" s="40">
        <v>43926.0</v>
      </c>
      <c r="B218" s="41" t="s">
        <v>100</v>
      </c>
      <c r="C218" s="43" t="str">
        <f>VLOOKUP(A218,Table!A:B,2,false)</f>
        <v>P8 W3</v>
      </c>
      <c r="D218" s="43" t="str">
        <f>VLOOKUP(A218,Table!A:D,4,false)</f>
        <v>Period 8</v>
      </c>
      <c r="E218" s="70" t="s">
        <v>106</v>
      </c>
      <c r="F218" s="43">
        <v>0.9166666666666666</v>
      </c>
      <c r="G218" s="98">
        <v>0.15347222222222223</v>
      </c>
      <c r="H218" s="98">
        <v>0.18333333333333332</v>
      </c>
      <c r="I218" s="85">
        <v>0.24930555555555556</v>
      </c>
      <c r="J218" s="45">
        <f t="shared" si="3"/>
        <v>479</v>
      </c>
      <c r="L218" s="46" t="s">
        <v>160</v>
      </c>
      <c r="M218" s="27"/>
      <c r="N218" s="27"/>
    </row>
    <row r="219">
      <c r="A219" s="40">
        <v>43927.0</v>
      </c>
      <c r="B219" s="41" t="s">
        <v>92</v>
      </c>
      <c r="C219" s="43" t="str">
        <f>VLOOKUP(A219,Table!A:B,2,false)</f>
        <v>P8 W4</v>
      </c>
      <c r="D219" s="43" t="str">
        <f>VLOOKUP(A219,Table!A:D,4,false)</f>
        <v>Period 8</v>
      </c>
      <c r="E219" s="70" t="s">
        <v>110</v>
      </c>
      <c r="F219" s="43">
        <v>0.9166666666666666</v>
      </c>
      <c r="G219" s="98">
        <v>0.1326388888888889</v>
      </c>
      <c r="H219" s="98">
        <v>0.14791666666666667</v>
      </c>
      <c r="I219" s="85">
        <v>0.22847222222222222</v>
      </c>
      <c r="J219" s="45">
        <f t="shared" si="3"/>
        <v>449</v>
      </c>
      <c r="L219" s="46" t="s">
        <v>152</v>
      </c>
      <c r="M219" s="27"/>
      <c r="N219" s="27"/>
    </row>
    <row r="220">
      <c r="A220" s="40">
        <v>43928.0</v>
      </c>
      <c r="B220" s="41" t="s">
        <v>94</v>
      </c>
      <c r="C220" s="43" t="str">
        <f>VLOOKUP(A220,Table!A:B,2,false)</f>
        <v>P8 W4</v>
      </c>
      <c r="D220" s="43" t="str">
        <f>VLOOKUP(A220,Table!A:D,4,false)</f>
        <v>Period 8</v>
      </c>
      <c r="E220" s="70" t="s">
        <v>110</v>
      </c>
      <c r="F220" s="43">
        <v>0.9166666666666666</v>
      </c>
      <c r="G220" s="98">
        <v>0.17222222222222222</v>
      </c>
      <c r="H220" s="98">
        <v>0.20208333333333334</v>
      </c>
      <c r="I220" s="85">
        <v>0.2791666666666667</v>
      </c>
      <c r="J220" s="45">
        <f t="shared" si="3"/>
        <v>522</v>
      </c>
      <c r="L220" s="46" t="s">
        <v>154</v>
      </c>
      <c r="M220" s="27"/>
      <c r="N220" s="73" t="s">
        <v>139</v>
      </c>
    </row>
    <row r="221">
      <c r="A221" s="40">
        <v>43929.0</v>
      </c>
      <c r="B221" s="41" t="s">
        <v>96</v>
      </c>
      <c r="C221" s="43" t="str">
        <f>VLOOKUP(A221,Table!A:B,2,false)</f>
        <v>P8 W4</v>
      </c>
      <c r="D221" s="43" t="str">
        <f>VLOOKUP(A221,Table!A:D,4,false)</f>
        <v>Period 8</v>
      </c>
      <c r="E221" s="70" t="s">
        <v>110</v>
      </c>
      <c r="F221" s="43">
        <v>0.9166666666666666</v>
      </c>
      <c r="G221" s="98">
        <v>0.18194444444444444</v>
      </c>
      <c r="H221" s="98">
        <v>0.21666666666666667</v>
      </c>
      <c r="I221" s="85">
        <v>0.27708333333333335</v>
      </c>
      <c r="J221" s="45">
        <f t="shared" si="3"/>
        <v>519</v>
      </c>
      <c r="L221" s="46" t="s">
        <v>156</v>
      </c>
      <c r="M221" s="27"/>
      <c r="N221" s="73" t="s">
        <v>139</v>
      </c>
    </row>
    <row r="222">
      <c r="A222" s="40">
        <v>43930.0</v>
      </c>
      <c r="B222" s="41" t="s">
        <v>97</v>
      </c>
      <c r="C222" s="43" t="str">
        <f>VLOOKUP(A222,Table!A:B,2,false)</f>
        <v>P8 W4</v>
      </c>
      <c r="D222" s="43" t="str">
        <f>VLOOKUP(A222,Table!A:D,4,false)</f>
        <v>Period 8</v>
      </c>
      <c r="E222" s="70" t="s">
        <v>110</v>
      </c>
      <c r="F222" s="43">
        <v>0.9166666666666666</v>
      </c>
      <c r="G222" s="98">
        <v>0.21041666666666667</v>
      </c>
      <c r="H222" s="98">
        <v>0.2361111111111111</v>
      </c>
      <c r="I222" s="85">
        <v>0.3215277777777778</v>
      </c>
      <c r="J222" s="45">
        <f t="shared" si="3"/>
        <v>583</v>
      </c>
      <c r="L222" s="46" t="s">
        <v>157</v>
      </c>
      <c r="M222" s="101"/>
      <c r="N222" s="73" t="s">
        <v>139</v>
      </c>
    </row>
    <row r="223">
      <c r="A223" s="40">
        <v>43931.0</v>
      </c>
      <c r="B223" s="41" t="s">
        <v>98</v>
      </c>
      <c r="C223" s="43" t="str">
        <f>VLOOKUP(A223,Table!A:B,2,false)</f>
        <v>P8 W4</v>
      </c>
      <c r="D223" s="43" t="str">
        <f>VLOOKUP(A223,Table!A:D,4,false)</f>
        <v>Period 8</v>
      </c>
      <c r="E223" s="70" t="s">
        <v>110</v>
      </c>
      <c r="F223" s="43">
        <v>0.9166666666666666</v>
      </c>
      <c r="G223" s="98">
        <v>0.22916666666666666</v>
      </c>
      <c r="H223" s="98">
        <v>0.24861111111111112</v>
      </c>
      <c r="I223" s="85">
        <v>0.33611111111111114</v>
      </c>
      <c r="J223" s="45">
        <f t="shared" si="3"/>
        <v>604</v>
      </c>
      <c r="L223" s="46" t="s">
        <v>158</v>
      </c>
      <c r="M223" s="27"/>
      <c r="N223" s="73" t="s">
        <v>139</v>
      </c>
    </row>
    <row r="224">
      <c r="A224" s="40">
        <v>43932.0</v>
      </c>
      <c r="B224" s="41" t="s">
        <v>99</v>
      </c>
      <c r="C224" s="43" t="str">
        <f>VLOOKUP(A224,Table!A:B,2,false)</f>
        <v>P8 W4</v>
      </c>
      <c r="D224" s="43" t="str">
        <f>VLOOKUP(A224,Table!A:D,4,false)</f>
        <v>Period 8</v>
      </c>
      <c r="E224" s="70" t="s">
        <v>110</v>
      </c>
      <c r="F224" s="43">
        <v>0.9166666666666666</v>
      </c>
      <c r="G224" s="98">
        <v>0.22083333333333333</v>
      </c>
      <c r="H224" s="98">
        <v>0.2423611111111111</v>
      </c>
      <c r="I224" s="85">
        <v>0.3055555555555556</v>
      </c>
      <c r="J224" s="45">
        <f t="shared" si="3"/>
        <v>560</v>
      </c>
      <c r="L224" s="46" t="s">
        <v>159</v>
      </c>
      <c r="M224" s="27"/>
      <c r="N224" s="73" t="s">
        <v>139</v>
      </c>
    </row>
    <row r="225">
      <c r="A225" s="40">
        <v>43933.0</v>
      </c>
      <c r="B225" s="41" t="s">
        <v>100</v>
      </c>
      <c r="C225" s="43" t="str">
        <f>VLOOKUP(A225,Table!A:B,2,false)</f>
        <v>P8 W4</v>
      </c>
      <c r="D225" s="43" t="str">
        <f>VLOOKUP(A225,Table!A:D,4,false)</f>
        <v>Period 8</v>
      </c>
      <c r="E225" s="70" t="s">
        <v>110</v>
      </c>
      <c r="F225" s="43">
        <v>0.9166666666666666</v>
      </c>
      <c r="G225" s="98">
        <v>0.1736111111111111</v>
      </c>
      <c r="H225" s="98">
        <v>0.20833333333333334</v>
      </c>
      <c r="I225" s="85">
        <v>0.2569444444444444</v>
      </c>
      <c r="J225" s="45">
        <f t="shared" si="3"/>
        <v>490</v>
      </c>
      <c r="L225" s="46" t="s">
        <v>160</v>
      </c>
      <c r="M225" s="74"/>
      <c r="N225" s="27"/>
    </row>
    <row r="226">
      <c r="A226" s="78">
        <v>43934.0</v>
      </c>
      <c r="B226" s="79" t="s">
        <v>92</v>
      </c>
      <c r="C226" s="54" t="str">
        <f>VLOOKUP(A226,Table!A:B,2,false)</f>
        <v>P9 W1</v>
      </c>
      <c r="D226" s="54" t="str">
        <f>VLOOKUP(A226,Table!A:D,4,false)</f>
        <v>Period 9</v>
      </c>
      <c r="E226" s="70" t="s">
        <v>93</v>
      </c>
      <c r="F226" s="54">
        <v>0.9166666666666666</v>
      </c>
      <c r="G226" s="98">
        <v>0.1527777777777778</v>
      </c>
      <c r="H226" s="98">
        <v>0.1840277777777778</v>
      </c>
      <c r="I226" s="85">
        <v>0.24444444444444444</v>
      </c>
      <c r="J226" s="45">
        <f t="shared" si="3"/>
        <v>472</v>
      </c>
      <c r="L226" s="46" t="s">
        <v>152</v>
      </c>
      <c r="M226" s="27"/>
      <c r="N226" s="27"/>
    </row>
    <row r="227">
      <c r="A227" s="40">
        <v>43935.0</v>
      </c>
      <c r="B227" s="41" t="s">
        <v>94</v>
      </c>
      <c r="C227" s="43" t="str">
        <f>VLOOKUP(A227,Table!A:B,2,false)</f>
        <v>P9 W1</v>
      </c>
      <c r="D227" s="43" t="str">
        <f>VLOOKUP(A227,Table!A:D,4,false)</f>
        <v>Period 9</v>
      </c>
      <c r="E227" s="70" t="s">
        <v>93</v>
      </c>
      <c r="F227" s="43">
        <v>0.9166666666666666</v>
      </c>
      <c r="G227" s="98">
        <v>0.2777777777777778</v>
      </c>
      <c r="H227" s="98">
        <v>0.3034722222222222</v>
      </c>
      <c r="I227" s="85">
        <v>0.39305555555555555</v>
      </c>
      <c r="J227" s="45">
        <f t="shared" si="3"/>
        <v>686</v>
      </c>
      <c r="L227" s="46" t="s">
        <v>154</v>
      </c>
      <c r="M227" s="73" t="s">
        <v>185</v>
      </c>
      <c r="N227" s="73" t="s">
        <v>139</v>
      </c>
    </row>
    <row r="228">
      <c r="A228" s="40">
        <v>43936.0</v>
      </c>
      <c r="B228" s="41" t="s">
        <v>96</v>
      </c>
      <c r="C228" s="43" t="str">
        <f>VLOOKUP(A228,Table!A:B,2,false)</f>
        <v>P9 W1</v>
      </c>
      <c r="D228" s="43" t="str">
        <f>VLOOKUP(A228,Table!A:D,4,false)</f>
        <v>Period 9</v>
      </c>
      <c r="E228" s="70" t="s">
        <v>93</v>
      </c>
      <c r="F228" s="43">
        <v>0.9166666666666666</v>
      </c>
      <c r="G228" s="98">
        <v>0.22916666666666666</v>
      </c>
      <c r="H228" s="98">
        <v>0.25416666666666665</v>
      </c>
      <c r="I228" s="85">
        <v>0.33958333333333335</v>
      </c>
      <c r="J228" s="45">
        <f t="shared" si="3"/>
        <v>609</v>
      </c>
      <c r="L228" s="46" t="s">
        <v>156</v>
      </c>
      <c r="M228" s="73" t="s">
        <v>184</v>
      </c>
      <c r="N228" s="73" t="s">
        <v>139</v>
      </c>
    </row>
    <row r="229">
      <c r="A229" s="40">
        <v>43937.0</v>
      </c>
      <c r="B229" s="41" t="s">
        <v>97</v>
      </c>
      <c r="C229" s="43" t="str">
        <f>VLOOKUP(A229,Table!A:B,2,false)</f>
        <v>P9 W1</v>
      </c>
      <c r="D229" s="43" t="str">
        <f>VLOOKUP(A229,Table!A:D,4,false)</f>
        <v>Period 9</v>
      </c>
      <c r="E229" s="70" t="s">
        <v>93</v>
      </c>
      <c r="F229" s="43">
        <v>0.9166666666666666</v>
      </c>
      <c r="G229" s="98">
        <v>0.22430555555555556</v>
      </c>
      <c r="H229" s="98">
        <v>0.24791666666666667</v>
      </c>
      <c r="I229" s="85">
        <v>0.32916666666666666</v>
      </c>
      <c r="J229" s="45">
        <f t="shared" si="3"/>
        <v>594</v>
      </c>
      <c r="L229" s="46" t="s">
        <v>157</v>
      </c>
      <c r="M229" s="73" t="s">
        <v>184</v>
      </c>
      <c r="N229" s="73" t="s">
        <v>139</v>
      </c>
    </row>
    <row r="230">
      <c r="A230" s="40">
        <v>43938.0</v>
      </c>
      <c r="B230" s="41" t="s">
        <v>98</v>
      </c>
      <c r="C230" s="43" t="str">
        <f>VLOOKUP(A230,Table!A:B,2,false)</f>
        <v>P9 W1</v>
      </c>
      <c r="D230" s="43" t="str">
        <f>VLOOKUP(A230,Table!A:D,4,false)</f>
        <v>Period 9</v>
      </c>
      <c r="E230" s="70" t="s">
        <v>93</v>
      </c>
      <c r="F230" s="43">
        <v>0.9166666666666666</v>
      </c>
      <c r="G230" s="98">
        <v>0.23680555555555555</v>
      </c>
      <c r="H230" s="98">
        <v>0.2625</v>
      </c>
      <c r="I230" s="85">
        <v>0.35208333333333336</v>
      </c>
      <c r="J230" s="45">
        <f t="shared" si="3"/>
        <v>627</v>
      </c>
      <c r="L230" s="46" t="s">
        <v>158</v>
      </c>
      <c r="M230" s="73" t="s">
        <v>184</v>
      </c>
      <c r="N230" s="73" t="s">
        <v>139</v>
      </c>
    </row>
    <row r="231">
      <c r="A231" s="40">
        <v>43939.0</v>
      </c>
      <c r="B231" s="41" t="s">
        <v>99</v>
      </c>
      <c r="C231" s="43" t="str">
        <f>VLOOKUP(A231,Table!A:B,2,false)</f>
        <v>P9 W1</v>
      </c>
      <c r="D231" s="43" t="str">
        <f>VLOOKUP(A231,Table!A:D,4,false)</f>
        <v>Period 9</v>
      </c>
      <c r="E231" s="70" t="s">
        <v>93</v>
      </c>
      <c r="F231" s="43">
        <v>0.9166666666666666</v>
      </c>
      <c r="G231" s="98">
        <v>0.35347222222222224</v>
      </c>
      <c r="H231" s="98">
        <v>0.3763888888888889</v>
      </c>
      <c r="I231" s="85">
        <v>0.4597222222222222</v>
      </c>
      <c r="J231" s="45">
        <f t="shared" si="3"/>
        <v>782</v>
      </c>
      <c r="L231" s="46" t="s">
        <v>159</v>
      </c>
      <c r="M231" s="73" t="s">
        <v>184</v>
      </c>
      <c r="N231" s="73" t="s">
        <v>139</v>
      </c>
    </row>
    <row r="232">
      <c r="A232" s="40">
        <v>43940.0</v>
      </c>
      <c r="B232" s="41" t="s">
        <v>100</v>
      </c>
      <c r="C232" s="43" t="str">
        <f>VLOOKUP(A232,Table!A:B,2,false)</f>
        <v>P9 W1</v>
      </c>
      <c r="D232" s="43" t="str">
        <f>VLOOKUP(A232,Table!A:D,4,false)</f>
        <v>Period 9</v>
      </c>
      <c r="E232" s="70" t="s">
        <v>93</v>
      </c>
      <c r="F232" s="43">
        <v>0.9166666666666666</v>
      </c>
      <c r="G232" s="98">
        <v>0.20555555555555555</v>
      </c>
      <c r="H232" s="98">
        <v>0.23541666666666666</v>
      </c>
      <c r="I232" s="85">
        <v>0.30694444444444446</v>
      </c>
      <c r="J232" s="45">
        <f t="shared" si="3"/>
        <v>562</v>
      </c>
      <c r="L232" s="46" t="s">
        <v>160</v>
      </c>
      <c r="M232" s="27"/>
      <c r="N232" s="73" t="s">
        <v>139</v>
      </c>
    </row>
    <row r="233">
      <c r="A233" s="40">
        <v>43941.0</v>
      </c>
      <c r="B233" s="41" t="s">
        <v>92</v>
      </c>
      <c r="C233" s="43" t="str">
        <f>VLOOKUP(A233,Table!A:B,2,false)</f>
        <v>P9 W2</v>
      </c>
      <c r="D233" s="43" t="str">
        <f>VLOOKUP(A233,Table!A:D,4,false)</f>
        <v>Period 9</v>
      </c>
      <c r="E233" s="70" t="s">
        <v>101</v>
      </c>
      <c r="F233" s="43">
        <v>0.9166666666666666</v>
      </c>
      <c r="G233" s="98">
        <v>0.15902777777777777</v>
      </c>
      <c r="H233" s="98">
        <v>0.1840277777777778</v>
      </c>
      <c r="I233" s="85">
        <v>0.2625</v>
      </c>
      <c r="J233" s="45">
        <f t="shared" si="3"/>
        <v>498</v>
      </c>
      <c r="L233" s="46" t="s">
        <v>152</v>
      </c>
      <c r="M233" s="27"/>
      <c r="N233" s="27"/>
    </row>
    <row r="234">
      <c r="A234" s="40">
        <v>43942.0</v>
      </c>
      <c r="B234" s="41" t="s">
        <v>94</v>
      </c>
      <c r="C234" s="43" t="str">
        <f>VLOOKUP(A234,Table!A:B,2,false)</f>
        <v>P9 W2</v>
      </c>
      <c r="D234" s="43" t="str">
        <f>VLOOKUP(A234,Table!A:D,4,false)</f>
        <v>Period 9</v>
      </c>
      <c r="E234" s="70" t="s">
        <v>101</v>
      </c>
      <c r="F234" s="43">
        <v>0.9166666666666666</v>
      </c>
      <c r="G234" s="98">
        <v>0.22777777777777777</v>
      </c>
      <c r="H234" s="98">
        <v>0.2798611111111111</v>
      </c>
      <c r="I234" s="85">
        <v>0.3451388888888889</v>
      </c>
      <c r="J234" s="45">
        <f t="shared" si="3"/>
        <v>617</v>
      </c>
      <c r="L234" s="46" t="s">
        <v>154</v>
      </c>
      <c r="M234" s="27"/>
      <c r="N234" s="27"/>
    </row>
    <row r="235">
      <c r="A235" s="40">
        <v>43943.0</v>
      </c>
      <c r="B235" s="41" t="s">
        <v>96</v>
      </c>
      <c r="C235" s="43" t="str">
        <f>VLOOKUP(A235,Table!A:B,2,false)</f>
        <v>P9 W2</v>
      </c>
      <c r="D235" s="43" t="str">
        <f>VLOOKUP(A235,Table!A:D,4,false)</f>
        <v>Period 9</v>
      </c>
      <c r="E235" s="70" t="s">
        <v>101</v>
      </c>
      <c r="F235" s="43">
        <v>0.9166666666666666</v>
      </c>
      <c r="G235" s="98">
        <v>0.2569444444444444</v>
      </c>
      <c r="H235" s="98">
        <v>0.2861111111111111</v>
      </c>
      <c r="I235" s="85">
        <v>0.3715277777777778</v>
      </c>
      <c r="J235" s="45">
        <f t="shared" si="3"/>
        <v>655</v>
      </c>
      <c r="L235" s="46" t="s">
        <v>156</v>
      </c>
      <c r="M235" s="27"/>
      <c r="N235" s="27"/>
    </row>
    <row r="236">
      <c r="A236" s="40">
        <v>43944.0</v>
      </c>
      <c r="B236" s="41" t="s">
        <v>97</v>
      </c>
      <c r="C236" s="43" t="str">
        <f>VLOOKUP(A236,Table!A:B,2,false)</f>
        <v>P9 W2</v>
      </c>
      <c r="D236" s="43" t="str">
        <f>VLOOKUP(A236,Table!A:D,4,false)</f>
        <v>Period 9</v>
      </c>
      <c r="E236" s="70" t="s">
        <v>101</v>
      </c>
      <c r="F236" s="43">
        <v>0.9166666666666666</v>
      </c>
      <c r="G236" s="98">
        <v>0.22777777777777777</v>
      </c>
      <c r="H236" s="98">
        <v>0.29375</v>
      </c>
      <c r="I236" s="85">
        <v>0.3145833333333333</v>
      </c>
      <c r="J236" s="45">
        <f t="shared" si="3"/>
        <v>573</v>
      </c>
      <c r="L236" s="46" t="s">
        <v>157</v>
      </c>
      <c r="M236" s="27"/>
      <c r="N236" s="27"/>
    </row>
    <row r="237">
      <c r="A237" s="40">
        <v>43945.0</v>
      </c>
      <c r="B237" s="41" t="s">
        <v>98</v>
      </c>
      <c r="C237" s="43" t="str">
        <f>VLOOKUP(A237,Table!A:B,2,false)</f>
        <v>P9 W2</v>
      </c>
      <c r="D237" s="43" t="str">
        <f>VLOOKUP(A237,Table!A:D,4,false)</f>
        <v>Period 9</v>
      </c>
      <c r="E237" s="70" t="s">
        <v>101</v>
      </c>
      <c r="F237" s="43">
        <v>0.9166666666666666</v>
      </c>
      <c r="G237" s="98">
        <v>0.16319444444444445</v>
      </c>
      <c r="H237" s="98">
        <v>0.18819444444444444</v>
      </c>
      <c r="I237" s="85">
        <v>0.27708333333333335</v>
      </c>
      <c r="J237" s="45">
        <f t="shared" si="3"/>
        <v>519</v>
      </c>
      <c r="L237" s="46" t="s">
        <v>158</v>
      </c>
      <c r="M237" s="27"/>
      <c r="N237" s="27"/>
    </row>
    <row r="238">
      <c r="A238" s="40">
        <v>43946.0</v>
      </c>
      <c r="B238" s="41" t="s">
        <v>99</v>
      </c>
      <c r="C238" s="43" t="str">
        <f>VLOOKUP(A238,Table!A:B,2,false)</f>
        <v>P9 W2</v>
      </c>
      <c r="D238" s="43" t="str">
        <f>VLOOKUP(A238,Table!A:D,4,false)</f>
        <v>Period 9</v>
      </c>
      <c r="E238" s="70" t="s">
        <v>101</v>
      </c>
      <c r="F238" s="43">
        <v>0.9166666666666666</v>
      </c>
      <c r="G238" s="98">
        <v>0.24930555555555556</v>
      </c>
      <c r="H238" s="98">
        <v>0.27291666666666664</v>
      </c>
      <c r="I238" s="85">
        <v>0.35138888888888886</v>
      </c>
      <c r="J238" s="45">
        <f t="shared" si="3"/>
        <v>626</v>
      </c>
      <c r="L238" s="46" t="s">
        <v>159</v>
      </c>
      <c r="M238" s="27"/>
      <c r="N238" s="27"/>
    </row>
    <row r="239">
      <c r="A239" s="40">
        <v>43947.0</v>
      </c>
      <c r="B239" s="41" t="s">
        <v>100</v>
      </c>
      <c r="C239" s="43" t="str">
        <f>VLOOKUP(A239,Table!A:B,2,false)</f>
        <v>P9 W2</v>
      </c>
      <c r="D239" s="43" t="str">
        <f>VLOOKUP(A239,Table!A:D,4,false)</f>
        <v>Period 9</v>
      </c>
      <c r="E239" s="70" t="s">
        <v>101</v>
      </c>
      <c r="F239" s="43">
        <v>0.9166666666666666</v>
      </c>
      <c r="G239" s="98">
        <v>0.19027777777777777</v>
      </c>
      <c r="H239" s="98">
        <v>0.22361111111111112</v>
      </c>
      <c r="I239" s="85">
        <v>0.3013888888888889</v>
      </c>
      <c r="J239" s="45">
        <f t="shared" si="3"/>
        <v>554</v>
      </c>
      <c r="L239" s="46" t="s">
        <v>160</v>
      </c>
      <c r="M239" s="27"/>
      <c r="N239" s="27"/>
    </row>
    <row r="240">
      <c r="A240" s="40">
        <v>43948.0</v>
      </c>
      <c r="B240" s="41" t="s">
        <v>92</v>
      </c>
      <c r="C240" s="43" t="str">
        <f>VLOOKUP(A240,Table!A:B,2,false)</f>
        <v>P9 W3</v>
      </c>
      <c r="D240" s="43" t="str">
        <f>VLOOKUP(A240,Table!A:D,4,false)</f>
        <v>Period 9</v>
      </c>
      <c r="E240" s="70" t="s">
        <v>106</v>
      </c>
      <c r="F240" s="43">
        <v>0.9166666666666666</v>
      </c>
      <c r="G240" s="98">
        <v>0.16875</v>
      </c>
      <c r="H240" s="98">
        <v>0.1986111111111111</v>
      </c>
      <c r="I240" s="85">
        <v>0.27291666666666664</v>
      </c>
      <c r="J240" s="45">
        <f t="shared" si="3"/>
        <v>513</v>
      </c>
      <c r="L240" s="46" t="s">
        <v>152</v>
      </c>
      <c r="M240" s="74"/>
      <c r="N240" s="27"/>
    </row>
    <row r="241">
      <c r="A241" s="40">
        <v>43949.0</v>
      </c>
      <c r="B241" s="41" t="s">
        <v>94</v>
      </c>
      <c r="C241" s="43" t="str">
        <f>VLOOKUP(A241,Table!A:B,2,false)</f>
        <v>P9 W3</v>
      </c>
      <c r="D241" s="43" t="str">
        <f>VLOOKUP(A241,Table!A:D,4,false)</f>
        <v>Period 9</v>
      </c>
      <c r="E241" s="70" t="s">
        <v>106</v>
      </c>
      <c r="F241" s="43">
        <v>0.9166666666666666</v>
      </c>
      <c r="G241" s="98">
        <v>0.1527777777777778</v>
      </c>
      <c r="H241" s="98">
        <v>0.18472222222222223</v>
      </c>
      <c r="I241" s="85">
        <v>0.2611111111111111</v>
      </c>
      <c r="J241" s="45">
        <f t="shared" si="3"/>
        <v>496</v>
      </c>
      <c r="L241" s="46" t="s">
        <v>154</v>
      </c>
      <c r="M241" s="74"/>
      <c r="N241" s="27"/>
    </row>
    <row r="242">
      <c r="A242" s="40">
        <v>43950.0</v>
      </c>
      <c r="B242" s="41" t="s">
        <v>96</v>
      </c>
      <c r="C242" s="43" t="str">
        <f>VLOOKUP(A242,Table!A:B,2,false)</f>
        <v>P9 W3</v>
      </c>
      <c r="D242" s="43" t="str">
        <f>VLOOKUP(A242,Table!A:D,4,false)</f>
        <v>Period 9</v>
      </c>
      <c r="E242" s="70" t="s">
        <v>106</v>
      </c>
      <c r="F242" s="43">
        <v>0.9166666666666666</v>
      </c>
      <c r="G242" s="98">
        <v>0.17222222222222222</v>
      </c>
      <c r="H242" s="98">
        <v>0.21041666666666667</v>
      </c>
      <c r="I242" s="85">
        <v>0.2833333333333333</v>
      </c>
      <c r="J242" s="45">
        <f t="shared" si="3"/>
        <v>528</v>
      </c>
      <c r="L242" s="46" t="s">
        <v>156</v>
      </c>
      <c r="M242" s="27"/>
      <c r="N242" s="27"/>
    </row>
    <row r="243">
      <c r="A243" s="40">
        <v>43951.0</v>
      </c>
      <c r="B243" s="41" t="s">
        <v>97</v>
      </c>
      <c r="C243" s="43" t="str">
        <f>VLOOKUP(A243,Table!A:B,2,false)</f>
        <v>P9 W3</v>
      </c>
      <c r="D243" s="43" t="str">
        <f>VLOOKUP(A243,Table!A:D,4,false)</f>
        <v>Period 9</v>
      </c>
      <c r="E243" s="70" t="s">
        <v>106</v>
      </c>
      <c r="F243" s="43">
        <v>0.9166666666666666</v>
      </c>
      <c r="G243" s="98">
        <v>0.12708333333333333</v>
      </c>
      <c r="H243" s="98">
        <v>0.15486111111111112</v>
      </c>
      <c r="I243" s="85">
        <v>0.2361111111111111</v>
      </c>
      <c r="J243" s="45">
        <f t="shared" si="3"/>
        <v>460</v>
      </c>
      <c r="L243" s="46" t="s">
        <v>157</v>
      </c>
      <c r="M243" s="27"/>
      <c r="N243" s="27"/>
    </row>
    <row r="244">
      <c r="A244" s="40">
        <v>43952.0</v>
      </c>
      <c r="B244" s="41" t="s">
        <v>98</v>
      </c>
      <c r="C244" s="43" t="str">
        <f>VLOOKUP(A244,Table!A:B,2,false)</f>
        <v>P9 W3</v>
      </c>
      <c r="D244" s="43" t="str">
        <f>VLOOKUP(A244,Table!A:D,4,false)</f>
        <v>Period 9</v>
      </c>
      <c r="E244" s="70" t="s">
        <v>106</v>
      </c>
      <c r="F244" s="43">
        <v>0.9166666666666666</v>
      </c>
      <c r="G244" s="98">
        <v>0.18958333333333333</v>
      </c>
      <c r="H244" s="98">
        <v>0.21666666666666667</v>
      </c>
      <c r="I244" s="85">
        <v>0.3104166666666667</v>
      </c>
      <c r="J244" s="45">
        <f t="shared" si="3"/>
        <v>567</v>
      </c>
      <c r="L244" s="46" t="s">
        <v>158</v>
      </c>
      <c r="M244" s="27"/>
      <c r="N244" s="27"/>
    </row>
    <row r="245">
      <c r="A245" s="40">
        <v>43953.0</v>
      </c>
      <c r="B245" s="41" t="s">
        <v>99</v>
      </c>
      <c r="C245" s="43" t="str">
        <f>VLOOKUP(A245,Table!A:B,2,false)</f>
        <v>P9 W3</v>
      </c>
      <c r="D245" s="43" t="str">
        <f>VLOOKUP(A245,Table!A:D,4,false)</f>
        <v>Period 9</v>
      </c>
      <c r="E245" s="70" t="s">
        <v>106</v>
      </c>
      <c r="F245" s="43">
        <v>0.9166666666666666</v>
      </c>
      <c r="G245" s="98">
        <v>0.15069444444444444</v>
      </c>
      <c r="H245" s="98">
        <v>0.17222222222222222</v>
      </c>
      <c r="I245" s="85">
        <v>0.2743055555555556</v>
      </c>
      <c r="J245" s="45">
        <f t="shared" si="3"/>
        <v>515</v>
      </c>
      <c r="L245" s="46" t="s">
        <v>159</v>
      </c>
      <c r="M245" s="27"/>
      <c r="N245" s="27"/>
    </row>
    <row r="246">
      <c r="A246" s="40">
        <v>43954.0</v>
      </c>
      <c r="B246" s="41" t="s">
        <v>100</v>
      </c>
      <c r="C246" s="43" t="str">
        <f>VLOOKUP(A246,Table!A:B,2,false)</f>
        <v>P9 W3</v>
      </c>
      <c r="D246" s="43" t="str">
        <f>VLOOKUP(A246,Table!A:D,4,false)</f>
        <v>Period 9</v>
      </c>
      <c r="E246" s="70" t="s">
        <v>106</v>
      </c>
      <c r="F246" s="43">
        <v>0.9166666666666666</v>
      </c>
      <c r="G246" s="98">
        <v>0.225</v>
      </c>
      <c r="H246" s="98">
        <v>0.25833333333333336</v>
      </c>
      <c r="I246" s="85">
        <v>0.3729166666666667</v>
      </c>
      <c r="J246" s="45">
        <f t="shared" si="3"/>
        <v>657</v>
      </c>
      <c r="L246" s="46" t="s">
        <v>160</v>
      </c>
      <c r="M246" s="74"/>
      <c r="N246" s="27"/>
    </row>
    <row r="247">
      <c r="A247" s="40">
        <v>43955.0</v>
      </c>
      <c r="B247" s="41" t="s">
        <v>92</v>
      </c>
      <c r="C247" s="43" t="str">
        <f>VLOOKUP(A247,Table!A:B,2,false)</f>
        <v>P9 W4</v>
      </c>
      <c r="D247" s="43" t="str">
        <f>VLOOKUP(A247,Table!A:D,4,false)</f>
        <v>Period 9</v>
      </c>
      <c r="E247" s="70" t="s">
        <v>110</v>
      </c>
      <c r="F247" s="43">
        <v>0.9166666666666666</v>
      </c>
      <c r="G247" s="98">
        <v>0.19652777777777777</v>
      </c>
      <c r="H247" s="98">
        <v>0.22847222222222222</v>
      </c>
      <c r="I247" s="85">
        <v>0.3229166666666667</v>
      </c>
      <c r="J247" s="45">
        <f t="shared" si="3"/>
        <v>585</v>
      </c>
      <c r="L247" s="46" t="s">
        <v>152</v>
      </c>
      <c r="M247" s="27"/>
      <c r="N247" s="27"/>
    </row>
    <row r="248">
      <c r="A248" s="40">
        <v>43956.0</v>
      </c>
      <c r="B248" s="41" t="s">
        <v>94</v>
      </c>
      <c r="C248" s="43" t="str">
        <f>VLOOKUP(A248,Table!A:B,2,false)</f>
        <v>P9 W4</v>
      </c>
      <c r="D248" s="43" t="str">
        <f>VLOOKUP(A248,Table!A:D,4,false)</f>
        <v>Period 9</v>
      </c>
      <c r="E248" s="70" t="s">
        <v>110</v>
      </c>
      <c r="F248" s="43">
        <v>0.9166666666666666</v>
      </c>
      <c r="G248" s="98">
        <v>0.24930555555555556</v>
      </c>
      <c r="H248" s="98">
        <v>0.28125</v>
      </c>
      <c r="I248" s="85">
        <v>0.3770833333333333</v>
      </c>
      <c r="J248" s="45">
        <f t="shared" si="3"/>
        <v>663</v>
      </c>
      <c r="L248" s="46" t="s">
        <v>154</v>
      </c>
      <c r="M248" s="27"/>
      <c r="N248" s="27"/>
    </row>
    <row r="249">
      <c r="A249" s="40">
        <v>43957.0</v>
      </c>
      <c r="B249" s="41" t="s">
        <v>96</v>
      </c>
      <c r="C249" s="43" t="str">
        <f>VLOOKUP(A249,Table!A:B,2,false)</f>
        <v>P9 W4</v>
      </c>
      <c r="D249" s="43" t="str">
        <f>VLOOKUP(A249,Table!A:D,4,false)</f>
        <v>Period 9</v>
      </c>
      <c r="E249" s="70" t="s">
        <v>110</v>
      </c>
      <c r="F249" s="43">
        <v>0.9166666666666666</v>
      </c>
      <c r="G249" s="98">
        <v>0.28194444444444444</v>
      </c>
      <c r="H249" s="98">
        <v>0.3173611111111111</v>
      </c>
      <c r="I249" s="85">
        <v>0.39791666666666664</v>
      </c>
      <c r="J249" s="45">
        <f t="shared" si="3"/>
        <v>693</v>
      </c>
      <c r="L249" s="46" t="s">
        <v>156</v>
      </c>
      <c r="M249" s="27"/>
      <c r="N249" s="27"/>
    </row>
    <row r="250">
      <c r="A250" s="40">
        <v>43958.0</v>
      </c>
      <c r="B250" s="41" t="s">
        <v>97</v>
      </c>
      <c r="C250" s="43" t="str">
        <f>VLOOKUP(A250,Table!A:B,2,false)</f>
        <v>P9 W4</v>
      </c>
      <c r="D250" s="43" t="str">
        <f>VLOOKUP(A250,Table!A:D,4,false)</f>
        <v>Period 9</v>
      </c>
      <c r="E250" s="70" t="s">
        <v>110</v>
      </c>
      <c r="F250" s="43">
        <v>0.9166666666666666</v>
      </c>
      <c r="G250" s="98">
        <v>0.26805555555555555</v>
      </c>
      <c r="H250" s="98">
        <v>0.3020833333333333</v>
      </c>
      <c r="I250" s="85">
        <v>0.5076388888888889</v>
      </c>
      <c r="J250" s="45">
        <f t="shared" si="3"/>
        <v>851</v>
      </c>
      <c r="L250" s="46" t="s">
        <v>157</v>
      </c>
      <c r="M250" s="74"/>
      <c r="N250" s="27"/>
    </row>
    <row r="251">
      <c r="A251" s="40">
        <v>43959.0</v>
      </c>
      <c r="B251" s="41" t="s">
        <v>98</v>
      </c>
      <c r="C251" s="43" t="str">
        <f>VLOOKUP(A251,Table!A:B,2,false)</f>
        <v>P9 W4</v>
      </c>
      <c r="D251" s="43" t="str">
        <f>VLOOKUP(A251,Table!A:D,4,false)</f>
        <v>Period 9</v>
      </c>
      <c r="E251" s="70" t="s">
        <v>110</v>
      </c>
      <c r="F251" s="43">
        <v>0.9166666666666666</v>
      </c>
      <c r="G251" s="98">
        <v>0.21597222222222223</v>
      </c>
      <c r="H251" s="98">
        <v>0.375</v>
      </c>
      <c r="I251" s="85">
        <v>0.7354166666666667</v>
      </c>
      <c r="J251" s="45">
        <f t="shared" si="3"/>
        <v>1179</v>
      </c>
      <c r="L251" s="46" t="s">
        <v>158</v>
      </c>
      <c r="M251" s="27"/>
      <c r="N251" s="27"/>
    </row>
    <row r="252">
      <c r="A252" s="40">
        <v>43960.0</v>
      </c>
      <c r="B252" s="41" t="s">
        <v>99</v>
      </c>
      <c r="C252" s="43" t="str">
        <f>VLOOKUP(A252,Table!A:B,2,false)</f>
        <v>P9 W4</v>
      </c>
      <c r="D252" s="43" t="str">
        <f>VLOOKUP(A252,Table!A:D,4,false)</f>
        <v>Period 9</v>
      </c>
      <c r="E252" s="70" t="s">
        <v>110</v>
      </c>
      <c r="F252" s="43">
        <v>0.9166666666666666</v>
      </c>
      <c r="G252" s="98">
        <v>0.20902777777777778</v>
      </c>
      <c r="H252" s="98">
        <v>0.24097222222222223</v>
      </c>
      <c r="I252" s="85">
        <v>0.3138888888888889</v>
      </c>
      <c r="J252" s="45">
        <f t="shared" si="3"/>
        <v>572</v>
      </c>
      <c r="K252" s="46" t="s">
        <v>112</v>
      </c>
      <c r="L252" s="46" t="s">
        <v>159</v>
      </c>
      <c r="M252" s="74"/>
      <c r="N252" s="27"/>
    </row>
    <row r="253">
      <c r="A253" s="40">
        <v>43961.0</v>
      </c>
      <c r="B253" s="41" t="s">
        <v>100</v>
      </c>
      <c r="C253" s="43" t="str">
        <f>VLOOKUP(A253,Table!A:B,2,false)</f>
        <v>P9 W4</v>
      </c>
      <c r="D253" s="43" t="str">
        <f>VLOOKUP(A253,Table!A:D,4,false)</f>
        <v>Period 9</v>
      </c>
      <c r="E253" s="70" t="s">
        <v>110</v>
      </c>
      <c r="F253" s="43">
        <v>0.9166666666666666</v>
      </c>
      <c r="G253" s="98">
        <v>0.27569444444444446</v>
      </c>
      <c r="H253" s="98">
        <v>0.3076388888888889</v>
      </c>
      <c r="I253" s="85">
        <v>0.3902777777777778</v>
      </c>
      <c r="J253" s="45">
        <f t="shared" si="3"/>
        <v>682</v>
      </c>
      <c r="L253" s="46" t="s">
        <v>160</v>
      </c>
      <c r="M253" s="74"/>
      <c r="N253" s="27"/>
    </row>
    <row r="254">
      <c r="A254" s="78">
        <v>43962.0</v>
      </c>
      <c r="B254" s="79" t="s">
        <v>92</v>
      </c>
      <c r="C254" s="54" t="str">
        <f>VLOOKUP(A254,Table!A:B,2,false)</f>
        <v>P10 W1</v>
      </c>
      <c r="D254" s="54" t="str">
        <f>VLOOKUP(A254,Table!A:D,4,false)</f>
        <v>Period 10</v>
      </c>
      <c r="E254" s="70" t="s">
        <v>93</v>
      </c>
      <c r="F254" s="54">
        <v>0.9166666666666666</v>
      </c>
      <c r="G254" s="98">
        <v>0.1986111111111111</v>
      </c>
      <c r="H254" s="98">
        <v>0.2326388888888889</v>
      </c>
      <c r="I254" s="85">
        <v>0.36041666666666666</v>
      </c>
      <c r="J254" s="45">
        <f t="shared" si="3"/>
        <v>639</v>
      </c>
      <c r="L254" s="46" t="s">
        <v>152</v>
      </c>
      <c r="M254" s="74"/>
      <c r="N254" s="27"/>
    </row>
    <row r="255">
      <c r="A255" s="40">
        <v>43963.0</v>
      </c>
      <c r="B255" s="41" t="s">
        <v>94</v>
      </c>
      <c r="C255" s="43" t="str">
        <f>VLOOKUP(A255,Table!A:B,2,false)</f>
        <v>P10 W1</v>
      </c>
      <c r="D255" s="43" t="str">
        <f>VLOOKUP(A255,Table!A:D,4,false)</f>
        <v>Period 10</v>
      </c>
      <c r="E255" s="70" t="s">
        <v>93</v>
      </c>
      <c r="F255" s="43">
        <v>0.9166666666666666</v>
      </c>
      <c r="G255" s="98">
        <v>0.13472222222222222</v>
      </c>
      <c r="H255" s="98">
        <v>0.16458333333333333</v>
      </c>
      <c r="I255" s="85">
        <v>0.48680555555555555</v>
      </c>
      <c r="J255" s="45">
        <f t="shared" si="3"/>
        <v>821</v>
      </c>
      <c r="L255" s="46" t="s">
        <v>154</v>
      </c>
      <c r="M255" s="108"/>
      <c r="N255" s="27"/>
    </row>
    <row r="256">
      <c r="A256" s="40">
        <v>43964.0</v>
      </c>
      <c r="B256" s="41" t="s">
        <v>96</v>
      </c>
      <c r="C256" s="43" t="str">
        <f>VLOOKUP(A256,Table!A:B,2,false)</f>
        <v>P10 W1</v>
      </c>
      <c r="D256" s="43" t="str">
        <f>VLOOKUP(A256,Table!A:D,4,false)</f>
        <v>Period 10</v>
      </c>
      <c r="E256" s="70" t="s">
        <v>93</v>
      </c>
      <c r="F256" s="43">
        <v>0.9166666666666666</v>
      </c>
      <c r="G256" s="98">
        <v>0.12986111111111112</v>
      </c>
      <c r="H256" s="98">
        <v>0.15555555555555556</v>
      </c>
      <c r="I256" s="85">
        <v>0.24861111111111112</v>
      </c>
      <c r="J256" s="45">
        <f t="shared" si="3"/>
        <v>478</v>
      </c>
      <c r="L256" s="46" t="s">
        <v>156</v>
      </c>
      <c r="M256" s="74"/>
      <c r="N256" s="27"/>
    </row>
    <row r="257">
      <c r="A257" s="40">
        <v>43965.0</v>
      </c>
      <c r="B257" s="41" t="s">
        <v>97</v>
      </c>
      <c r="C257" s="43" t="str">
        <f>VLOOKUP(A257,Table!A:B,2,false)</f>
        <v>P10 W1</v>
      </c>
      <c r="D257" s="43" t="str">
        <f>VLOOKUP(A257,Table!A:D,4,false)</f>
        <v>Period 10</v>
      </c>
      <c r="E257" s="70" t="s">
        <v>93</v>
      </c>
      <c r="F257" s="43">
        <v>0.9166666666666666</v>
      </c>
      <c r="G257" s="98">
        <v>0.14375</v>
      </c>
      <c r="H257" s="98">
        <v>0.1840277777777778</v>
      </c>
      <c r="I257" s="85">
        <v>0.30694444444444446</v>
      </c>
      <c r="J257" s="45">
        <f t="shared" si="3"/>
        <v>562</v>
      </c>
      <c r="L257" s="46" t="s">
        <v>157</v>
      </c>
      <c r="M257" s="27"/>
      <c r="N257" s="27"/>
    </row>
    <row r="258">
      <c r="A258" s="40">
        <v>43966.0</v>
      </c>
      <c r="B258" s="41" t="s">
        <v>98</v>
      </c>
      <c r="C258" s="43" t="str">
        <f>VLOOKUP(A258,Table!A:B,2,false)</f>
        <v>P10 W1</v>
      </c>
      <c r="D258" s="43" t="str">
        <f>VLOOKUP(A258,Table!A:D,4,false)</f>
        <v>Period 10</v>
      </c>
      <c r="E258" s="70" t="s">
        <v>93</v>
      </c>
      <c r="F258" s="43">
        <v>0.9166666666666666</v>
      </c>
      <c r="G258" s="98">
        <v>0.11666666666666667</v>
      </c>
      <c r="H258" s="98">
        <v>0.14027777777777778</v>
      </c>
      <c r="I258" s="85">
        <v>0.2861111111111111</v>
      </c>
      <c r="J258" s="45">
        <f t="shared" si="3"/>
        <v>532</v>
      </c>
      <c r="L258" s="46" t="s">
        <v>158</v>
      </c>
      <c r="M258" s="27"/>
      <c r="N258" s="27"/>
    </row>
    <row r="259">
      <c r="A259" s="40">
        <v>43967.0</v>
      </c>
      <c r="B259" s="41" t="s">
        <v>99</v>
      </c>
      <c r="C259" s="43" t="str">
        <f>VLOOKUP(A259,Table!A:B,2,false)</f>
        <v>P10 W1</v>
      </c>
      <c r="D259" s="43" t="str">
        <f>VLOOKUP(A259,Table!A:D,4,false)</f>
        <v>Period 10</v>
      </c>
      <c r="E259" s="70" t="s">
        <v>93</v>
      </c>
      <c r="F259" s="43">
        <v>0.9166666666666666</v>
      </c>
      <c r="G259" s="98">
        <v>0.15347222222222223</v>
      </c>
      <c r="H259" s="98">
        <v>0.1701388888888889</v>
      </c>
      <c r="I259" s="85">
        <v>0.32013888888888886</v>
      </c>
      <c r="J259" s="45">
        <f t="shared" si="3"/>
        <v>581</v>
      </c>
      <c r="L259" s="46" t="s">
        <v>159</v>
      </c>
      <c r="M259" s="27"/>
      <c r="N259" s="27"/>
    </row>
    <row r="260">
      <c r="A260" s="40">
        <v>43968.0</v>
      </c>
      <c r="B260" s="41" t="s">
        <v>100</v>
      </c>
      <c r="C260" s="43" t="str">
        <f>VLOOKUP(A260,Table!A:B,2,false)</f>
        <v>P10 W1</v>
      </c>
      <c r="D260" s="43" t="str">
        <f>VLOOKUP(A260,Table!A:D,4,false)</f>
        <v>Period 10</v>
      </c>
      <c r="E260" s="70" t="s">
        <v>93</v>
      </c>
      <c r="F260" s="43">
        <v>0.9166666666666666</v>
      </c>
      <c r="G260" s="98">
        <v>0.1451388888888889</v>
      </c>
      <c r="H260" s="98">
        <v>0.1625</v>
      </c>
      <c r="I260" s="85">
        <v>0.23958333333333334</v>
      </c>
      <c r="J260" s="45">
        <f t="shared" si="3"/>
        <v>465</v>
      </c>
      <c r="L260" s="46" t="s">
        <v>160</v>
      </c>
      <c r="M260" s="27"/>
      <c r="N260" s="27"/>
    </row>
    <row r="261">
      <c r="A261" s="40">
        <v>43969.0</v>
      </c>
      <c r="B261" s="41" t="s">
        <v>92</v>
      </c>
      <c r="C261" s="43" t="str">
        <f>VLOOKUP(A261,Table!A:B,2,false)</f>
        <v>P10 W2</v>
      </c>
      <c r="D261" s="43" t="str">
        <f>VLOOKUP(A261,Table!A:D,4,false)</f>
        <v>Period 10</v>
      </c>
      <c r="E261" s="70" t="s">
        <v>101</v>
      </c>
      <c r="F261" s="43">
        <v>0.9166666666666666</v>
      </c>
      <c r="G261" s="98">
        <v>0.12777777777777777</v>
      </c>
      <c r="H261" s="98">
        <v>0.15</v>
      </c>
      <c r="I261" s="85">
        <v>0.2902777777777778</v>
      </c>
      <c r="J261" s="45">
        <f t="shared" si="3"/>
        <v>538</v>
      </c>
      <c r="L261" s="46" t="s">
        <v>152</v>
      </c>
      <c r="M261" s="27"/>
      <c r="N261" s="27"/>
    </row>
    <row r="262">
      <c r="A262" s="40">
        <v>43970.0</v>
      </c>
      <c r="B262" s="41" t="s">
        <v>94</v>
      </c>
      <c r="C262" s="43" t="str">
        <f>VLOOKUP(A262,Table!A:B,2,false)</f>
        <v>P10 W2</v>
      </c>
      <c r="D262" s="43" t="str">
        <f>VLOOKUP(A262,Table!A:D,4,false)</f>
        <v>Period 10</v>
      </c>
      <c r="E262" s="70" t="s">
        <v>101</v>
      </c>
      <c r="F262" s="43">
        <v>0.9166666666666666</v>
      </c>
      <c r="G262" s="98">
        <v>0.11805555555555555</v>
      </c>
      <c r="H262" s="98">
        <v>0.14097222222222222</v>
      </c>
      <c r="I262" s="85">
        <v>0.26805555555555555</v>
      </c>
      <c r="J262" s="45">
        <f t="shared" si="3"/>
        <v>506</v>
      </c>
      <c r="L262" s="46" t="s">
        <v>154</v>
      </c>
      <c r="M262" s="27"/>
      <c r="N262" s="27"/>
    </row>
    <row r="263">
      <c r="A263" s="40">
        <v>43971.0</v>
      </c>
      <c r="B263" s="41" t="s">
        <v>96</v>
      </c>
      <c r="C263" s="43" t="str">
        <f>VLOOKUP(A263,Table!A:B,2,false)</f>
        <v>P10 W2</v>
      </c>
      <c r="D263" s="43" t="str">
        <f>VLOOKUP(A263,Table!A:D,4,false)</f>
        <v>Period 10</v>
      </c>
      <c r="E263" s="70" t="s">
        <v>101</v>
      </c>
      <c r="F263" s="43">
        <v>0.9166666666666666</v>
      </c>
      <c r="G263" s="98">
        <v>0.16875</v>
      </c>
      <c r="H263" s="98">
        <v>0.19722222222222222</v>
      </c>
      <c r="I263" s="85">
        <v>0.2708333333333333</v>
      </c>
      <c r="J263" s="45">
        <f t="shared" si="3"/>
        <v>510</v>
      </c>
      <c r="L263" s="46" t="s">
        <v>156</v>
      </c>
      <c r="M263" s="27"/>
      <c r="N263" s="27"/>
    </row>
    <row r="264">
      <c r="A264" s="40">
        <v>43972.0</v>
      </c>
      <c r="B264" s="41" t="s">
        <v>97</v>
      </c>
      <c r="C264" s="43" t="str">
        <f>VLOOKUP(A264,Table!A:B,2,false)</f>
        <v>P10 W2</v>
      </c>
      <c r="D264" s="43" t="str">
        <f>VLOOKUP(A264,Table!A:D,4,false)</f>
        <v>Period 10</v>
      </c>
      <c r="E264" s="70" t="s">
        <v>101</v>
      </c>
      <c r="F264" s="43">
        <v>0.9166666666666666</v>
      </c>
      <c r="G264" s="98">
        <v>0.11944444444444445</v>
      </c>
      <c r="H264" s="98">
        <v>0.15416666666666667</v>
      </c>
      <c r="I264" s="85">
        <v>0.23402777777777778</v>
      </c>
      <c r="J264" s="45">
        <f t="shared" si="3"/>
        <v>457</v>
      </c>
      <c r="L264" s="46" t="s">
        <v>157</v>
      </c>
      <c r="M264" s="27"/>
      <c r="N264" s="27"/>
    </row>
    <row r="265">
      <c r="A265" s="40">
        <v>43973.0</v>
      </c>
      <c r="B265" s="41" t="s">
        <v>98</v>
      </c>
      <c r="C265" s="43" t="str">
        <f>VLOOKUP(A265,Table!A:B,2,false)</f>
        <v>P10 W2</v>
      </c>
      <c r="D265" s="43" t="str">
        <f>VLOOKUP(A265,Table!A:D,4,false)</f>
        <v>Period 10</v>
      </c>
      <c r="E265" s="70" t="s">
        <v>101</v>
      </c>
      <c r="F265" s="43">
        <v>0.9166666666666666</v>
      </c>
      <c r="G265" s="98">
        <v>0.11736111111111111</v>
      </c>
      <c r="H265" s="98">
        <v>0.18194444444444444</v>
      </c>
      <c r="I265" s="85">
        <v>0.3680555555555556</v>
      </c>
      <c r="J265" s="45">
        <f t="shared" si="3"/>
        <v>650</v>
      </c>
      <c r="L265" s="46" t="s">
        <v>158</v>
      </c>
      <c r="M265" s="27"/>
      <c r="N265" s="27"/>
    </row>
    <row r="266">
      <c r="A266" s="40">
        <v>43974.0</v>
      </c>
      <c r="B266" s="41" t="s">
        <v>99</v>
      </c>
      <c r="C266" s="43" t="str">
        <f>VLOOKUP(A266,Table!A:B,2,false)</f>
        <v>P10 W2</v>
      </c>
      <c r="D266" s="43" t="str">
        <f>VLOOKUP(A266,Table!A:D,4,false)</f>
        <v>Period 10</v>
      </c>
      <c r="E266" s="70" t="s">
        <v>101</v>
      </c>
      <c r="F266" s="43">
        <v>0.9166666666666666</v>
      </c>
      <c r="G266" s="98">
        <v>0.11319444444444444</v>
      </c>
      <c r="H266" s="98">
        <v>0.12708333333333333</v>
      </c>
      <c r="I266" s="85">
        <v>0.22708333333333333</v>
      </c>
      <c r="J266" s="45">
        <f t="shared" si="3"/>
        <v>447</v>
      </c>
      <c r="L266" s="46" t="s">
        <v>159</v>
      </c>
      <c r="M266" s="27"/>
      <c r="N266" s="27"/>
    </row>
    <row r="267">
      <c r="A267" s="40">
        <v>43975.0</v>
      </c>
      <c r="B267" s="41" t="s">
        <v>100</v>
      </c>
      <c r="C267" s="43" t="str">
        <f>VLOOKUP(A267,Table!A:B,2,false)</f>
        <v>P10 W2</v>
      </c>
      <c r="D267" s="43" t="str">
        <f>VLOOKUP(A267,Table!A:D,4,false)</f>
        <v>Period 10</v>
      </c>
      <c r="E267" s="70" t="s">
        <v>101</v>
      </c>
      <c r="F267" s="43">
        <v>0.9166666666666666</v>
      </c>
      <c r="G267" s="98">
        <v>0.1486111111111111</v>
      </c>
      <c r="H267" s="98">
        <v>0.16527777777777777</v>
      </c>
      <c r="I267" s="85">
        <v>0.24027777777777778</v>
      </c>
      <c r="J267" s="45">
        <f t="shared" si="3"/>
        <v>466</v>
      </c>
      <c r="L267" s="46" t="s">
        <v>160</v>
      </c>
      <c r="M267" s="27"/>
      <c r="N267" s="27"/>
    </row>
    <row r="268">
      <c r="A268" s="40">
        <v>43976.0</v>
      </c>
      <c r="B268" s="41" t="s">
        <v>92</v>
      </c>
      <c r="C268" s="43" t="str">
        <f>VLOOKUP(A268,Table!A:B,2,false)</f>
        <v>P10 W3</v>
      </c>
      <c r="D268" s="43" t="str">
        <f>VLOOKUP(A268,Table!A:D,4,false)</f>
        <v>Period 10</v>
      </c>
      <c r="E268" s="70" t="s">
        <v>106</v>
      </c>
      <c r="F268" s="43">
        <v>0.9166666666666666</v>
      </c>
      <c r="G268" s="98">
        <v>0.11805555555555555</v>
      </c>
      <c r="H268" s="98">
        <v>0.15416666666666667</v>
      </c>
      <c r="I268" s="85">
        <v>0.2222222222222222</v>
      </c>
      <c r="J268" s="45">
        <f t="shared" si="3"/>
        <v>440</v>
      </c>
      <c r="K268" s="46" t="s">
        <v>186</v>
      </c>
      <c r="L268" s="46" t="s">
        <v>152</v>
      </c>
      <c r="M268" s="27"/>
      <c r="N268" s="27"/>
    </row>
    <row r="269">
      <c r="A269" s="40">
        <v>43977.0</v>
      </c>
      <c r="B269" s="41" t="s">
        <v>94</v>
      </c>
      <c r="C269" s="43" t="str">
        <f>VLOOKUP(A269,Table!A:B,2,false)</f>
        <v>P10 W3</v>
      </c>
      <c r="D269" s="43" t="str">
        <f>VLOOKUP(A269,Table!A:D,4,false)</f>
        <v>Period 10</v>
      </c>
      <c r="E269" s="70" t="s">
        <v>106</v>
      </c>
      <c r="F269" s="43">
        <v>0.9166666666666666</v>
      </c>
      <c r="G269" s="98">
        <v>0.16180555555555556</v>
      </c>
      <c r="H269" s="85">
        <v>0.1951388888888889</v>
      </c>
      <c r="I269" s="85">
        <v>0.2673611111111111</v>
      </c>
      <c r="J269" s="45">
        <f t="shared" si="3"/>
        <v>505</v>
      </c>
      <c r="L269" s="46" t="s">
        <v>154</v>
      </c>
      <c r="M269" s="27"/>
      <c r="N269" s="27"/>
    </row>
    <row r="270">
      <c r="A270" s="40">
        <v>43978.0</v>
      </c>
      <c r="B270" s="41" t="s">
        <v>96</v>
      </c>
      <c r="C270" s="43" t="str">
        <f>VLOOKUP(A270,Table!A:B,2,false)</f>
        <v>P10 W3</v>
      </c>
      <c r="D270" s="43" t="str">
        <f>VLOOKUP(A270,Table!A:D,4,false)</f>
        <v>Period 10</v>
      </c>
      <c r="E270" s="70" t="s">
        <v>106</v>
      </c>
      <c r="F270" s="43">
        <v>0.9166666666666666</v>
      </c>
      <c r="G270" s="98">
        <v>0.13125</v>
      </c>
      <c r="H270" s="85">
        <v>0.17083333333333334</v>
      </c>
      <c r="I270" s="85">
        <v>0.2534722222222222</v>
      </c>
      <c r="J270" s="45">
        <f t="shared" si="3"/>
        <v>485</v>
      </c>
      <c r="L270" s="46" t="s">
        <v>156</v>
      </c>
      <c r="M270" s="27"/>
      <c r="N270" s="27"/>
    </row>
    <row r="271">
      <c r="A271" s="40">
        <v>43979.0</v>
      </c>
      <c r="B271" s="41" t="s">
        <v>97</v>
      </c>
      <c r="C271" s="43" t="str">
        <f>VLOOKUP(A271,Table!A:B,2,false)</f>
        <v>P10 W3</v>
      </c>
      <c r="D271" s="43" t="str">
        <f>VLOOKUP(A271,Table!A:D,4,false)</f>
        <v>Period 10</v>
      </c>
      <c r="E271" s="70" t="s">
        <v>106</v>
      </c>
      <c r="F271" s="43">
        <v>0.9166666666666666</v>
      </c>
      <c r="G271" s="98">
        <v>0.11527777777777778</v>
      </c>
      <c r="H271" s="85">
        <v>0.14722222222222223</v>
      </c>
      <c r="I271" s="85">
        <v>0.23125</v>
      </c>
      <c r="J271" s="45">
        <f t="shared" si="3"/>
        <v>453</v>
      </c>
      <c r="L271" s="46" t="s">
        <v>157</v>
      </c>
      <c r="M271" s="92"/>
      <c r="N271" s="27"/>
    </row>
    <row r="272">
      <c r="A272" s="40">
        <v>43980.0</v>
      </c>
      <c r="B272" s="41" t="s">
        <v>98</v>
      </c>
      <c r="C272" s="43" t="str">
        <f>VLOOKUP(A272,Table!A:B,2,false)</f>
        <v>P10 W3</v>
      </c>
      <c r="D272" s="43" t="str">
        <f>VLOOKUP(A272,Table!A:D,4,false)</f>
        <v>Period 10</v>
      </c>
      <c r="E272" s="70" t="s">
        <v>106</v>
      </c>
      <c r="F272" s="43">
        <v>0.9166666666666666</v>
      </c>
      <c r="G272" s="98">
        <v>0.11875</v>
      </c>
      <c r="H272" s="85">
        <v>0.1375</v>
      </c>
      <c r="I272" s="85">
        <v>0.23125</v>
      </c>
      <c r="J272" s="45">
        <f t="shared" si="3"/>
        <v>453</v>
      </c>
      <c r="L272" s="46" t="s">
        <v>158</v>
      </c>
      <c r="M272" s="27"/>
      <c r="N272" s="27"/>
    </row>
    <row r="273">
      <c r="A273" s="40">
        <v>43981.0</v>
      </c>
      <c r="B273" s="41" t="s">
        <v>99</v>
      </c>
      <c r="C273" s="43" t="str">
        <f>VLOOKUP(A273,Table!A:B,2,false)</f>
        <v>P10 W3</v>
      </c>
      <c r="D273" s="43" t="str">
        <f>VLOOKUP(A273,Table!A:D,4,false)</f>
        <v>Period 10</v>
      </c>
      <c r="E273" s="70" t="s">
        <v>106</v>
      </c>
      <c r="F273" s="43">
        <v>0.9166666666666666</v>
      </c>
      <c r="G273" s="98">
        <v>0.11597222222222223</v>
      </c>
      <c r="H273" s="85">
        <v>0.13055555555555556</v>
      </c>
      <c r="I273" s="85">
        <v>0.21736111111111112</v>
      </c>
      <c r="J273" s="45">
        <f t="shared" si="3"/>
        <v>433</v>
      </c>
      <c r="L273" s="46" t="s">
        <v>159</v>
      </c>
      <c r="M273" s="27"/>
      <c r="N273" s="27"/>
    </row>
    <row r="274">
      <c r="A274" s="40">
        <v>43982.0</v>
      </c>
      <c r="B274" s="41" t="s">
        <v>100</v>
      </c>
      <c r="C274" s="43" t="str">
        <f>VLOOKUP(A274,Table!A:B,2,false)</f>
        <v>P10 W3</v>
      </c>
      <c r="D274" s="43" t="str">
        <f>VLOOKUP(A274,Table!A:D,4,false)</f>
        <v>Period 10</v>
      </c>
      <c r="E274" s="70" t="s">
        <v>106</v>
      </c>
      <c r="F274" s="43">
        <v>0.9166666666666666</v>
      </c>
      <c r="G274" s="98">
        <v>0.15</v>
      </c>
      <c r="H274" s="85">
        <v>0.18194444444444444</v>
      </c>
      <c r="I274" s="85">
        <v>0.24583333333333332</v>
      </c>
      <c r="J274" s="45">
        <f t="shared" si="3"/>
        <v>474</v>
      </c>
      <c r="L274" s="46" t="s">
        <v>160</v>
      </c>
      <c r="M274" s="27"/>
      <c r="N274" s="27"/>
    </row>
    <row r="275">
      <c r="A275" s="40">
        <v>43983.0</v>
      </c>
      <c r="B275" s="41" t="s">
        <v>92</v>
      </c>
      <c r="C275" s="43" t="str">
        <f>VLOOKUP(A275,Table!A:B,2,false)</f>
        <v>P10 W4</v>
      </c>
      <c r="D275" s="43" t="str">
        <f>VLOOKUP(A275,Table!A:D,4,false)</f>
        <v>Period 10</v>
      </c>
      <c r="E275" s="70" t="s">
        <v>110</v>
      </c>
      <c r="F275" s="43">
        <v>0.9166666666666666</v>
      </c>
      <c r="G275" s="98">
        <v>0.11458333333333333</v>
      </c>
      <c r="H275" s="85">
        <v>0.14652777777777778</v>
      </c>
      <c r="I275" s="85">
        <v>0.23402777777777778</v>
      </c>
      <c r="J275" s="45">
        <f t="shared" si="3"/>
        <v>457</v>
      </c>
      <c r="L275" s="46" t="s">
        <v>152</v>
      </c>
      <c r="M275" s="27"/>
      <c r="N275" s="27"/>
    </row>
    <row r="276">
      <c r="A276" s="40">
        <v>43984.0</v>
      </c>
      <c r="B276" s="41" t="s">
        <v>94</v>
      </c>
      <c r="C276" s="43" t="str">
        <f>VLOOKUP(A276,Table!A:B,2,false)</f>
        <v>P10 W4</v>
      </c>
      <c r="D276" s="43" t="str">
        <f>VLOOKUP(A276,Table!A:D,4,false)</f>
        <v>Period 10</v>
      </c>
      <c r="E276" s="70" t="s">
        <v>110</v>
      </c>
      <c r="F276" s="43">
        <v>0.9166666666666666</v>
      </c>
      <c r="G276" s="98">
        <v>0.20208333333333334</v>
      </c>
      <c r="H276" s="85">
        <v>0.23402777777777778</v>
      </c>
      <c r="I276" s="85">
        <v>0.3020833333333333</v>
      </c>
      <c r="J276" s="45">
        <f t="shared" si="3"/>
        <v>555</v>
      </c>
      <c r="L276" s="46" t="s">
        <v>154</v>
      </c>
      <c r="M276" s="27"/>
      <c r="N276" s="27"/>
    </row>
    <row r="277">
      <c r="A277" s="40">
        <v>43985.0</v>
      </c>
      <c r="B277" s="41" t="s">
        <v>96</v>
      </c>
      <c r="C277" s="43" t="str">
        <f>VLOOKUP(A277,Table!A:B,2,false)</f>
        <v>P10 W4</v>
      </c>
      <c r="D277" s="43" t="str">
        <f>VLOOKUP(A277,Table!A:D,4,false)</f>
        <v>Period 10</v>
      </c>
      <c r="E277" s="70" t="s">
        <v>110</v>
      </c>
      <c r="F277" s="43">
        <v>0.9166666666666666</v>
      </c>
      <c r="G277" s="85">
        <v>0.33541666666666664</v>
      </c>
      <c r="H277" s="85">
        <v>0.3368055555555556</v>
      </c>
      <c r="I277" s="85">
        <v>0.4409722222222222</v>
      </c>
      <c r="J277" s="45">
        <f t="shared" si="3"/>
        <v>755</v>
      </c>
      <c r="K277" s="46" t="s">
        <v>112</v>
      </c>
      <c r="L277" s="46" t="s">
        <v>156</v>
      </c>
      <c r="M277" s="102"/>
      <c r="N277" s="27"/>
    </row>
    <row r="278">
      <c r="A278" s="40">
        <v>43986.0</v>
      </c>
      <c r="B278" s="41" t="s">
        <v>97</v>
      </c>
      <c r="C278" s="43" t="str">
        <f>VLOOKUP(A278,Table!A:B,2,false)</f>
        <v>P10 W4</v>
      </c>
      <c r="D278" s="43" t="str">
        <f>VLOOKUP(A278,Table!A:D,4,false)</f>
        <v>Period 10</v>
      </c>
      <c r="E278" s="70" t="s">
        <v>110</v>
      </c>
      <c r="F278" s="43">
        <v>0.9166666666666666</v>
      </c>
      <c r="G278" s="85">
        <v>0.11388888888888889</v>
      </c>
      <c r="H278" s="98">
        <v>0.15</v>
      </c>
      <c r="I278" s="85">
        <v>0.22916666666666666</v>
      </c>
      <c r="J278" s="45">
        <f t="shared" si="3"/>
        <v>450</v>
      </c>
      <c r="L278" s="46" t="s">
        <v>157</v>
      </c>
      <c r="M278" s="27"/>
      <c r="N278" s="27"/>
    </row>
    <row r="279">
      <c r="A279" s="40">
        <v>43987.0</v>
      </c>
      <c r="B279" s="41" t="s">
        <v>98</v>
      </c>
      <c r="C279" s="43" t="str">
        <f>VLOOKUP(A279,Table!A:B,2,false)</f>
        <v>P10 W4</v>
      </c>
      <c r="D279" s="43" t="str">
        <f>VLOOKUP(A279,Table!A:D,4,false)</f>
        <v>Period 10</v>
      </c>
      <c r="E279" s="70" t="s">
        <v>110</v>
      </c>
      <c r="F279" s="43">
        <v>0.9166666666666666</v>
      </c>
      <c r="G279" s="85">
        <v>0.11875</v>
      </c>
      <c r="H279" s="85">
        <v>0.14027777777777778</v>
      </c>
      <c r="I279" s="85">
        <v>0.23194444444444445</v>
      </c>
      <c r="J279" s="45">
        <f t="shared" si="3"/>
        <v>454</v>
      </c>
      <c r="L279" s="46" t="s">
        <v>158</v>
      </c>
      <c r="M279" s="27"/>
      <c r="N279" s="27"/>
    </row>
    <row r="280">
      <c r="A280" s="40">
        <v>43988.0</v>
      </c>
      <c r="B280" s="41" t="s">
        <v>99</v>
      </c>
      <c r="C280" s="43" t="str">
        <f>VLOOKUP(A280,Table!A:B,2,false)</f>
        <v>P10 W4</v>
      </c>
      <c r="D280" s="43" t="str">
        <f>VLOOKUP(A280,Table!A:D,4,false)</f>
        <v>Period 10</v>
      </c>
      <c r="E280" s="70" t="s">
        <v>110</v>
      </c>
      <c r="F280" s="43">
        <v>0.9166666666666666</v>
      </c>
      <c r="G280" s="85">
        <v>0.15208333333333332</v>
      </c>
      <c r="H280" s="85">
        <v>0.17152777777777778</v>
      </c>
      <c r="I280" s="85">
        <v>0.22708333333333333</v>
      </c>
      <c r="J280" s="45">
        <f t="shared" si="3"/>
        <v>447</v>
      </c>
      <c r="L280" s="46" t="s">
        <v>159</v>
      </c>
      <c r="M280" s="27"/>
      <c r="N280" s="27"/>
    </row>
    <row r="281">
      <c r="A281" s="40">
        <v>43989.0</v>
      </c>
      <c r="B281" s="41" t="s">
        <v>100</v>
      </c>
      <c r="C281" s="43" t="str">
        <f>VLOOKUP(A281,Table!A:B,2,false)</f>
        <v>P10 W4</v>
      </c>
      <c r="D281" s="43" t="str">
        <f>VLOOKUP(A281,Table!A:D,4,false)</f>
        <v>Period 10</v>
      </c>
      <c r="E281" s="70" t="s">
        <v>110</v>
      </c>
      <c r="F281" s="43">
        <v>0.9166666666666666</v>
      </c>
      <c r="G281" s="85">
        <v>0.19444444444444445</v>
      </c>
      <c r="H281" s="85">
        <v>0.22847222222222222</v>
      </c>
      <c r="I281" s="85">
        <v>0.28888888888888886</v>
      </c>
      <c r="J281" s="45">
        <f t="shared" si="3"/>
        <v>536</v>
      </c>
      <c r="L281" s="46" t="s">
        <v>160</v>
      </c>
      <c r="M281" s="103"/>
      <c r="N281" s="27"/>
    </row>
    <row r="282">
      <c r="A282" s="78">
        <v>43990.0</v>
      </c>
      <c r="B282" s="79" t="s">
        <v>92</v>
      </c>
      <c r="C282" s="54" t="str">
        <f>VLOOKUP(A282,Table!A:B,2,false)</f>
        <v>P11 W1</v>
      </c>
      <c r="D282" s="54" t="str">
        <f>VLOOKUP(A282,Table!A:D,4,false)</f>
        <v>Period 11</v>
      </c>
      <c r="E282" s="70" t="s">
        <v>93</v>
      </c>
      <c r="F282" s="54">
        <v>0.9166666666666666</v>
      </c>
      <c r="G282" s="85">
        <v>0.14375</v>
      </c>
      <c r="H282" s="85">
        <v>0.18125</v>
      </c>
      <c r="I282" s="85">
        <v>0.25</v>
      </c>
      <c r="J282" s="45">
        <f t="shared" si="3"/>
        <v>480</v>
      </c>
      <c r="K282" s="46" t="s">
        <v>112</v>
      </c>
      <c r="L282" s="46" t="s">
        <v>152</v>
      </c>
      <c r="M282" s="92"/>
      <c r="N282" s="27"/>
    </row>
    <row r="283">
      <c r="A283" s="40">
        <v>43991.0</v>
      </c>
      <c r="B283" s="41" t="s">
        <v>94</v>
      </c>
      <c r="C283" s="43" t="str">
        <f>VLOOKUP(A283,Table!A:B,2,false)</f>
        <v>P11 W1</v>
      </c>
      <c r="D283" s="43" t="str">
        <f>VLOOKUP(A283,Table!A:D,4,false)</f>
        <v>Period 11</v>
      </c>
      <c r="E283" s="70" t="s">
        <v>93</v>
      </c>
      <c r="F283" s="43">
        <v>0.9166666666666666</v>
      </c>
      <c r="G283" s="85">
        <v>0.11180555555555556</v>
      </c>
      <c r="H283" s="85">
        <v>0.13472222222222222</v>
      </c>
      <c r="I283" s="85">
        <v>0.18125</v>
      </c>
      <c r="J283" s="45">
        <f t="shared" si="3"/>
        <v>381</v>
      </c>
      <c r="L283" s="46" t="s">
        <v>154</v>
      </c>
      <c r="M283" s="27"/>
      <c r="N283" s="27"/>
    </row>
    <row r="284">
      <c r="A284" s="40">
        <v>43992.0</v>
      </c>
      <c r="B284" s="41" t="s">
        <v>96</v>
      </c>
      <c r="C284" s="43" t="str">
        <f>VLOOKUP(A284,Table!A:B,2,false)</f>
        <v>P11 W1</v>
      </c>
      <c r="D284" s="43" t="str">
        <f>VLOOKUP(A284,Table!A:D,4,false)</f>
        <v>Period 11</v>
      </c>
      <c r="E284" s="70" t="s">
        <v>93</v>
      </c>
      <c r="F284" s="43">
        <v>0.9166666666666666</v>
      </c>
      <c r="G284" s="85">
        <v>0.1111111111111111</v>
      </c>
      <c r="H284" s="85">
        <v>0.13333333333333333</v>
      </c>
      <c r="I284" s="85">
        <v>0.21805555555555556</v>
      </c>
      <c r="J284" s="45">
        <f t="shared" si="3"/>
        <v>434</v>
      </c>
      <c r="L284" s="46" t="s">
        <v>156</v>
      </c>
      <c r="M284" s="27"/>
      <c r="N284" s="27"/>
    </row>
    <row r="285">
      <c r="A285" s="40">
        <v>43993.0</v>
      </c>
      <c r="B285" s="41" t="s">
        <v>97</v>
      </c>
      <c r="C285" s="43" t="str">
        <f>VLOOKUP(A285,Table!A:B,2,false)</f>
        <v>P11 W1</v>
      </c>
      <c r="D285" s="43" t="str">
        <f>VLOOKUP(A285,Table!A:D,4,false)</f>
        <v>Period 11</v>
      </c>
      <c r="E285" s="70" t="s">
        <v>93</v>
      </c>
      <c r="F285" s="43">
        <v>0.9166666666666666</v>
      </c>
      <c r="G285" s="85">
        <v>0.1111111111111111</v>
      </c>
      <c r="H285" s="85">
        <v>0.28888888888888886</v>
      </c>
      <c r="I285" s="85">
        <v>0.3798611111111111</v>
      </c>
      <c r="J285" s="45">
        <f t="shared" si="3"/>
        <v>667</v>
      </c>
      <c r="L285" s="46" t="s">
        <v>157</v>
      </c>
      <c r="M285" s="27"/>
      <c r="N285" s="27"/>
    </row>
    <row r="286">
      <c r="A286" s="40">
        <v>43994.0</v>
      </c>
      <c r="B286" s="41" t="s">
        <v>98</v>
      </c>
      <c r="C286" s="43" t="str">
        <f>VLOOKUP(A286,Table!A:B,2,false)</f>
        <v>P11 W1</v>
      </c>
      <c r="D286" s="43" t="str">
        <f>VLOOKUP(A286,Table!A:D,4,false)</f>
        <v>Period 11</v>
      </c>
      <c r="E286" s="70" t="s">
        <v>93</v>
      </c>
      <c r="F286" s="43">
        <v>0.9166666666666666</v>
      </c>
      <c r="G286" s="85">
        <v>0.11875</v>
      </c>
      <c r="H286" s="85">
        <v>0.13819444444444445</v>
      </c>
      <c r="I286" s="85">
        <v>0.225</v>
      </c>
      <c r="J286" s="45">
        <f t="shared" si="3"/>
        <v>444</v>
      </c>
      <c r="L286" s="46" t="s">
        <v>158</v>
      </c>
      <c r="M286" s="27"/>
      <c r="N286" s="27"/>
    </row>
    <row r="287">
      <c r="A287" s="40">
        <v>43995.0</v>
      </c>
      <c r="B287" s="41" t="s">
        <v>99</v>
      </c>
      <c r="C287" s="43" t="str">
        <f>VLOOKUP(A287,Table!A:B,2,false)</f>
        <v>P11 W1</v>
      </c>
      <c r="D287" s="43" t="str">
        <f>VLOOKUP(A287,Table!A:D,4,false)</f>
        <v>Period 11</v>
      </c>
      <c r="E287" s="70" t="s">
        <v>93</v>
      </c>
      <c r="F287" s="43">
        <v>0.9166666666666666</v>
      </c>
      <c r="G287" s="85">
        <v>0.22777777777777777</v>
      </c>
      <c r="H287" s="85">
        <v>0.2611111111111111</v>
      </c>
      <c r="I287" s="85">
        <v>0.3402777777777778</v>
      </c>
      <c r="J287" s="45">
        <f t="shared" si="3"/>
        <v>610</v>
      </c>
      <c r="L287" s="46" t="s">
        <v>159</v>
      </c>
      <c r="M287" s="27"/>
      <c r="N287" s="27"/>
    </row>
    <row r="288">
      <c r="A288" s="40">
        <v>43996.0</v>
      </c>
      <c r="B288" s="41" t="s">
        <v>100</v>
      </c>
      <c r="C288" s="43" t="str">
        <f>VLOOKUP(A288,Table!A:B,2,false)</f>
        <v>P11 W1</v>
      </c>
      <c r="D288" s="43" t="str">
        <f>VLOOKUP(A288,Table!A:D,4,false)</f>
        <v>Period 11</v>
      </c>
      <c r="E288" s="70" t="s">
        <v>93</v>
      </c>
      <c r="F288" s="43">
        <v>0.9166666666666666</v>
      </c>
      <c r="G288" s="85">
        <v>0.14375</v>
      </c>
      <c r="H288" s="85">
        <v>0.17569444444444443</v>
      </c>
      <c r="I288" s="85">
        <v>0.2388888888888889</v>
      </c>
      <c r="J288" s="45">
        <f t="shared" si="3"/>
        <v>464</v>
      </c>
      <c r="L288" s="46" t="s">
        <v>160</v>
      </c>
      <c r="M288" s="27"/>
      <c r="N288" s="27"/>
    </row>
    <row r="289">
      <c r="A289" s="40">
        <v>43997.0</v>
      </c>
      <c r="B289" s="41" t="s">
        <v>92</v>
      </c>
      <c r="C289" s="43" t="str">
        <f>VLOOKUP(A289,Table!A:B,2,false)</f>
        <v>P11 W2</v>
      </c>
      <c r="D289" s="43" t="str">
        <f>VLOOKUP(A289,Table!A:D,4,false)</f>
        <v>Period 11</v>
      </c>
      <c r="E289" s="70" t="s">
        <v>101</v>
      </c>
      <c r="F289" s="43">
        <v>0.9166666666666666</v>
      </c>
      <c r="G289" s="85">
        <v>0.11458333333333333</v>
      </c>
      <c r="H289" s="85">
        <v>0.1375</v>
      </c>
      <c r="I289" s="85">
        <v>0.23055555555555557</v>
      </c>
      <c r="J289" s="45">
        <f t="shared" si="3"/>
        <v>452</v>
      </c>
      <c r="L289" s="46" t="s">
        <v>152</v>
      </c>
      <c r="M289" s="27"/>
      <c r="N289" s="27"/>
    </row>
    <row r="290">
      <c r="A290" s="40">
        <v>43998.0</v>
      </c>
      <c r="B290" s="41" t="s">
        <v>94</v>
      </c>
      <c r="C290" s="43" t="str">
        <f>VLOOKUP(A290,Table!A:B,2,false)</f>
        <v>P11 W2</v>
      </c>
      <c r="D290" s="43" t="str">
        <f>VLOOKUP(A290,Table!A:D,4,false)</f>
        <v>Period 11</v>
      </c>
      <c r="E290" s="70" t="s">
        <v>101</v>
      </c>
      <c r="F290" s="43">
        <v>0.9166666666666666</v>
      </c>
      <c r="G290" s="85">
        <v>0.12916666666666668</v>
      </c>
      <c r="H290" s="85">
        <v>0.16041666666666668</v>
      </c>
      <c r="I290" s="85">
        <v>0.24166666666666667</v>
      </c>
      <c r="J290" s="45">
        <f t="shared" si="3"/>
        <v>468</v>
      </c>
      <c r="L290" s="46" t="s">
        <v>154</v>
      </c>
      <c r="M290" s="27"/>
      <c r="N290" s="27"/>
    </row>
    <row r="291">
      <c r="A291" s="40">
        <v>43999.0</v>
      </c>
      <c r="B291" s="41" t="s">
        <v>96</v>
      </c>
      <c r="C291" s="43" t="str">
        <f>VLOOKUP(A291,Table!A:B,2,false)</f>
        <v>P11 W2</v>
      </c>
      <c r="D291" s="43" t="str">
        <f>VLOOKUP(A291,Table!A:D,4,false)</f>
        <v>Period 11</v>
      </c>
      <c r="E291" s="70" t="s">
        <v>101</v>
      </c>
      <c r="F291" s="43">
        <v>0.9166666666666666</v>
      </c>
      <c r="G291" s="85">
        <v>0.11319444444444444</v>
      </c>
      <c r="H291" s="85">
        <v>0.1423611111111111</v>
      </c>
      <c r="I291" s="85">
        <v>0.2263888888888889</v>
      </c>
      <c r="J291" s="45">
        <f t="shared" si="3"/>
        <v>446</v>
      </c>
      <c r="L291" s="46" t="s">
        <v>156</v>
      </c>
      <c r="M291" s="27"/>
      <c r="N291" s="27"/>
    </row>
    <row r="292">
      <c r="A292" s="40">
        <v>44000.0</v>
      </c>
      <c r="B292" s="41" t="s">
        <v>97</v>
      </c>
      <c r="C292" s="43" t="str">
        <f>VLOOKUP(A292,Table!A:B,2,false)</f>
        <v>P11 W2</v>
      </c>
      <c r="D292" s="43" t="str">
        <f>VLOOKUP(A292,Table!A:D,4,false)</f>
        <v>Period 11</v>
      </c>
      <c r="E292" s="70" t="s">
        <v>101</v>
      </c>
      <c r="F292" s="43">
        <v>0.9166666666666666</v>
      </c>
      <c r="G292" s="85">
        <v>0.1125</v>
      </c>
      <c r="H292" s="85">
        <v>0.14444444444444443</v>
      </c>
      <c r="I292" s="85">
        <v>0.22361111111111112</v>
      </c>
      <c r="J292" s="45">
        <f t="shared" si="3"/>
        <v>442</v>
      </c>
      <c r="L292" s="46" t="s">
        <v>157</v>
      </c>
      <c r="M292" s="27"/>
      <c r="N292" s="27"/>
    </row>
    <row r="293">
      <c r="A293" s="40">
        <v>44001.0</v>
      </c>
      <c r="B293" s="41" t="s">
        <v>98</v>
      </c>
      <c r="C293" s="43" t="str">
        <f>VLOOKUP(A293,Table!A:B,2,false)</f>
        <v>P11 W2</v>
      </c>
      <c r="D293" s="43" t="str">
        <f>VLOOKUP(A293,Table!A:D,4,false)</f>
        <v>Period 11</v>
      </c>
      <c r="E293" s="70" t="s">
        <v>101</v>
      </c>
      <c r="F293" s="43">
        <v>0.9166666666666666</v>
      </c>
      <c r="G293" s="48">
        <v>0.11736111111111111</v>
      </c>
      <c r="H293" s="48">
        <v>0.3138888888888889</v>
      </c>
      <c r="I293" s="48">
        <v>0.41875</v>
      </c>
      <c r="J293" s="45">
        <f t="shared" si="3"/>
        <v>723</v>
      </c>
      <c r="L293" s="46" t="s">
        <v>158</v>
      </c>
      <c r="M293" s="27"/>
      <c r="N293" s="27"/>
    </row>
    <row r="294">
      <c r="A294" s="40">
        <v>44002.0</v>
      </c>
      <c r="B294" s="41" t="s">
        <v>99</v>
      </c>
      <c r="C294" s="43" t="str">
        <f>VLOOKUP(A294,Table!A:B,2,false)</f>
        <v>P11 W2</v>
      </c>
      <c r="D294" s="43" t="str">
        <f>VLOOKUP(A294,Table!A:D,4,false)</f>
        <v>Period 11</v>
      </c>
      <c r="E294" s="70" t="s">
        <v>101</v>
      </c>
      <c r="F294" s="43">
        <v>0.9166666666666666</v>
      </c>
      <c r="G294" s="48">
        <v>0.17152777777777778</v>
      </c>
      <c r="H294" s="48">
        <v>0.18680555555555556</v>
      </c>
      <c r="I294" s="48">
        <v>0.28055555555555556</v>
      </c>
      <c r="J294" s="45">
        <f t="shared" si="3"/>
        <v>524</v>
      </c>
      <c r="L294" s="46" t="s">
        <v>159</v>
      </c>
      <c r="M294" s="27"/>
      <c r="N294" s="27"/>
    </row>
    <row r="295">
      <c r="A295" s="40">
        <v>44003.0</v>
      </c>
      <c r="B295" s="41" t="s">
        <v>100</v>
      </c>
      <c r="C295" s="43" t="str">
        <f>VLOOKUP(A295,Table!A:B,2,false)</f>
        <v>P11 W2</v>
      </c>
      <c r="D295" s="43" t="str">
        <f>VLOOKUP(A295,Table!A:D,4,false)</f>
        <v>Period 11</v>
      </c>
      <c r="E295" s="70" t="s">
        <v>101</v>
      </c>
      <c r="F295" s="43">
        <v>0.9166666666666666</v>
      </c>
      <c r="G295" s="48">
        <v>0.15138888888888888</v>
      </c>
      <c r="H295" s="48">
        <v>0.18541666666666667</v>
      </c>
      <c r="I295" s="109">
        <v>0.24583333333333332</v>
      </c>
      <c r="J295" s="45">
        <f t="shared" si="3"/>
        <v>474</v>
      </c>
      <c r="L295" s="46" t="s">
        <v>160</v>
      </c>
      <c r="M295" s="27"/>
      <c r="N295" s="27"/>
    </row>
    <row r="296">
      <c r="A296" s="40">
        <v>44004.0</v>
      </c>
      <c r="B296" s="41" t="s">
        <v>92</v>
      </c>
      <c r="C296" s="43" t="str">
        <f>VLOOKUP(A296,Table!A:B,2,false)</f>
        <v>P11 W3</v>
      </c>
      <c r="D296" s="43" t="str">
        <f>VLOOKUP(A296,Table!A:D,4,false)</f>
        <v>Period 11</v>
      </c>
      <c r="E296" s="70" t="s">
        <v>106</v>
      </c>
      <c r="F296" s="43">
        <v>0.9166666666666666</v>
      </c>
      <c r="G296" s="48">
        <v>0.12083333333333333</v>
      </c>
      <c r="H296" s="48">
        <v>0.17569444444444443</v>
      </c>
      <c r="I296" s="48">
        <v>0.26666666666666666</v>
      </c>
      <c r="J296" s="45">
        <f t="shared" si="3"/>
        <v>504</v>
      </c>
      <c r="L296" s="46" t="s">
        <v>152</v>
      </c>
      <c r="M296" s="27"/>
      <c r="N296" s="27"/>
    </row>
    <row r="297">
      <c r="A297" s="40">
        <v>44005.0</v>
      </c>
      <c r="B297" s="41" t="s">
        <v>94</v>
      </c>
      <c r="C297" s="43" t="str">
        <f>VLOOKUP(A297,Table!A:B,2,false)</f>
        <v>P11 W3</v>
      </c>
      <c r="D297" s="43" t="str">
        <f>VLOOKUP(A297,Table!A:D,4,false)</f>
        <v>Period 11</v>
      </c>
      <c r="E297" s="70" t="s">
        <v>106</v>
      </c>
      <c r="F297" s="43">
        <v>0.9166666666666666</v>
      </c>
      <c r="G297" s="48">
        <v>0.12083333333333333</v>
      </c>
      <c r="H297" s="48">
        <v>0.14791666666666667</v>
      </c>
      <c r="I297" s="48">
        <v>0.23680555555555555</v>
      </c>
      <c r="J297" s="45">
        <f t="shared" si="3"/>
        <v>461</v>
      </c>
      <c r="L297" s="46" t="s">
        <v>154</v>
      </c>
      <c r="M297" s="27"/>
      <c r="N297" s="27"/>
    </row>
    <row r="298">
      <c r="A298" s="40">
        <v>44006.0</v>
      </c>
      <c r="B298" s="41" t="s">
        <v>96</v>
      </c>
      <c r="C298" s="43" t="str">
        <f>VLOOKUP(A298,Table!A:B,2,false)</f>
        <v>P11 W3</v>
      </c>
      <c r="D298" s="43" t="str">
        <f>VLOOKUP(A298,Table!A:D,4,false)</f>
        <v>Period 11</v>
      </c>
      <c r="E298" s="70" t="s">
        <v>106</v>
      </c>
      <c r="F298" s="43">
        <v>0.9166666666666666</v>
      </c>
      <c r="G298" s="48">
        <v>0.1673611111111111</v>
      </c>
      <c r="H298" s="48">
        <v>0.19722222222222222</v>
      </c>
      <c r="I298" s="48">
        <v>0.2826388888888889</v>
      </c>
      <c r="J298" s="45">
        <f t="shared" si="3"/>
        <v>527</v>
      </c>
      <c r="L298" s="46" t="s">
        <v>156</v>
      </c>
      <c r="M298" s="27"/>
      <c r="N298" s="27"/>
    </row>
    <row r="299">
      <c r="A299" s="40">
        <v>44007.0</v>
      </c>
      <c r="B299" s="41" t="s">
        <v>97</v>
      </c>
      <c r="C299" s="43" t="str">
        <f>VLOOKUP(A299,Table!A:B,2,false)</f>
        <v>P11 W3</v>
      </c>
      <c r="D299" s="43" t="str">
        <f>VLOOKUP(A299,Table!A:D,4,false)</f>
        <v>Period 11</v>
      </c>
      <c r="E299" s="70" t="s">
        <v>106</v>
      </c>
      <c r="F299" s="43">
        <v>0.9166666666666666</v>
      </c>
      <c r="G299" s="48">
        <v>0.11875</v>
      </c>
      <c r="H299" s="110">
        <v>0.24166666666666667</v>
      </c>
      <c r="I299" s="48">
        <v>0.3416666666666667</v>
      </c>
      <c r="J299" s="45">
        <f t="shared" si="3"/>
        <v>612</v>
      </c>
      <c r="L299" s="46" t="s">
        <v>157</v>
      </c>
      <c r="M299" s="111"/>
      <c r="N299" s="27"/>
    </row>
    <row r="300">
      <c r="A300" s="40">
        <v>44008.0</v>
      </c>
      <c r="B300" s="41" t="s">
        <v>98</v>
      </c>
      <c r="C300" s="43" t="str">
        <f>VLOOKUP(A300,Table!A:B,2,false)</f>
        <v>P11 W3</v>
      </c>
      <c r="D300" s="43" t="str">
        <f>VLOOKUP(A300,Table!A:D,4,false)</f>
        <v>Period 11</v>
      </c>
      <c r="E300" s="70" t="s">
        <v>106</v>
      </c>
      <c r="F300" s="43">
        <v>0.9166666666666666</v>
      </c>
      <c r="G300" s="48">
        <v>0.11458333333333333</v>
      </c>
      <c r="H300" s="48">
        <v>0.2465277777777778</v>
      </c>
      <c r="I300" s="48">
        <v>0.3458333333333333</v>
      </c>
      <c r="J300" s="45">
        <f t="shared" si="3"/>
        <v>618</v>
      </c>
      <c r="L300" s="46" t="s">
        <v>158</v>
      </c>
      <c r="M300" s="111"/>
      <c r="N300" s="27"/>
    </row>
    <row r="301">
      <c r="A301" s="40">
        <v>44009.0</v>
      </c>
      <c r="B301" s="41" t="s">
        <v>99</v>
      </c>
      <c r="C301" s="43" t="str">
        <f>VLOOKUP(A301,Table!A:B,2,false)</f>
        <v>P11 W3</v>
      </c>
      <c r="D301" s="43" t="str">
        <f>VLOOKUP(A301,Table!A:D,4,false)</f>
        <v>Period 11</v>
      </c>
      <c r="E301" s="70" t="s">
        <v>106</v>
      </c>
      <c r="F301" s="43">
        <v>0.9166666666666666</v>
      </c>
      <c r="G301" s="48">
        <v>0.12708333333333333</v>
      </c>
      <c r="H301" s="48">
        <v>0.14444444444444443</v>
      </c>
      <c r="I301" s="48">
        <v>0.24375</v>
      </c>
      <c r="J301" s="45">
        <f t="shared" si="3"/>
        <v>471</v>
      </c>
      <c r="L301" s="46" t="s">
        <v>159</v>
      </c>
      <c r="M301" s="112"/>
      <c r="N301" s="27"/>
    </row>
    <row r="302">
      <c r="A302" s="40">
        <v>44010.0</v>
      </c>
      <c r="B302" s="41" t="s">
        <v>100</v>
      </c>
      <c r="C302" s="43" t="str">
        <f>VLOOKUP(A302,Table!A:B,2,false)</f>
        <v>P11 W3</v>
      </c>
      <c r="D302" s="43" t="str">
        <f>VLOOKUP(A302,Table!A:D,4,false)</f>
        <v>Period 11</v>
      </c>
      <c r="E302" s="70" t="s">
        <v>106</v>
      </c>
      <c r="F302" s="43">
        <v>0.9166666666666666</v>
      </c>
      <c r="G302" s="48">
        <v>0.15</v>
      </c>
      <c r="H302" s="48">
        <v>0.18194444444444444</v>
      </c>
      <c r="I302" s="48">
        <v>0.2465277777777778</v>
      </c>
      <c r="J302" s="45">
        <f t="shared" si="3"/>
        <v>475</v>
      </c>
      <c r="L302" s="46" t="s">
        <v>160</v>
      </c>
      <c r="M302" s="27"/>
      <c r="N302" s="27"/>
    </row>
    <row r="303">
      <c r="A303" s="40">
        <v>44011.0</v>
      </c>
      <c r="B303" s="41" t="s">
        <v>92</v>
      </c>
      <c r="C303" s="43" t="str">
        <f>VLOOKUP(A303,Table!A:B,2,false)</f>
        <v>P11 W4</v>
      </c>
      <c r="D303" s="43" t="str">
        <f>VLOOKUP(A303,Table!A:D,4,false)</f>
        <v>Period 11</v>
      </c>
      <c r="E303" s="70" t="s">
        <v>110</v>
      </c>
      <c r="F303" s="43">
        <v>0.9166666666666666</v>
      </c>
      <c r="G303" s="48">
        <v>0.11944444444444445</v>
      </c>
      <c r="H303" s="48">
        <v>0.15347222222222223</v>
      </c>
      <c r="I303" s="48">
        <v>0.2263888888888889</v>
      </c>
      <c r="J303" s="45">
        <f t="shared" si="3"/>
        <v>446</v>
      </c>
      <c r="L303" s="46" t="s">
        <v>152</v>
      </c>
      <c r="M303" s="27"/>
      <c r="N303" s="27"/>
    </row>
    <row r="304">
      <c r="A304" s="40">
        <v>44012.0</v>
      </c>
      <c r="B304" s="41" t="s">
        <v>94</v>
      </c>
      <c r="C304" s="43" t="str">
        <f>VLOOKUP(A304,Table!A:B,2,false)</f>
        <v>P11 W4</v>
      </c>
      <c r="D304" s="43" t="str">
        <f>VLOOKUP(A304,Table!A:D,4,false)</f>
        <v>Period 11</v>
      </c>
      <c r="E304" s="70" t="s">
        <v>110</v>
      </c>
      <c r="F304" s="43">
        <v>0.9166666666666666</v>
      </c>
      <c r="G304" s="48">
        <v>0.12361111111111112</v>
      </c>
      <c r="H304" s="48">
        <v>0.15625</v>
      </c>
      <c r="I304" s="48">
        <v>0.2520833333333333</v>
      </c>
      <c r="J304" s="45">
        <f t="shared" si="3"/>
        <v>483</v>
      </c>
      <c r="L304" s="46" t="s">
        <v>154</v>
      </c>
      <c r="M304" s="27"/>
      <c r="N304" s="27"/>
    </row>
    <row r="305">
      <c r="A305" s="40">
        <v>44013.0</v>
      </c>
      <c r="B305" s="41" t="s">
        <v>96</v>
      </c>
      <c r="C305" s="43" t="str">
        <f>VLOOKUP(A305,Table!A:B,2,false)</f>
        <v>P11 W4</v>
      </c>
      <c r="D305" s="43" t="str">
        <f>VLOOKUP(A305,Table!A:D,4,false)</f>
        <v>Period 11</v>
      </c>
      <c r="E305" s="70" t="s">
        <v>110</v>
      </c>
      <c r="F305" s="43">
        <v>0.9166666666666666</v>
      </c>
      <c r="G305" s="48">
        <v>0.13402777777777777</v>
      </c>
      <c r="H305" s="48">
        <v>0.16805555555555557</v>
      </c>
      <c r="I305" s="48">
        <v>0.23333333333333334</v>
      </c>
      <c r="J305" s="45">
        <f t="shared" si="3"/>
        <v>456</v>
      </c>
      <c r="L305" s="46" t="s">
        <v>156</v>
      </c>
      <c r="M305" s="27"/>
      <c r="N305" s="27"/>
    </row>
    <row r="306">
      <c r="A306" s="40">
        <v>44014.0</v>
      </c>
      <c r="B306" s="41" t="s">
        <v>97</v>
      </c>
      <c r="C306" s="43" t="str">
        <f>VLOOKUP(A306,Table!A:B,2,false)</f>
        <v>P11 W4</v>
      </c>
      <c r="D306" s="43" t="str">
        <f>VLOOKUP(A306,Table!A:D,4,false)</f>
        <v>Period 11</v>
      </c>
      <c r="E306" s="70" t="s">
        <v>110</v>
      </c>
      <c r="F306" s="43">
        <v>0.9166666666666666</v>
      </c>
      <c r="G306" s="48">
        <v>0.11944444444444445</v>
      </c>
      <c r="H306" s="48">
        <v>0.15347222222222223</v>
      </c>
      <c r="I306" s="48">
        <v>0.2513888888888889</v>
      </c>
      <c r="J306" s="45">
        <f t="shared" si="3"/>
        <v>482</v>
      </c>
      <c r="L306" s="46" t="s">
        <v>157</v>
      </c>
      <c r="M306" s="27"/>
      <c r="N306" s="27"/>
    </row>
    <row r="307">
      <c r="A307" s="40">
        <v>44015.0</v>
      </c>
      <c r="B307" s="41" t="s">
        <v>98</v>
      </c>
      <c r="C307" s="43" t="str">
        <f>VLOOKUP(A307,Table!A:B,2,false)</f>
        <v>P11 W4</v>
      </c>
      <c r="D307" s="43" t="str">
        <f>VLOOKUP(A307,Table!A:D,4,false)</f>
        <v>Period 11</v>
      </c>
      <c r="E307" s="70" t="s">
        <v>110</v>
      </c>
      <c r="F307" s="43">
        <v>0.9166666666666666</v>
      </c>
      <c r="G307" s="48">
        <v>0.11597222222222223</v>
      </c>
      <c r="H307" s="48">
        <v>0.13333333333333333</v>
      </c>
      <c r="I307" s="48">
        <v>0.22777777777777777</v>
      </c>
      <c r="J307" s="45">
        <f t="shared" si="3"/>
        <v>448</v>
      </c>
      <c r="L307" s="46" t="s">
        <v>158</v>
      </c>
      <c r="M307" s="27"/>
      <c r="N307" s="27"/>
    </row>
    <row r="308">
      <c r="A308" s="40">
        <v>44016.0</v>
      </c>
      <c r="B308" s="41" t="s">
        <v>99</v>
      </c>
      <c r="C308" s="43" t="str">
        <f>VLOOKUP(A308,Table!A:B,2,false)</f>
        <v>P11 W4</v>
      </c>
      <c r="D308" s="43" t="str">
        <f>VLOOKUP(A308,Table!A:D,4,false)</f>
        <v>Period 11</v>
      </c>
      <c r="E308" s="70" t="s">
        <v>110</v>
      </c>
      <c r="F308" s="43">
        <v>0.9166666666666666</v>
      </c>
      <c r="G308" s="48">
        <v>0.16041666666666668</v>
      </c>
      <c r="H308" s="48">
        <v>0.1736111111111111</v>
      </c>
      <c r="I308" s="48">
        <v>0.2375</v>
      </c>
      <c r="J308" s="45">
        <f t="shared" si="3"/>
        <v>462</v>
      </c>
      <c r="L308" s="46" t="s">
        <v>159</v>
      </c>
      <c r="M308" s="27"/>
      <c r="N308" s="27"/>
    </row>
    <row r="309">
      <c r="A309" s="40">
        <v>44017.0</v>
      </c>
      <c r="B309" s="41" t="s">
        <v>100</v>
      </c>
      <c r="C309" s="43" t="str">
        <f>VLOOKUP(A309,Table!A:B,2,false)</f>
        <v>P11 W4</v>
      </c>
      <c r="D309" s="43" t="str">
        <f>VLOOKUP(A309,Table!A:D,4,false)</f>
        <v>Period 11</v>
      </c>
      <c r="E309" s="70" t="s">
        <v>110</v>
      </c>
      <c r="F309" s="43">
        <v>0.9166666666666666</v>
      </c>
      <c r="G309" s="48">
        <v>0.20208333333333334</v>
      </c>
      <c r="H309" s="48">
        <v>0.2361111111111111</v>
      </c>
      <c r="I309" s="48">
        <v>0.29583333333333334</v>
      </c>
      <c r="J309" s="45">
        <f t="shared" si="3"/>
        <v>546</v>
      </c>
      <c r="L309" s="46" t="s">
        <v>160</v>
      </c>
      <c r="M309" s="27"/>
      <c r="N309" s="27"/>
    </row>
    <row r="310">
      <c r="A310" s="78">
        <v>44018.0</v>
      </c>
      <c r="B310" s="79" t="s">
        <v>92</v>
      </c>
      <c r="C310" s="54" t="str">
        <f>VLOOKUP(A310,Table!A:B,2,false)</f>
        <v>P12 W1</v>
      </c>
      <c r="D310" s="54" t="str">
        <f>VLOOKUP(A310,Table!A:D,4,false)</f>
        <v>Period 12</v>
      </c>
      <c r="E310" s="70" t="s">
        <v>93</v>
      </c>
      <c r="F310" s="54">
        <v>0.9166666666666666</v>
      </c>
      <c r="G310" s="48">
        <v>0.14375</v>
      </c>
      <c r="H310" s="48">
        <v>0.17916666666666667</v>
      </c>
      <c r="I310" s="48">
        <v>0.2423611111111111</v>
      </c>
      <c r="J310" s="45">
        <f t="shared" si="3"/>
        <v>469</v>
      </c>
      <c r="L310" s="46" t="s">
        <v>152</v>
      </c>
      <c r="M310" s="104"/>
      <c r="N310" s="27"/>
    </row>
    <row r="311">
      <c r="A311" s="40">
        <v>44019.0</v>
      </c>
      <c r="B311" s="41" t="s">
        <v>94</v>
      </c>
      <c r="C311" s="43" t="str">
        <f>VLOOKUP(A311,Table!A:B,2,false)</f>
        <v>P12 W1</v>
      </c>
      <c r="D311" s="43" t="str">
        <f>VLOOKUP(A311,Table!A:D,4,false)</f>
        <v>Period 12</v>
      </c>
      <c r="E311" s="70" t="s">
        <v>93</v>
      </c>
      <c r="F311" s="43">
        <v>0.9166666666666666</v>
      </c>
      <c r="G311" s="48">
        <v>0.1375</v>
      </c>
      <c r="H311" s="48">
        <v>0.16458333333333333</v>
      </c>
      <c r="I311" s="48">
        <v>0.25763888888888886</v>
      </c>
      <c r="J311" s="45">
        <f t="shared" si="3"/>
        <v>491</v>
      </c>
      <c r="L311" s="46" t="s">
        <v>154</v>
      </c>
      <c r="M311" s="113"/>
      <c r="N311" s="27"/>
    </row>
    <row r="312">
      <c r="A312" s="40">
        <v>44020.0</v>
      </c>
      <c r="B312" s="41" t="s">
        <v>96</v>
      </c>
      <c r="C312" s="43" t="str">
        <f>VLOOKUP(A312,Table!A:B,2,false)</f>
        <v>P12 W1</v>
      </c>
      <c r="D312" s="43" t="str">
        <f>VLOOKUP(A312,Table!A:D,4,false)</f>
        <v>Period 12</v>
      </c>
      <c r="E312" s="70" t="s">
        <v>93</v>
      </c>
      <c r="F312" s="43">
        <v>0.9166666666666666</v>
      </c>
      <c r="G312" s="48">
        <v>0.11527777777777778</v>
      </c>
      <c r="H312" s="48">
        <v>0.15138888888888888</v>
      </c>
      <c r="I312" s="48">
        <v>0.23819444444444443</v>
      </c>
      <c r="J312" s="45">
        <f t="shared" si="3"/>
        <v>463</v>
      </c>
      <c r="L312" s="46" t="s">
        <v>156</v>
      </c>
      <c r="M312" s="27"/>
      <c r="N312" s="27"/>
    </row>
    <row r="313">
      <c r="A313" s="40">
        <v>44021.0</v>
      </c>
      <c r="B313" s="41" t="s">
        <v>97</v>
      </c>
      <c r="C313" s="43" t="str">
        <f>VLOOKUP(A313,Table!A:B,2,false)</f>
        <v>P12 W1</v>
      </c>
      <c r="D313" s="43" t="str">
        <f>VLOOKUP(A313,Table!A:D,4,false)</f>
        <v>Period 12</v>
      </c>
      <c r="E313" s="70" t="s">
        <v>93</v>
      </c>
      <c r="F313" s="43">
        <v>0.9166666666666666</v>
      </c>
      <c r="G313" s="48">
        <v>0.125</v>
      </c>
      <c r="H313" s="48">
        <v>0.15069444444444444</v>
      </c>
      <c r="I313" s="48">
        <v>0.25277777777777777</v>
      </c>
      <c r="J313" s="45">
        <f t="shared" si="3"/>
        <v>484</v>
      </c>
      <c r="L313" s="46" t="s">
        <v>157</v>
      </c>
      <c r="M313" s="27"/>
      <c r="N313" s="27"/>
    </row>
    <row r="314">
      <c r="A314" s="40">
        <v>44022.0</v>
      </c>
      <c r="B314" s="41" t="s">
        <v>98</v>
      </c>
      <c r="C314" s="43" t="str">
        <f>VLOOKUP(A314,Table!A:B,2,false)</f>
        <v>P12 W1</v>
      </c>
      <c r="D314" s="43" t="str">
        <f>VLOOKUP(A314,Table!A:D,4,false)</f>
        <v>Period 12</v>
      </c>
      <c r="E314" s="70" t="s">
        <v>93</v>
      </c>
      <c r="F314" s="43">
        <v>0.9166666666666666</v>
      </c>
      <c r="G314" s="48">
        <v>0.12708333333333333</v>
      </c>
      <c r="H314" s="48">
        <v>0.7013888888888888</v>
      </c>
      <c r="I314" s="48">
        <v>0.24791666666666667</v>
      </c>
      <c r="J314" s="45">
        <f t="shared" si="3"/>
        <v>477</v>
      </c>
      <c r="L314" s="46" t="s">
        <v>158</v>
      </c>
      <c r="M314" s="27"/>
      <c r="N314" s="27"/>
    </row>
    <row r="315">
      <c r="A315" s="40">
        <v>44023.0</v>
      </c>
      <c r="B315" s="41" t="s">
        <v>99</v>
      </c>
      <c r="C315" s="43" t="str">
        <f>VLOOKUP(A315,Table!A:B,2,false)</f>
        <v>P12 W1</v>
      </c>
      <c r="D315" s="43" t="str">
        <f>VLOOKUP(A315,Table!A:D,4,false)</f>
        <v>Period 12</v>
      </c>
      <c r="E315" s="70" t="s">
        <v>93</v>
      </c>
      <c r="F315" s="43">
        <v>0.9166666666666666</v>
      </c>
      <c r="G315" s="48">
        <v>0.22847222222222222</v>
      </c>
      <c r="H315" s="48">
        <v>0.24305555555555555</v>
      </c>
      <c r="I315" s="48">
        <v>0.30694444444444446</v>
      </c>
      <c r="J315" s="45">
        <f t="shared" si="3"/>
        <v>562</v>
      </c>
      <c r="L315" s="46" t="s">
        <v>159</v>
      </c>
      <c r="M315" s="27"/>
      <c r="N315" s="27"/>
    </row>
    <row r="316">
      <c r="A316" s="40">
        <v>44024.0</v>
      </c>
      <c r="B316" s="41" t="s">
        <v>100</v>
      </c>
      <c r="C316" s="43" t="str">
        <f>VLOOKUP(A316,Table!A:B,2,false)</f>
        <v>P12 W1</v>
      </c>
      <c r="D316" s="43" t="str">
        <f>VLOOKUP(A316,Table!A:D,4,false)</f>
        <v>Period 12</v>
      </c>
      <c r="E316" s="70" t="s">
        <v>93</v>
      </c>
      <c r="F316" s="43">
        <v>0.9166666666666666</v>
      </c>
      <c r="G316" s="48">
        <v>0.14791666666666667</v>
      </c>
      <c r="H316" s="48">
        <v>0.1986111111111111</v>
      </c>
      <c r="I316" s="48">
        <v>0.2465277777777778</v>
      </c>
      <c r="J316" s="45">
        <f t="shared" si="3"/>
        <v>475</v>
      </c>
      <c r="L316" s="46" t="s">
        <v>160</v>
      </c>
      <c r="M316" s="27"/>
      <c r="N316" s="27"/>
    </row>
    <row r="317">
      <c r="A317" s="40">
        <v>44025.0</v>
      </c>
      <c r="B317" s="41" t="s">
        <v>92</v>
      </c>
      <c r="C317" s="43" t="str">
        <f>VLOOKUP(A317,Table!A:B,2,false)</f>
        <v>P12 W2</v>
      </c>
      <c r="D317" s="43" t="str">
        <f>VLOOKUP(A317,Table!A:D,4,false)</f>
        <v>Period 12</v>
      </c>
      <c r="E317" s="70" t="s">
        <v>101</v>
      </c>
      <c r="F317" s="43">
        <v>0.9166666666666666</v>
      </c>
      <c r="G317" s="48">
        <v>0.12569444444444444</v>
      </c>
      <c r="H317" s="48">
        <v>0.15</v>
      </c>
      <c r="I317" s="48">
        <v>0.24097222222222223</v>
      </c>
      <c r="J317" s="45">
        <f t="shared" si="3"/>
        <v>467</v>
      </c>
      <c r="L317" s="46" t="s">
        <v>152</v>
      </c>
      <c r="M317" s="27"/>
      <c r="N317" s="27"/>
    </row>
    <row r="318">
      <c r="A318" s="40">
        <v>44026.0</v>
      </c>
      <c r="B318" s="41" t="s">
        <v>94</v>
      </c>
      <c r="C318" s="43" t="str">
        <f>VLOOKUP(A318,Table!A:B,2,false)</f>
        <v>P12 W2</v>
      </c>
      <c r="D318" s="43" t="str">
        <f>VLOOKUP(A318,Table!A:D,4,false)</f>
        <v>Period 12</v>
      </c>
      <c r="E318" s="70" t="s">
        <v>101</v>
      </c>
      <c r="F318" s="43">
        <v>0.9166666666666666</v>
      </c>
      <c r="G318" s="48">
        <v>0.11597222222222223</v>
      </c>
      <c r="H318" s="48">
        <v>0.225</v>
      </c>
      <c r="I318" s="48">
        <v>0.6784722222222223</v>
      </c>
      <c r="J318" s="45">
        <f t="shared" si="3"/>
        <v>1097</v>
      </c>
      <c r="L318" s="46" t="s">
        <v>154</v>
      </c>
      <c r="M318" s="27"/>
      <c r="N318" s="27"/>
    </row>
    <row r="319">
      <c r="A319" s="40">
        <v>44027.0</v>
      </c>
      <c r="B319" s="41" t="s">
        <v>96</v>
      </c>
      <c r="C319" s="43" t="str">
        <f>VLOOKUP(A319,Table!A:B,2,false)</f>
        <v>P12 W2</v>
      </c>
      <c r="D319" s="43" t="str">
        <f>VLOOKUP(A319,Table!A:D,4,false)</f>
        <v>Period 12</v>
      </c>
      <c r="E319" s="70" t="s">
        <v>101</v>
      </c>
      <c r="F319" s="43">
        <v>0.9166666666666666</v>
      </c>
      <c r="G319" s="48">
        <v>0.11805555555555555</v>
      </c>
      <c r="H319" s="48">
        <v>0.24791666666666667</v>
      </c>
      <c r="I319" s="48">
        <v>0.4125</v>
      </c>
      <c r="J319" s="45">
        <f t="shared" si="3"/>
        <v>714</v>
      </c>
      <c r="K319" s="46" t="s">
        <v>112</v>
      </c>
      <c r="L319" s="46" t="s">
        <v>156</v>
      </c>
      <c r="M319" s="27"/>
      <c r="N319" s="27"/>
    </row>
    <row r="320">
      <c r="A320" s="40">
        <v>44028.0</v>
      </c>
      <c r="B320" s="41" t="s">
        <v>97</v>
      </c>
      <c r="C320" s="43" t="str">
        <f>VLOOKUP(A320,Table!A:B,2,false)</f>
        <v>P12 W2</v>
      </c>
      <c r="D320" s="43" t="str">
        <f>VLOOKUP(A320,Table!A:D,4,false)</f>
        <v>Period 12</v>
      </c>
      <c r="E320" s="70" t="s">
        <v>101</v>
      </c>
      <c r="F320" s="43">
        <v>0.9166666666666666</v>
      </c>
      <c r="G320" s="48">
        <v>0.11597222222222223</v>
      </c>
      <c r="H320" s="48">
        <v>0.1638888888888889</v>
      </c>
      <c r="I320" s="48">
        <v>0.2569444444444444</v>
      </c>
      <c r="J320" s="45">
        <f t="shared" si="3"/>
        <v>490</v>
      </c>
      <c r="L320" s="46" t="s">
        <v>157</v>
      </c>
      <c r="M320" s="74"/>
      <c r="N320" s="27"/>
    </row>
    <row r="321">
      <c r="A321" s="40">
        <v>44029.0</v>
      </c>
      <c r="B321" s="41" t="s">
        <v>98</v>
      </c>
      <c r="C321" s="43" t="str">
        <f>VLOOKUP(A321,Table!A:B,2,false)</f>
        <v>P12 W2</v>
      </c>
      <c r="D321" s="43" t="str">
        <f>VLOOKUP(A321,Table!A:D,4,false)</f>
        <v>Period 12</v>
      </c>
      <c r="E321" s="70" t="s">
        <v>101</v>
      </c>
      <c r="F321" s="43">
        <v>0.9166666666666666</v>
      </c>
      <c r="G321" s="48">
        <v>0.12638888888888888</v>
      </c>
      <c r="H321" s="48">
        <v>0.1625</v>
      </c>
      <c r="I321" s="48">
        <v>0.24375</v>
      </c>
      <c r="J321" s="45">
        <f t="shared" si="3"/>
        <v>471</v>
      </c>
      <c r="L321" s="46" t="s">
        <v>158</v>
      </c>
      <c r="M321" s="81"/>
      <c r="N321" s="81"/>
    </row>
    <row r="322">
      <c r="A322" s="40">
        <v>44030.0</v>
      </c>
      <c r="B322" s="41" t="s">
        <v>99</v>
      </c>
      <c r="C322" s="43" t="str">
        <f>VLOOKUP(A322,Table!A:B,2,false)</f>
        <v>P12 W2</v>
      </c>
      <c r="D322" s="43" t="str">
        <f>VLOOKUP(A322,Table!A:D,4,false)</f>
        <v>Period 12</v>
      </c>
      <c r="E322" s="70" t="s">
        <v>101</v>
      </c>
      <c r="F322" s="43">
        <v>0.9166666666666666</v>
      </c>
      <c r="G322" s="48">
        <v>0.12222222222222222</v>
      </c>
      <c r="H322" s="48">
        <v>0.1375</v>
      </c>
      <c r="I322" s="48">
        <v>0.22916666666666666</v>
      </c>
      <c r="J322" s="45">
        <f t="shared" si="3"/>
        <v>450</v>
      </c>
      <c r="L322" s="46" t="s">
        <v>159</v>
      </c>
      <c r="M322" s="27"/>
      <c r="N322" s="27"/>
    </row>
    <row r="323">
      <c r="A323" s="40">
        <v>44031.0</v>
      </c>
      <c r="B323" s="41" t="s">
        <v>100</v>
      </c>
      <c r="C323" s="43" t="str">
        <f>VLOOKUP(A323,Table!A:B,2,false)</f>
        <v>P12 W2</v>
      </c>
      <c r="D323" s="43" t="str">
        <f>VLOOKUP(A323,Table!A:D,4,false)</f>
        <v>Period 12</v>
      </c>
      <c r="E323" s="70" t="s">
        <v>101</v>
      </c>
      <c r="F323" s="43">
        <v>0.9166666666666666</v>
      </c>
      <c r="G323" s="48">
        <v>0.16944444444444445</v>
      </c>
      <c r="H323" s="48">
        <v>0.20277777777777778</v>
      </c>
      <c r="I323" s="48">
        <v>0.28888888888888886</v>
      </c>
      <c r="J323" s="45">
        <f t="shared" si="3"/>
        <v>536</v>
      </c>
      <c r="L323" s="46" t="s">
        <v>160</v>
      </c>
      <c r="M323" s="81"/>
      <c r="N323" s="27"/>
    </row>
    <row r="324">
      <c r="A324" s="40">
        <v>44032.0</v>
      </c>
      <c r="B324" s="41" t="s">
        <v>92</v>
      </c>
      <c r="C324" s="43" t="str">
        <f>VLOOKUP(A324,Table!A:B,2,false)</f>
        <v>P12 W3</v>
      </c>
      <c r="D324" s="43" t="str">
        <f>VLOOKUP(A324,Table!A:D,4,false)</f>
        <v>Period 12</v>
      </c>
      <c r="E324" s="70" t="s">
        <v>106</v>
      </c>
      <c r="F324" s="43">
        <v>0.9166666666666666</v>
      </c>
      <c r="G324" s="48">
        <v>0.21388888888888888</v>
      </c>
      <c r="H324" s="48">
        <v>0.25833333333333336</v>
      </c>
      <c r="I324" s="48">
        <v>0.3333333333333333</v>
      </c>
      <c r="J324" s="45">
        <f t="shared" si="3"/>
        <v>600</v>
      </c>
      <c r="L324" s="46" t="s">
        <v>152</v>
      </c>
      <c r="M324" s="27"/>
      <c r="N324" s="27"/>
    </row>
    <row r="325">
      <c r="A325" s="40">
        <v>44033.0</v>
      </c>
      <c r="B325" s="41" t="s">
        <v>94</v>
      </c>
      <c r="C325" s="43" t="str">
        <f>VLOOKUP(A325,Table!A:B,2,false)</f>
        <v>P12 W3</v>
      </c>
      <c r="D325" s="43" t="str">
        <f>VLOOKUP(A325,Table!A:D,4,false)</f>
        <v>Period 12</v>
      </c>
      <c r="E325" s="70" t="s">
        <v>106</v>
      </c>
      <c r="F325" s="43">
        <v>0.9166666666666666</v>
      </c>
      <c r="G325" s="48">
        <v>0.12638888888888888</v>
      </c>
      <c r="H325" s="48">
        <v>0.15555555555555556</v>
      </c>
      <c r="I325" s="48">
        <v>0.2652777777777778</v>
      </c>
      <c r="J325" s="45">
        <f t="shared" si="3"/>
        <v>502</v>
      </c>
      <c r="L325" s="46" t="s">
        <v>154</v>
      </c>
      <c r="M325" s="27"/>
      <c r="N325" s="27"/>
    </row>
    <row r="326">
      <c r="A326" s="40">
        <v>44034.0</v>
      </c>
      <c r="B326" s="41" t="s">
        <v>96</v>
      </c>
      <c r="C326" s="43" t="str">
        <f>VLOOKUP(A326,Table!A:B,2,false)</f>
        <v>P12 W3</v>
      </c>
      <c r="D326" s="43" t="str">
        <f>VLOOKUP(A326,Table!A:D,4,false)</f>
        <v>Period 12</v>
      </c>
      <c r="E326" s="70" t="s">
        <v>106</v>
      </c>
      <c r="F326" s="43">
        <v>0.9166666666666666</v>
      </c>
      <c r="G326" s="48">
        <v>0.11805555555555555</v>
      </c>
      <c r="H326" s="48">
        <v>0.1597222222222222</v>
      </c>
      <c r="I326" s="48">
        <v>0.23402777777777778</v>
      </c>
      <c r="J326" s="45">
        <f t="shared" si="3"/>
        <v>457</v>
      </c>
      <c r="L326" s="46" t="s">
        <v>156</v>
      </c>
      <c r="M326" s="27"/>
      <c r="N326" s="27"/>
    </row>
    <row r="327">
      <c r="A327" s="40">
        <v>44035.0</v>
      </c>
      <c r="B327" s="41" t="s">
        <v>97</v>
      </c>
      <c r="C327" s="43" t="str">
        <f>VLOOKUP(A327,Table!A:B,2,false)</f>
        <v>P12 W3</v>
      </c>
      <c r="D327" s="43" t="str">
        <f>VLOOKUP(A327,Table!A:D,4,false)</f>
        <v>Period 12</v>
      </c>
      <c r="E327" s="70" t="s">
        <v>106</v>
      </c>
      <c r="F327" s="43">
        <v>0.9166666666666666</v>
      </c>
      <c r="G327" s="48">
        <v>0.11944444444444445</v>
      </c>
      <c r="H327" s="48">
        <v>0.14027777777777778</v>
      </c>
      <c r="I327" s="48">
        <v>0.23125</v>
      </c>
      <c r="J327" s="45">
        <f t="shared" si="3"/>
        <v>453</v>
      </c>
      <c r="L327" s="46" t="s">
        <v>157</v>
      </c>
      <c r="M327" s="27"/>
      <c r="N327" s="27"/>
    </row>
    <row r="328">
      <c r="A328" s="40">
        <v>44036.0</v>
      </c>
      <c r="B328" s="41" t="s">
        <v>98</v>
      </c>
      <c r="C328" s="43" t="str">
        <f>VLOOKUP(A328,Table!A:B,2,false)</f>
        <v>P12 W3</v>
      </c>
      <c r="D328" s="43" t="str">
        <f>VLOOKUP(A328,Table!A:D,4,false)</f>
        <v>Period 12</v>
      </c>
      <c r="E328" s="70" t="s">
        <v>106</v>
      </c>
      <c r="F328" s="43">
        <v>0.9166666666666666</v>
      </c>
      <c r="G328" s="48">
        <v>0.15555555555555556</v>
      </c>
      <c r="H328" s="48">
        <v>0.1763888888888889</v>
      </c>
      <c r="I328" s="114">
        <v>0.2638888888888889</v>
      </c>
      <c r="J328" s="45">
        <f t="shared" si="3"/>
        <v>500</v>
      </c>
      <c r="L328" s="46" t="s">
        <v>158</v>
      </c>
      <c r="M328" s="27"/>
      <c r="N328" s="27"/>
    </row>
    <row r="329">
      <c r="A329" s="40">
        <v>44037.0</v>
      </c>
      <c r="B329" s="41" t="s">
        <v>99</v>
      </c>
      <c r="C329" s="43" t="str">
        <f>VLOOKUP(A329,Table!A:B,2,false)</f>
        <v>P12 W3</v>
      </c>
      <c r="D329" s="43" t="str">
        <f>VLOOKUP(A329,Table!A:D,4,false)</f>
        <v>Period 12</v>
      </c>
      <c r="E329" s="70" t="s">
        <v>106</v>
      </c>
      <c r="F329" s="43">
        <v>0.9166666666666666</v>
      </c>
      <c r="G329" s="48">
        <v>0.15694444444444444</v>
      </c>
      <c r="H329" s="48">
        <v>0.17222222222222222</v>
      </c>
      <c r="I329" s="48">
        <v>0.26666666666666666</v>
      </c>
      <c r="J329" s="45">
        <f t="shared" si="3"/>
        <v>504</v>
      </c>
      <c r="L329" s="46" t="s">
        <v>159</v>
      </c>
      <c r="M329" s="27"/>
      <c r="N329" s="27"/>
    </row>
    <row r="330">
      <c r="A330" s="40">
        <v>44038.0</v>
      </c>
      <c r="B330" s="41" t="s">
        <v>100</v>
      </c>
      <c r="C330" s="43" t="str">
        <f>VLOOKUP(A330,Table!A:B,2,false)</f>
        <v>P12 W3</v>
      </c>
      <c r="D330" s="43" t="str">
        <f>VLOOKUP(A330,Table!A:D,4,false)</f>
        <v>Period 12</v>
      </c>
      <c r="E330" s="70" t="s">
        <v>106</v>
      </c>
      <c r="F330" s="43">
        <v>0.9166666666666666</v>
      </c>
      <c r="G330" s="48">
        <v>0.17291666666666666</v>
      </c>
      <c r="H330" s="48">
        <v>0.2048611111111111</v>
      </c>
      <c r="I330" s="48">
        <v>0.26875</v>
      </c>
      <c r="J330" s="45">
        <f t="shared" si="3"/>
        <v>507</v>
      </c>
      <c r="L330" s="46" t="s">
        <v>160</v>
      </c>
      <c r="M330" s="27"/>
      <c r="N330" s="27"/>
    </row>
    <row r="331">
      <c r="A331" s="40">
        <v>44039.0</v>
      </c>
      <c r="B331" s="41" t="s">
        <v>92</v>
      </c>
      <c r="C331" s="43" t="str">
        <f>VLOOKUP(A331,Table!A:B,2,false)</f>
        <v>P12 W4</v>
      </c>
      <c r="D331" s="43" t="str">
        <f>VLOOKUP(A331,Table!A:D,4,false)</f>
        <v>Period 12</v>
      </c>
      <c r="E331" s="70" t="s">
        <v>110</v>
      </c>
      <c r="F331" s="43">
        <v>0.9166666666666666</v>
      </c>
      <c r="G331" s="48">
        <v>0.11180555555555556</v>
      </c>
      <c r="H331" s="48">
        <v>0.14583333333333334</v>
      </c>
      <c r="I331" s="48">
        <v>0.225</v>
      </c>
      <c r="J331" s="45">
        <f t="shared" si="3"/>
        <v>444</v>
      </c>
      <c r="L331" s="46" t="s">
        <v>152</v>
      </c>
      <c r="M331" s="115"/>
      <c r="N331" s="27"/>
    </row>
    <row r="332">
      <c r="A332" s="40">
        <v>44040.0</v>
      </c>
      <c r="B332" s="41" t="s">
        <v>94</v>
      </c>
      <c r="C332" s="43" t="str">
        <f>VLOOKUP(A332,Table!A:B,2,false)</f>
        <v>P12 W4</v>
      </c>
      <c r="D332" s="43" t="str">
        <f>VLOOKUP(A332,Table!A:D,4,false)</f>
        <v>Period 12</v>
      </c>
      <c r="E332" s="70" t="s">
        <v>110</v>
      </c>
      <c r="F332" s="43">
        <v>0.9166666666666666</v>
      </c>
      <c r="G332" s="48">
        <v>0.11805555555555555</v>
      </c>
      <c r="H332" s="48">
        <v>0.15208333333333332</v>
      </c>
      <c r="I332" s="48">
        <v>0.23194444444444445</v>
      </c>
      <c r="J332" s="45">
        <f t="shared" si="3"/>
        <v>454</v>
      </c>
      <c r="L332" s="46" t="s">
        <v>154</v>
      </c>
      <c r="M332" s="27"/>
      <c r="N332" s="27"/>
    </row>
    <row r="333">
      <c r="A333" s="40">
        <v>44041.0</v>
      </c>
      <c r="B333" s="41" t="s">
        <v>96</v>
      </c>
      <c r="C333" s="43" t="str">
        <f>VLOOKUP(A333,Table!A:B,2,false)</f>
        <v>P12 W4</v>
      </c>
      <c r="D333" s="43" t="str">
        <f>VLOOKUP(A333,Table!A:D,4,false)</f>
        <v>Period 12</v>
      </c>
      <c r="E333" s="70" t="s">
        <v>110</v>
      </c>
      <c r="F333" s="43">
        <v>0.9166666666666666</v>
      </c>
      <c r="G333" s="48">
        <v>0.13125</v>
      </c>
      <c r="H333" s="48">
        <v>0.16527777777777777</v>
      </c>
      <c r="I333" s="48">
        <v>0.22916666666666666</v>
      </c>
      <c r="J333" s="45">
        <f t="shared" si="3"/>
        <v>450</v>
      </c>
      <c r="L333" s="46" t="s">
        <v>156</v>
      </c>
      <c r="M333" s="27"/>
      <c r="N333" s="27"/>
    </row>
    <row r="334">
      <c r="A334" s="40">
        <v>44042.0</v>
      </c>
      <c r="B334" s="41" t="s">
        <v>97</v>
      </c>
      <c r="C334" s="43" t="str">
        <f>VLOOKUP(A334,Table!A:B,2,false)</f>
        <v>P12 W4</v>
      </c>
      <c r="D334" s="43" t="str">
        <f>VLOOKUP(A334,Table!A:D,4,false)</f>
        <v>Period 12</v>
      </c>
      <c r="E334" s="70" t="s">
        <v>110</v>
      </c>
      <c r="F334" s="43">
        <v>0.9166666666666666</v>
      </c>
      <c r="G334" s="48">
        <v>0.11527777777777778</v>
      </c>
      <c r="H334" s="48">
        <v>0.1527777777777778</v>
      </c>
      <c r="I334" s="116">
        <v>0.22847222222222222</v>
      </c>
      <c r="J334" s="45">
        <f t="shared" si="3"/>
        <v>449</v>
      </c>
      <c r="L334" s="46" t="s">
        <v>157</v>
      </c>
      <c r="M334" s="27"/>
      <c r="N334" s="27"/>
    </row>
    <row r="335">
      <c r="A335" s="40">
        <v>44043.0</v>
      </c>
      <c r="B335" s="41" t="s">
        <v>98</v>
      </c>
      <c r="C335" s="43" t="str">
        <f>VLOOKUP(A335,Table!A:B,2,false)</f>
        <v>P12 W4</v>
      </c>
      <c r="D335" s="43" t="str">
        <f>VLOOKUP(A335,Table!A:D,4,false)</f>
        <v>Period 12</v>
      </c>
      <c r="E335" s="70" t="s">
        <v>110</v>
      </c>
      <c r="F335" s="43">
        <v>0.9166666666666666</v>
      </c>
      <c r="G335" s="48">
        <v>0.11805555555555555</v>
      </c>
      <c r="H335" s="48">
        <v>0.13680555555555557</v>
      </c>
      <c r="I335" s="48">
        <v>0.23541666666666666</v>
      </c>
      <c r="J335" s="45">
        <f t="shared" si="3"/>
        <v>459</v>
      </c>
      <c r="L335" s="46" t="s">
        <v>158</v>
      </c>
      <c r="M335" s="27"/>
      <c r="N335" s="27"/>
    </row>
    <row r="336">
      <c r="A336" s="40">
        <v>44044.0</v>
      </c>
      <c r="B336" s="41" t="s">
        <v>99</v>
      </c>
      <c r="C336" s="43" t="str">
        <f>VLOOKUP(A336,Table!A:B,2,false)</f>
        <v>P12 W4</v>
      </c>
      <c r="D336" s="43" t="str">
        <f>VLOOKUP(A336,Table!A:D,4,false)</f>
        <v>Period 12</v>
      </c>
      <c r="E336" s="70" t="s">
        <v>110</v>
      </c>
      <c r="F336" s="43">
        <v>0.9166666666666666</v>
      </c>
      <c r="G336" s="48">
        <v>0.19722222222222222</v>
      </c>
      <c r="H336" s="48">
        <v>0.21597222222222223</v>
      </c>
      <c r="I336" s="48">
        <v>0.2923611111111111</v>
      </c>
      <c r="J336" s="45">
        <f t="shared" si="3"/>
        <v>541</v>
      </c>
      <c r="L336" s="46" t="s">
        <v>159</v>
      </c>
      <c r="M336" s="27"/>
      <c r="N336" s="27"/>
    </row>
    <row r="337">
      <c r="A337" s="40">
        <v>44045.0</v>
      </c>
      <c r="B337" s="41" t="s">
        <v>100</v>
      </c>
      <c r="C337" s="43" t="str">
        <f>VLOOKUP(A337,Table!A:B,2,false)</f>
        <v>P12 W4</v>
      </c>
      <c r="D337" s="43" t="str">
        <f>VLOOKUP(A337,Table!A:D,4,false)</f>
        <v>Period 12</v>
      </c>
      <c r="E337" s="70" t="s">
        <v>110</v>
      </c>
      <c r="F337" s="43">
        <v>0.9166666666666666</v>
      </c>
      <c r="G337" s="48">
        <v>0.19652777777777777</v>
      </c>
      <c r="H337" s="48">
        <v>0.2326388888888889</v>
      </c>
      <c r="I337" s="114">
        <v>0.29791666666666666</v>
      </c>
      <c r="J337" s="45">
        <f t="shared" si="3"/>
        <v>549</v>
      </c>
      <c r="L337" s="46" t="s">
        <v>160</v>
      </c>
      <c r="M337" s="74"/>
      <c r="N337" s="74"/>
    </row>
    <row r="338">
      <c r="A338" s="78">
        <v>44046.0</v>
      </c>
      <c r="B338" s="79" t="s">
        <v>92</v>
      </c>
      <c r="C338" s="54" t="str">
        <f>VLOOKUP(A338,Table!A:B,2,false)</f>
        <v>P13 W1</v>
      </c>
      <c r="D338" s="54" t="str">
        <f>VLOOKUP(A338,Table!A:D,4,false)</f>
        <v>Period 13</v>
      </c>
      <c r="E338" s="70" t="s">
        <v>93</v>
      </c>
      <c r="F338" s="54">
        <v>0.9166666666666666</v>
      </c>
      <c r="G338" s="48">
        <v>0.14444444444444443</v>
      </c>
      <c r="H338" s="48">
        <v>0.18125</v>
      </c>
      <c r="I338" s="48">
        <v>0.28125</v>
      </c>
      <c r="J338" s="45">
        <f t="shared" si="3"/>
        <v>525</v>
      </c>
      <c r="L338" s="46" t="s">
        <v>152</v>
      </c>
      <c r="M338" s="27"/>
      <c r="N338" s="27"/>
    </row>
    <row r="339">
      <c r="A339" s="40">
        <v>44047.0</v>
      </c>
      <c r="B339" s="41" t="s">
        <v>94</v>
      </c>
      <c r="C339" s="43" t="str">
        <f>VLOOKUP(A339,Table!A:B,2,false)</f>
        <v>P13 W1</v>
      </c>
      <c r="D339" s="43" t="str">
        <f>VLOOKUP(A339,Table!A:D,4,false)</f>
        <v>Period 13</v>
      </c>
      <c r="E339" s="70" t="s">
        <v>93</v>
      </c>
      <c r="F339" s="43">
        <v>0.9166666666666666</v>
      </c>
      <c r="G339" s="48">
        <v>0.14791666666666667</v>
      </c>
      <c r="H339" s="48">
        <v>0.17083333333333334</v>
      </c>
      <c r="I339" s="48">
        <v>0.2673611111111111</v>
      </c>
      <c r="J339" s="45">
        <f t="shared" si="3"/>
        <v>505</v>
      </c>
      <c r="L339" s="46" t="s">
        <v>154</v>
      </c>
      <c r="M339" s="27"/>
      <c r="N339" s="27"/>
    </row>
    <row r="340">
      <c r="A340" s="40">
        <v>44048.0</v>
      </c>
      <c r="B340" s="41" t="s">
        <v>96</v>
      </c>
      <c r="C340" s="43" t="str">
        <f>VLOOKUP(A340,Table!A:B,2,false)</f>
        <v>P13 W1</v>
      </c>
      <c r="D340" s="43" t="str">
        <f>VLOOKUP(A340,Table!A:D,4,false)</f>
        <v>Period 13</v>
      </c>
      <c r="E340" s="70" t="s">
        <v>93</v>
      </c>
      <c r="F340" s="43">
        <v>0.9166666666666666</v>
      </c>
      <c r="G340" s="48">
        <v>0.11597222222222223</v>
      </c>
      <c r="H340" s="48">
        <v>0.14097222222222222</v>
      </c>
      <c r="I340" s="48">
        <v>0.23125</v>
      </c>
      <c r="J340" s="45">
        <f t="shared" si="3"/>
        <v>453</v>
      </c>
      <c r="L340" s="46" t="s">
        <v>156</v>
      </c>
      <c r="M340" s="27"/>
      <c r="N340" s="27"/>
    </row>
    <row r="341">
      <c r="A341" s="40">
        <v>44049.0</v>
      </c>
      <c r="B341" s="41" t="s">
        <v>97</v>
      </c>
      <c r="C341" s="43" t="str">
        <f>VLOOKUP(A341,Table!A:B,2,false)</f>
        <v>P13 W1</v>
      </c>
      <c r="D341" s="43" t="str">
        <f>VLOOKUP(A341,Table!A:D,4,false)</f>
        <v>Period 13</v>
      </c>
      <c r="E341" s="70" t="s">
        <v>93</v>
      </c>
      <c r="F341" s="43">
        <v>0.9166666666666666</v>
      </c>
      <c r="G341" s="48">
        <v>0.11736111111111111</v>
      </c>
      <c r="H341" s="48">
        <v>0.1388888888888889</v>
      </c>
      <c r="I341" s="48">
        <v>0.23402777777777778</v>
      </c>
      <c r="J341" s="45">
        <f t="shared" si="3"/>
        <v>457</v>
      </c>
      <c r="L341" s="46" t="s">
        <v>157</v>
      </c>
      <c r="M341" s="27"/>
      <c r="N341" s="27"/>
    </row>
    <row r="342">
      <c r="A342" s="40">
        <v>44050.0</v>
      </c>
      <c r="B342" s="41" t="s">
        <v>98</v>
      </c>
      <c r="C342" s="43" t="str">
        <f>VLOOKUP(A342,Table!A:B,2,false)</f>
        <v>P13 W1</v>
      </c>
      <c r="D342" s="43" t="str">
        <f>VLOOKUP(A342,Table!A:D,4,false)</f>
        <v>Period 13</v>
      </c>
      <c r="E342" s="70" t="s">
        <v>93</v>
      </c>
      <c r="F342" s="43">
        <v>0.9166666666666666</v>
      </c>
      <c r="G342" s="48">
        <v>0.11527777777777778</v>
      </c>
      <c r="H342" s="48">
        <v>0.13958333333333334</v>
      </c>
      <c r="I342" s="48">
        <v>0.2375</v>
      </c>
      <c r="J342" s="45">
        <f t="shared" si="3"/>
        <v>462</v>
      </c>
      <c r="L342" s="46" t="s">
        <v>158</v>
      </c>
      <c r="M342" s="27"/>
      <c r="N342" s="27"/>
    </row>
    <row r="343">
      <c r="A343" s="40">
        <v>44051.0</v>
      </c>
      <c r="B343" s="41" t="s">
        <v>99</v>
      </c>
      <c r="C343" s="43" t="str">
        <f>VLOOKUP(A343,Table!A:B,2,false)</f>
        <v>P13 W1</v>
      </c>
      <c r="D343" s="43" t="str">
        <f>VLOOKUP(A343,Table!A:D,4,false)</f>
        <v>Period 13</v>
      </c>
      <c r="E343" s="70" t="s">
        <v>93</v>
      </c>
      <c r="F343" s="43">
        <v>0.9166666666666666</v>
      </c>
      <c r="G343" s="48">
        <v>0.11875</v>
      </c>
      <c r="H343" s="48">
        <v>0.13402777777777777</v>
      </c>
      <c r="I343" s="48">
        <v>0.2423611111111111</v>
      </c>
      <c r="J343" s="45">
        <f t="shared" si="3"/>
        <v>469</v>
      </c>
      <c r="L343" s="46" t="s">
        <v>159</v>
      </c>
      <c r="M343" s="27"/>
      <c r="N343" s="27"/>
    </row>
    <row r="344">
      <c r="A344" s="40">
        <v>44052.0</v>
      </c>
      <c r="B344" s="41" t="s">
        <v>100</v>
      </c>
      <c r="C344" s="43" t="str">
        <f>VLOOKUP(A344,Table!A:B,2,false)</f>
        <v>P13 W1</v>
      </c>
      <c r="D344" s="43" t="str">
        <f>VLOOKUP(A344,Table!A:D,4,false)</f>
        <v>Period 13</v>
      </c>
      <c r="E344" s="70" t="s">
        <v>93</v>
      </c>
      <c r="F344" s="43">
        <v>0.9166666666666666</v>
      </c>
      <c r="G344" s="48">
        <v>0.15208333333333332</v>
      </c>
      <c r="H344" s="48">
        <v>0.1840277777777778</v>
      </c>
      <c r="I344" s="48">
        <v>0.25</v>
      </c>
      <c r="J344" s="45">
        <f t="shared" si="3"/>
        <v>480</v>
      </c>
      <c r="L344" s="46" t="s">
        <v>160</v>
      </c>
      <c r="M344" s="27"/>
      <c r="N344" s="27"/>
    </row>
    <row r="345">
      <c r="A345" s="40">
        <v>44053.0</v>
      </c>
      <c r="B345" s="41" t="s">
        <v>92</v>
      </c>
      <c r="C345" s="43" t="str">
        <f>VLOOKUP(A345,Table!A:B,2,false)</f>
        <v>P13 W2</v>
      </c>
      <c r="D345" s="43" t="str">
        <f>VLOOKUP(A345,Table!A:D,4,false)</f>
        <v>Period 13</v>
      </c>
      <c r="E345" s="70" t="s">
        <v>101</v>
      </c>
      <c r="F345" s="43">
        <v>0.9166666666666666</v>
      </c>
      <c r="G345" s="48">
        <v>0.11597222222222223</v>
      </c>
      <c r="H345" s="48">
        <v>0.1638888888888889</v>
      </c>
      <c r="I345" s="48">
        <v>0.23472222222222222</v>
      </c>
      <c r="J345" s="45">
        <f t="shared" si="3"/>
        <v>458</v>
      </c>
      <c r="L345" s="46" t="s">
        <v>152</v>
      </c>
      <c r="M345" s="27"/>
      <c r="N345" s="27"/>
    </row>
    <row r="346">
      <c r="A346" s="40">
        <v>44054.0</v>
      </c>
      <c r="B346" s="41" t="s">
        <v>94</v>
      </c>
      <c r="C346" s="43" t="str">
        <f>VLOOKUP(A346,Table!A:B,2,false)</f>
        <v>P13 W2</v>
      </c>
      <c r="D346" s="43" t="str">
        <f>VLOOKUP(A346,Table!A:D,4,false)</f>
        <v>Period 13</v>
      </c>
      <c r="E346" s="70" t="s">
        <v>101</v>
      </c>
      <c r="F346" s="43">
        <v>0.9166666666666666</v>
      </c>
      <c r="G346" s="48">
        <v>0.21805555555555556</v>
      </c>
      <c r="H346" s="48">
        <v>0.24375</v>
      </c>
      <c r="I346" s="48">
        <v>0.34444444444444444</v>
      </c>
      <c r="J346" s="45">
        <f t="shared" si="3"/>
        <v>616</v>
      </c>
      <c r="L346" s="46" t="s">
        <v>154</v>
      </c>
      <c r="M346" s="27"/>
      <c r="N346" s="27"/>
    </row>
    <row r="347">
      <c r="A347" s="40">
        <v>44055.0</v>
      </c>
      <c r="B347" s="41" t="s">
        <v>96</v>
      </c>
      <c r="C347" s="43" t="str">
        <f>VLOOKUP(A347,Table!A:B,2,false)</f>
        <v>P13 W2</v>
      </c>
      <c r="D347" s="43" t="str">
        <f>VLOOKUP(A347,Table!A:D,4,false)</f>
        <v>Period 13</v>
      </c>
      <c r="E347" s="70" t="s">
        <v>101</v>
      </c>
      <c r="F347" s="43">
        <v>0.9166666666666666</v>
      </c>
      <c r="G347" s="48">
        <v>0.125</v>
      </c>
      <c r="H347" s="48">
        <v>0.1486111111111111</v>
      </c>
      <c r="I347" s="48">
        <v>0.24722222222222223</v>
      </c>
      <c r="J347" s="45">
        <f t="shared" si="3"/>
        <v>476</v>
      </c>
      <c r="L347" s="46" t="s">
        <v>156</v>
      </c>
      <c r="M347" s="27"/>
      <c r="N347" s="27"/>
    </row>
    <row r="348">
      <c r="A348" s="40">
        <v>44056.0</v>
      </c>
      <c r="B348" s="41" t="s">
        <v>97</v>
      </c>
      <c r="C348" s="43" t="str">
        <f>VLOOKUP(A348,Table!A:B,2,false)</f>
        <v>P13 W2</v>
      </c>
      <c r="D348" s="43" t="str">
        <f>VLOOKUP(A348,Table!A:D,4,false)</f>
        <v>Period 13</v>
      </c>
      <c r="E348" s="70" t="s">
        <v>101</v>
      </c>
      <c r="F348" s="43">
        <v>0.9166666666666666</v>
      </c>
      <c r="G348" s="48">
        <v>0.11875</v>
      </c>
      <c r="H348" s="48">
        <v>0.16458333333333333</v>
      </c>
      <c r="I348" s="48">
        <v>0.2361111111111111</v>
      </c>
      <c r="J348" s="45">
        <f t="shared" si="3"/>
        <v>460</v>
      </c>
      <c r="L348" s="46" t="s">
        <v>157</v>
      </c>
      <c r="M348" s="27"/>
      <c r="N348" s="27"/>
    </row>
    <row r="349">
      <c r="A349" s="40">
        <v>44057.0</v>
      </c>
      <c r="B349" s="41" t="s">
        <v>98</v>
      </c>
      <c r="C349" s="43" t="str">
        <f>VLOOKUP(A349,Table!A:B,2,false)</f>
        <v>P13 W2</v>
      </c>
      <c r="D349" s="43" t="str">
        <f>VLOOKUP(A349,Table!A:D,4,false)</f>
        <v>Period 13</v>
      </c>
      <c r="E349" s="70" t="s">
        <v>101</v>
      </c>
      <c r="F349" s="43">
        <v>0.9166666666666666</v>
      </c>
      <c r="G349" s="48">
        <v>0.25416666666666665</v>
      </c>
      <c r="H349" s="48">
        <v>0.28402777777777777</v>
      </c>
      <c r="I349" s="48">
        <v>0.4076388888888889</v>
      </c>
      <c r="J349" s="45">
        <f t="shared" si="3"/>
        <v>707</v>
      </c>
      <c r="L349" s="46" t="s">
        <v>158</v>
      </c>
      <c r="M349" s="117"/>
      <c r="N349" s="27"/>
    </row>
    <row r="350">
      <c r="A350" s="40">
        <v>44058.0</v>
      </c>
      <c r="B350" s="41" t="s">
        <v>99</v>
      </c>
      <c r="C350" s="43" t="str">
        <f>VLOOKUP(A350,Table!A:B,2,false)</f>
        <v>P13 W2</v>
      </c>
      <c r="D350" s="43" t="str">
        <f>VLOOKUP(A350,Table!A:D,4,false)</f>
        <v>Period 13</v>
      </c>
      <c r="E350" s="70" t="s">
        <v>101</v>
      </c>
      <c r="F350" s="43">
        <v>0.9166666666666666</v>
      </c>
      <c r="G350" s="48">
        <v>0.14027777777777778</v>
      </c>
      <c r="H350" s="48">
        <v>0.15555555555555556</v>
      </c>
      <c r="I350" s="48">
        <v>0.25</v>
      </c>
      <c r="J350" s="45">
        <f t="shared" si="3"/>
        <v>480</v>
      </c>
      <c r="L350" s="46" t="s">
        <v>159</v>
      </c>
      <c r="M350" s="27"/>
      <c r="N350" s="27"/>
    </row>
    <row r="351">
      <c r="A351" s="40">
        <v>44059.0</v>
      </c>
      <c r="B351" s="41" t="s">
        <v>100</v>
      </c>
      <c r="C351" s="43" t="str">
        <f>VLOOKUP(A351,Table!A:B,2,false)</f>
        <v>P13 W2</v>
      </c>
      <c r="D351" s="43" t="str">
        <f>VLOOKUP(A351,Table!A:D,4,false)</f>
        <v>Period 13</v>
      </c>
      <c r="E351" s="70" t="s">
        <v>101</v>
      </c>
      <c r="F351" s="43">
        <v>0.9166666666666666</v>
      </c>
      <c r="G351" s="48">
        <v>0.1625</v>
      </c>
      <c r="H351" s="48">
        <v>0.1986111111111111</v>
      </c>
      <c r="I351" s="48">
        <v>0.25833333333333336</v>
      </c>
      <c r="J351" s="45">
        <f t="shared" si="3"/>
        <v>492</v>
      </c>
      <c r="L351" s="46" t="s">
        <v>160</v>
      </c>
      <c r="M351" s="27"/>
      <c r="N351" s="27"/>
    </row>
    <row r="352">
      <c r="A352" s="40">
        <v>44060.0</v>
      </c>
      <c r="B352" s="41" t="s">
        <v>92</v>
      </c>
      <c r="C352" s="43" t="str">
        <f>VLOOKUP(A352,Table!A:B,2,false)</f>
        <v>P13 W3</v>
      </c>
      <c r="D352" s="43" t="str">
        <f>VLOOKUP(A352,Table!A:D,4,false)</f>
        <v>Period 13</v>
      </c>
      <c r="E352" s="70" t="s">
        <v>106</v>
      </c>
      <c r="F352" s="43">
        <v>0.9166666666666666</v>
      </c>
      <c r="G352" s="48">
        <v>0.1451388888888889</v>
      </c>
      <c r="H352" s="48">
        <v>0.18055555555555555</v>
      </c>
      <c r="I352" s="48">
        <v>0.2604166666666667</v>
      </c>
      <c r="J352" s="45">
        <f t="shared" si="3"/>
        <v>495</v>
      </c>
      <c r="L352" s="46" t="s">
        <v>152</v>
      </c>
      <c r="M352" s="103"/>
      <c r="N352" s="27"/>
    </row>
    <row r="353">
      <c r="A353" s="40">
        <v>44061.0</v>
      </c>
      <c r="B353" s="41" t="s">
        <v>94</v>
      </c>
      <c r="C353" s="43" t="str">
        <f>VLOOKUP(A353,Table!A:B,2,false)</f>
        <v>P13 W3</v>
      </c>
      <c r="D353" s="43" t="str">
        <f>VLOOKUP(A353,Table!A:D,4,false)</f>
        <v>Period 13</v>
      </c>
      <c r="E353" s="70" t="s">
        <v>106</v>
      </c>
      <c r="F353" s="43">
        <v>0.9166666666666666</v>
      </c>
      <c r="G353" s="48">
        <v>0.12569444444444444</v>
      </c>
      <c r="H353" s="48">
        <v>0.14722222222222223</v>
      </c>
      <c r="I353" s="48">
        <v>0.2513888888888889</v>
      </c>
      <c r="J353" s="45">
        <f t="shared" si="3"/>
        <v>482</v>
      </c>
      <c r="L353" s="46" t="s">
        <v>154</v>
      </c>
      <c r="M353" s="74"/>
      <c r="N353" s="27"/>
    </row>
    <row r="354">
      <c r="A354" s="40">
        <v>44062.0</v>
      </c>
      <c r="B354" s="41" t="s">
        <v>96</v>
      </c>
      <c r="C354" s="43" t="str">
        <f>VLOOKUP(A354,Table!A:B,2,false)</f>
        <v>P13 W3</v>
      </c>
      <c r="D354" s="43" t="str">
        <f>VLOOKUP(A354,Table!A:D,4,false)</f>
        <v>Period 13</v>
      </c>
      <c r="E354" s="70" t="s">
        <v>106</v>
      </c>
      <c r="F354" s="43">
        <v>0.9166666666666666</v>
      </c>
      <c r="G354" s="48">
        <v>0.17222222222222222</v>
      </c>
      <c r="H354" s="48">
        <v>0.19583333333333333</v>
      </c>
      <c r="I354" s="48">
        <v>0.28680555555555554</v>
      </c>
      <c r="J354" s="45">
        <f t="shared" si="3"/>
        <v>533</v>
      </c>
      <c r="L354" s="46" t="s">
        <v>156</v>
      </c>
      <c r="M354" s="83"/>
      <c r="N354" s="27"/>
    </row>
    <row r="355">
      <c r="A355" s="40">
        <v>44063.0</v>
      </c>
      <c r="B355" s="41" t="s">
        <v>97</v>
      </c>
      <c r="C355" s="43" t="str">
        <f>VLOOKUP(A355,Table!A:B,2,false)</f>
        <v>P13 W3</v>
      </c>
      <c r="D355" s="43" t="str">
        <f>VLOOKUP(A355,Table!A:D,4,false)</f>
        <v>Period 13</v>
      </c>
      <c r="E355" s="70" t="s">
        <v>106</v>
      </c>
      <c r="F355" s="43">
        <v>0.9166666666666666</v>
      </c>
      <c r="G355" s="48">
        <v>0.13333333333333333</v>
      </c>
      <c r="H355" s="48">
        <v>0.1527777777777778</v>
      </c>
      <c r="I355" s="48">
        <v>0.2520833333333333</v>
      </c>
      <c r="J355" s="45">
        <f t="shared" si="3"/>
        <v>483</v>
      </c>
      <c r="L355" s="46" t="s">
        <v>157</v>
      </c>
      <c r="M355" s="27"/>
      <c r="N355" s="27"/>
    </row>
    <row r="356">
      <c r="A356" s="40">
        <v>44064.0</v>
      </c>
      <c r="B356" s="41" t="s">
        <v>98</v>
      </c>
      <c r="C356" s="43" t="str">
        <f>VLOOKUP(A356,Table!A:B,2,false)</f>
        <v>P13 W3</v>
      </c>
      <c r="D356" s="43" t="str">
        <f>VLOOKUP(A356,Table!A:D,4,false)</f>
        <v>Period 13</v>
      </c>
      <c r="E356" s="70" t="s">
        <v>106</v>
      </c>
      <c r="F356" s="43">
        <v>0.9166666666666666</v>
      </c>
      <c r="G356" s="48">
        <v>0.15763888888888888</v>
      </c>
      <c r="H356" s="48">
        <v>0.17430555555555555</v>
      </c>
      <c r="I356" s="48">
        <v>0.2708333333333333</v>
      </c>
      <c r="J356" s="45">
        <f t="shared" si="3"/>
        <v>510</v>
      </c>
      <c r="L356" s="46" t="s">
        <v>158</v>
      </c>
      <c r="M356" s="27"/>
      <c r="N356" s="27"/>
    </row>
    <row r="357">
      <c r="A357" s="40">
        <v>44065.0</v>
      </c>
      <c r="B357" s="41" t="s">
        <v>99</v>
      </c>
      <c r="C357" s="43" t="str">
        <f>VLOOKUP(A357,Table!A:B,2,false)</f>
        <v>P13 W3</v>
      </c>
      <c r="D357" s="43" t="str">
        <f>VLOOKUP(A357,Table!A:D,4,false)</f>
        <v>Period 13</v>
      </c>
      <c r="E357" s="70" t="s">
        <v>106</v>
      </c>
      <c r="F357" s="43">
        <v>0.9166666666666666</v>
      </c>
      <c r="G357" s="48">
        <v>0.20208333333333334</v>
      </c>
      <c r="H357" s="48">
        <v>0.21736111111111112</v>
      </c>
      <c r="I357" s="48">
        <v>0.3090277777777778</v>
      </c>
      <c r="J357" s="45">
        <f t="shared" si="3"/>
        <v>565</v>
      </c>
      <c r="L357" s="46" t="s">
        <v>159</v>
      </c>
      <c r="M357" s="27"/>
      <c r="N357" s="27"/>
    </row>
    <row r="358">
      <c r="A358" s="40">
        <v>44066.0</v>
      </c>
      <c r="B358" s="41" t="s">
        <v>100</v>
      </c>
      <c r="C358" s="43" t="str">
        <f>VLOOKUP(A358,Table!A:B,2,false)</f>
        <v>P13 W3</v>
      </c>
      <c r="D358" s="43" t="str">
        <f>VLOOKUP(A358,Table!A:D,4,false)</f>
        <v>Period 13</v>
      </c>
      <c r="E358" s="70" t="s">
        <v>106</v>
      </c>
      <c r="F358" s="43">
        <v>0.9166666666666666</v>
      </c>
      <c r="G358" s="48">
        <v>0.1625</v>
      </c>
      <c r="H358" s="48">
        <v>0.1986111111111111</v>
      </c>
      <c r="I358" s="48">
        <v>0.25625</v>
      </c>
      <c r="J358" s="45">
        <f t="shared" si="3"/>
        <v>489</v>
      </c>
      <c r="L358" s="46" t="s">
        <v>160</v>
      </c>
      <c r="M358" s="74"/>
      <c r="N358" s="27"/>
    </row>
    <row r="359">
      <c r="A359" s="40">
        <v>44067.0</v>
      </c>
      <c r="B359" s="41" t="s">
        <v>92</v>
      </c>
      <c r="C359" s="43" t="str">
        <f>VLOOKUP(A359,Table!A:B,2,false)</f>
        <v>P13 W4</v>
      </c>
      <c r="D359" s="43" t="str">
        <f>VLOOKUP(A359,Table!A:D,4,false)</f>
        <v>Period 13</v>
      </c>
      <c r="E359" s="70" t="s">
        <v>110</v>
      </c>
      <c r="F359" s="43">
        <v>0.9166666666666666</v>
      </c>
      <c r="G359" s="48">
        <v>0.12569444444444444</v>
      </c>
      <c r="H359" s="48">
        <v>0.16180555555555556</v>
      </c>
      <c r="I359" s="48">
        <v>0.23680555555555555</v>
      </c>
      <c r="J359" s="45">
        <f t="shared" si="3"/>
        <v>461</v>
      </c>
      <c r="L359" s="46" t="s">
        <v>152</v>
      </c>
      <c r="M359" s="74"/>
      <c r="N359" s="27"/>
    </row>
    <row r="360">
      <c r="A360" s="40">
        <v>44068.0</v>
      </c>
      <c r="B360" s="41" t="s">
        <v>94</v>
      </c>
      <c r="C360" s="43" t="str">
        <f>VLOOKUP(A360,Table!A:B,2,false)</f>
        <v>P13 W4</v>
      </c>
      <c r="D360" s="43" t="str">
        <f>VLOOKUP(A360,Table!A:D,4,false)</f>
        <v>Period 13</v>
      </c>
      <c r="E360" s="70" t="s">
        <v>110</v>
      </c>
      <c r="F360" s="43">
        <v>0.9166666666666666</v>
      </c>
      <c r="G360" s="48">
        <v>0.11875</v>
      </c>
      <c r="H360" s="48">
        <v>0.15694444444444444</v>
      </c>
      <c r="I360" s="48">
        <v>0.24444444444444444</v>
      </c>
      <c r="J360" s="45">
        <f t="shared" si="3"/>
        <v>472</v>
      </c>
      <c r="L360" s="46" t="s">
        <v>154</v>
      </c>
      <c r="M360" s="27"/>
      <c r="N360" s="27"/>
    </row>
    <row r="361">
      <c r="A361" s="40">
        <v>44069.0</v>
      </c>
      <c r="B361" s="41" t="s">
        <v>96</v>
      </c>
      <c r="C361" s="43" t="str">
        <f>VLOOKUP(A361,Table!A:B,2,false)</f>
        <v>P13 W4</v>
      </c>
      <c r="D361" s="43" t="str">
        <f>VLOOKUP(A361,Table!A:D,4,false)</f>
        <v>Period 13</v>
      </c>
      <c r="E361" s="70" t="s">
        <v>110</v>
      </c>
      <c r="F361" s="43">
        <v>0.9166666666666666</v>
      </c>
      <c r="G361" s="48">
        <v>0.13125</v>
      </c>
      <c r="H361" s="48">
        <v>0.24791666666666667</v>
      </c>
      <c r="I361" s="48">
        <v>0.5513888888888889</v>
      </c>
      <c r="J361" s="45">
        <f t="shared" si="3"/>
        <v>914</v>
      </c>
      <c r="L361" s="46" t="s">
        <v>156</v>
      </c>
      <c r="M361" s="27"/>
      <c r="N361" s="27"/>
    </row>
    <row r="362">
      <c r="A362" s="40">
        <v>44070.0</v>
      </c>
      <c r="B362" s="41" t="s">
        <v>97</v>
      </c>
      <c r="C362" s="43" t="str">
        <f>VLOOKUP(A362,Table!A:B,2,false)</f>
        <v>P13 W4</v>
      </c>
      <c r="D362" s="43" t="str">
        <f>VLOOKUP(A362,Table!A:D,4,false)</f>
        <v>Period 13</v>
      </c>
      <c r="E362" s="70" t="s">
        <v>110</v>
      </c>
      <c r="F362" s="43">
        <v>0.9166666666666666</v>
      </c>
      <c r="G362" s="48">
        <v>0.11736111111111111</v>
      </c>
      <c r="H362" s="48">
        <v>0.15347222222222223</v>
      </c>
      <c r="I362" s="48">
        <v>0.22777777777777777</v>
      </c>
      <c r="J362" s="45">
        <f t="shared" si="3"/>
        <v>448</v>
      </c>
      <c r="L362" s="46" t="s">
        <v>157</v>
      </c>
      <c r="M362" s="27"/>
      <c r="N362" s="27"/>
    </row>
    <row r="363">
      <c r="A363" s="40">
        <v>44071.0</v>
      </c>
      <c r="B363" s="41" t="s">
        <v>98</v>
      </c>
      <c r="C363" s="43" t="str">
        <f>VLOOKUP(A363,Table!A:B,2,false)</f>
        <v>P13 W4</v>
      </c>
      <c r="D363" s="43" t="str">
        <f>VLOOKUP(A363,Table!A:D,4,false)</f>
        <v>Period 13</v>
      </c>
      <c r="E363" s="70" t="s">
        <v>110</v>
      </c>
      <c r="F363" s="43">
        <v>0.9166666666666666</v>
      </c>
      <c r="G363" s="48">
        <v>0.11944444444444445</v>
      </c>
      <c r="H363" s="48">
        <v>0.1361111111111111</v>
      </c>
      <c r="I363" s="48">
        <v>0.2375</v>
      </c>
      <c r="J363" s="45">
        <f t="shared" si="3"/>
        <v>462</v>
      </c>
      <c r="L363" s="46" t="s">
        <v>158</v>
      </c>
      <c r="M363" s="27"/>
      <c r="N363" s="27"/>
    </row>
    <row r="364">
      <c r="A364" s="40">
        <v>44072.0</v>
      </c>
      <c r="B364" s="41" t="s">
        <v>99</v>
      </c>
      <c r="C364" s="43" t="str">
        <f>VLOOKUP(A364,Table!A:B,2,false)</f>
        <v>P13 W4</v>
      </c>
      <c r="D364" s="43" t="str">
        <f>VLOOKUP(A364,Table!A:D,4,false)</f>
        <v>Period 13</v>
      </c>
      <c r="E364" s="70" t="s">
        <v>110</v>
      </c>
      <c r="F364" s="43">
        <v>0.9166666666666666</v>
      </c>
      <c r="G364" s="48">
        <v>0.1625</v>
      </c>
      <c r="H364" s="48">
        <v>0.17916666666666667</v>
      </c>
      <c r="I364" s="48">
        <v>0.24444444444444444</v>
      </c>
      <c r="J364" s="45">
        <f t="shared" si="3"/>
        <v>472</v>
      </c>
      <c r="L364" s="46" t="s">
        <v>159</v>
      </c>
      <c r="M364" s="27"/>
      <c r="N364" s="27"/>
    </row>
    <row r="365">
      <c r="A365" s="40">
        <v>44073.0</v>
      </c>
      <c r="B365" s="41" t="s">
        <v>100</v>
      </c>
      <c r="C365" s="43" t="str">
        <f>VLOOKUP(A365,Table!A:B,2,false)</f>
        <v>P13 W4</v>
      </c>
      <c r="D365" s="43" t="str">
        <f>VLOOKUP(A365,Table!A:D,4,false)</f>
        <v>Period 13</v>
      </c>
      <c r="E365" s="70" t="s">
        <v>110</v>
      </c>
      <c r="F365" s="43">
        <v>0.9166666666666666</v>
      </c>
      <c r="G365" s="48">
        <v>0.20972222222222223</v>
      </c>
      <c r="H365" s="48">
        <v>0.2520833333333333</v>
      </c>
      <c r="I365" s="48">
        <v>0.3277777777777778</v>
      </c>
      <c r="J365" s="45">
        <f t="shared" si="3"/>
        <v>592</v>
      </c>
      <c r="L365" s="46" t="s">
        <v>160</v>
      </c>
      <c r="M365" s="27"/>
      <c r="N365" s="27"/>
    </row>
    <row r="366">
      <c r="A366" s="118"/>
      <c r="B366" s="70"/>
      <c r="C366" s="43"/>
      <c r="G366" s="48"/>
      <c r="H366" s="48"/>
      <c r="I366" s="48"/>
      <c r="J366" s="22"/>
      <c r="L366" s="46" t="s">
        <v>152</v>
      </c>
      <c r="M366" s="74"/>
      <c r="N366" s="27"/>
    </row>
    <row r="367">
      <c r="A367" s="118"/>
      <c r="B367" s="70"/>
      <c r="C367" s="43"/>
      <c r="G367" s="48"/>
      <c r="H367" s="48"/>
      <c r="I367" s="48"/>
      <c r="J367" s="22"/>
      <c r="L367" s="46" t="s">
        <v>154</v>
      </c>
      <c r="M367" s="27"/>
      <c r="N367" s="27"/>
    </row>
    <row r="368">
      <c r="A368" s="118"/>
      <c r="B368" s="70"/>
      <c r="C368" s="43"/>
      <c r="G368" s="48"/>
      <c r="H368" s="48"/>
      <c r="I368" s="48"/>
      <c r="J368" s="22"/>
      <c r="L368" s="46" t="s">
        <v>156</v>
      </c>
      <c r="M368" s="27"/>
      <c r="N368" s="27"/>
    </row>
    <row r="369">
      <c r="A369" s="118"/>
      <c r="B369" s="70"/>
      <c r="C369" s="43"/>
      <c r="G369" s="48"/>
      <c r="H369" s="48"/>
      <c r="I369" s="48"/>
      <c r="J369" s="22"/>
      <c r="L369" s="46" t="s">
        <v>157</v>
      </c>
      <c r="M369" s="27"/>
      <c r="N369" s="27"/>
    </row>
    <row r="370">
      <c r="A370" s="118"/>
      <c r="B370" s="70"/>
      <c r="C370" s="43"/>
      <c r="G370" s="48"/>
      <c r="H370" s="48"/>
      <c r="I370" s="48"/>
      <c r="J370" s="22"/>
      <c r="L370" s="46" t="s">
        <v>158</v>
      </c>
      <c r="M370" s="27"/>
      <c r="N370" s="27"/>
    </row>
    <row r="371">
      <c r="A371" s="118"/>
      <c r="B371" s="70"/>
      <c r="C371" s="43"/>
      <c r="G371" s="48"/>
      <c r="H371" s="48"/>
      <c r="I371" s="48"/>
      <c r="J371" s="22"/>
      <c r="L371" s="46" t="s">
        <v>159</v>
      </c>
      <c r="M371" s="27"/>
      <c r="N371" s="27"/>
    </row>
    <row r="372">
      <c r="A372" s="119"/>
      <c r="G372" s="48"/>
      <c r="H372" s="48"/>
      <c r="I372" s="48"/>
      <c r="J372" s="22"/>
      <c r="L372" s="46" t="s">
        <v>160</v>
      </c>
      <c r="M372" s="27"/>
      <c r="N372" s="27"/>
    </row>
    <row r="373">
      <c r="A373" s="119"/>
      <c r="G373" s="48"/>
      <c r="H373" s="48"/>
      <c r="I373" s="48"/>
      <c r="J373" s="22"/>
      <c r="L373" s="46" t="s">
        <v>152</v>
      </c>
      <c r="M373" s="27"/>
      <c r="N373" s="27"/>
    </row>
    <row r="374">
      <c r="A374" s="119"/>
      <c r="G374" s="48"/>
      <c r="H374" s="48"/>
      <c r="I374" s="48"/>
      <c r="J374" s="22"/>
      <c r="L374" s="46" t="s">
        <v>154</v>
      </c>
      <c r="M374" s="27"/>
      <c r="N374" s="27"/>
    </row>
    <row r="375">
      <c r="A375" s="119"/>
      <c r="G375" s="48"/>
      <c r="H375" s="48"/>
      <c r="I375" s="48"/>
      <c r="J375" s="22"/>
      <c r="L375" s="46" t="s">
        <v>156</v>
      </c>
    </row>
    <row r="376">
      <c r="A376" s="119"/>
      <c r="G376" s="48"/>
      <c r="H376" s="48"/>
      <c r="I376" s="48"/>
      <c r="J376" s="22"/>
      <c r="L376" s="46" t="s">
        <v>157</v>
      </c>
    </row>
    <row r="377">
      <c r="A377" s="119"/>
      <c r="G377" s="48"/>
      <c r="H377" s="48"/>
      <c r="I377" s="48"/>
      <c r="J377" s="22"/>
      <c r="L377" s="46" t="s">
        <v>158</v>
      </c>
    </row>
    <row r="378">
      <c r="A378" s="119"/>
      <c r="G378" s="48"/>
      <c r="H378" s="48"/>
      <c r="I378" s="48"/>
      <c r="J378" s="22"/>
      <c r="L378" s="46" t="s">
        <v>159</v>
      </c>
    </row>
    <row r="379">
      <c r="A379" s="119"/>
      <c r="G379" s="48"/>
      <c r="H379" s="48"/>
      <c r="I379" s="48"/>
      <c r="J379" s="22"/>
      <c r="L379" s="46" t="s">
        <v>160</v>
      </c>
    </row>
    <row r="380">
      <c r="A380" s="119"/>
      <c r="J380" s="22"/>
      <c r="L380" s="46" t="s">
        <v>152</v>
      </c>
    </row>
    <row r="381">
      <c r="A381" s="119"/>
      <c r="J381" s="22"/>
      <c r="L381" s="46" t="s">
        <v>154</v>
      </c>
    </row>
    <row r="382">
      <c r="A382" s="119"/>
      <c r="J382" s="22"/>
      <c r="L382" s="46" t="s">
        <v>156</v>
      </c>
    </row>
    <row r="383">
      <c r="A383" s="119"/>
      <c r="J383" s="22"/>
      <c r="L383" s="46" t="s">
        <v>157</v>
      </c>
    </row>
    <row r="384">
      <c r="A384" s="119"/>
      <c r="J384" s="22"/>
      <c r="L384" s="46" t="s">
        <v>158</v>
      </c>
    </row>
    <row r="385">
      <c r="A385" s="119"/>
      <c r="J385" s="22"/>
      <c r="L385" s="46" t="s">
        <v>159</v>
      </c>
    </row>
    <row r="386">
      <c r="A386" s="119"/>
      <c r="J386" s="22"/>
      <c r="L386" s="46" t="s">
        <v>160</v>
      </c>
    </row>
    <row r="387">
      <c r="A387" s="119"/>
      <c r="J387" s="22"/>
    </row>
    <row r="388">
      <c r="A388" s="119"/>
      <c r="J388" s="22"/>
    </row>
    <row r="389">
      <c r="A389" s="119"/>
      <c r="J389" s="22"/>
    </row>
    <row r="390">
      <c r="A390" s="119"/>
      <c r="J390" s="22"/>
    </row>
    <row r="391">
      <c r="A391" s="119"/>
      <c r="J391" s="22"/>
    </row>
    <row r="392">
      <c r="A392" s="119"/>
      <c r="J392" s="22"/>
    </row>
    <row r="393">
      <c r="A393" s="119"/>
      <c r="J393" s="22"/>
    </row>
    <row r="394">
      <c r="A394" s="119"/>
      <c r="J394" s="22"/>
    </row>
    <row r="395">
      <c r="A395" s="119"/>
      <c r="J395" s="22"/>
    </row>
    <row r="396">
      <c r="A396" s="119"/>
      <c r="J396" s="22"/>
    </row>
    <row r="397">
      <c r="A397" s="119"/>
      <c r="J397" s="22"/>
    </row>
    <row r="398">
      <c r="A398" s="119"/>
      <c r="J398" s="22"/>
    </row>
    <row r="399">
      <c r="A399" s="119"/>
      <c r="J399" s="22"/>
    </row>
    <row r="400">
      <c r="A400" s="119"/>
      <c r="J400" s="22"/>
    </row>
    <row r="401">
      <c r="A401" s="119"/>
      <c r="J401" s="22"/>
    </row>
    <row r="402">
      <c r="A402" s="119"/>
      <c r="J402" s="22"/>
    </row>
    <row r="403">
      <c r="A403" s="119"/>
      <c r="J403" s="22"/>
    </row>
    <row r="404">
      <c r="A404" s="119"/>
      <c r="J404" s="22"/>
    </row>
    <row r="405">
      <c r="A405" s="119"/>
      <c r="J405" s="22"/>
    </row>
    <row r="406">
      <c r="A406" s="119"/>
      <c r="J406" s="22"/>
    </row>
    <row r="407">
      <c r="A407" s="119"/>
      <c r="J407" s="22"/>
    </row>
    <row r="408">
      <c r="A408" s="119"/>
      <c r="J408" s="22"/>
    </row>
    <row r="409">
      <c r="A409" s="119"/>
      <c r="J409" s="22"/>
    </row>
    <row r="410">
      <c r="A410" s="119"/>
      <c r="J410" s="22"/>
    </row>
    <row r="411">
      <c r="A411" s="119"/>
      <c r="J411" s="22"/>
    </row>
    <row r="412">
      <c r="A412" s="119"/>
      <c r="J412" s="22"/>
    </row>
    <row r="413">
      <c r="A413" s="119"/>
      <c r="J413" s="22"/>
    </row>
    <row r="414">
      <c r="A414" s="119"/>
      <c r="J414" s="22"/>
    </row>
    <row r="415">
      <c r="A415" s="119"/>
      <c r="J415" s="22"/>
    </row>
    <row r="416">
      <c r="A416" s="119"/>
      <c r="J416" s="22"/>
    </row>
    <row r="417">
      <c r="A417" s="119"/>
      <c r="J417" s="22"/>
    </row>
    <row r="418">
      <c r="A418" s="119"/>
      <c r="J418" s="22"/>
    </row>
    <row r="419">
      <c r="A419" s="119"/>
      <c r="J419" s="22"/>
    </row>
    <row r="420">
      <c r="A420" s="119"/>
      <c r="J420" s="22"/>
    </row>
    <row r="421">
      <c r="A421" s="119"/>
      <c r="J421" s="22"/>
    </row>
    <row r="422">
      <c r="A422" s="119"/>
      <c r="J422" s="22"/>
    </row>
    <row r="423">
      <c r="A423" s="119"/>
      <c r="J423" s="22"/>
    </row>
    <row r="424">
      <c r="A424" s="119"/>
      <c r="J424" s="22"/>
    </row>
    <row r="425">
      <c r="A425" s="119"/>
      <c r="J425" s="22"/>
    </row>
    <row r="426">
      <c r="A426" s="119"/>
      <c r="J426" s="22"/>
    </row>
    <row r="427">
      <c r="A427" s="119"/>
      <c r="J427" s="22"/>
    </row>
    <row r="428">
      <c r="A428" s="119"/>
      <c r="J428" s="22"/>
    </row>
    <row r="429">
      <c r="A429" s="119"/>
      <c r="J429" s="22"/>
    </row>
    <row r="430">
      <c r="A430" s="119"/>
      <c r="J430" s="22"/>
    </row>
    <row r="431">
      <c r="A431" s="119"/>
      <c r="J431" s="22"/>
    </row>
    <row r="432">
      <c r="A432" s="119"/>
      <c r="J432" s="22"/>
    </row>
    <row r="433">
      <c r="A433" s="119"/>
      <c r="J433" s="22"/>
    </row>
    <row r="434">
      <c r="A434" s="119"/>
      <c r="J434" s="22"/>
    </row>
    <row r="435">
      <c r="A435" s="119"/>
      <c r="J435" s="22"/>
    </row>
    <row r="436">
      <c r="A436" s="119"/>
      <c r="J436" s="22"/>
    </row>
    <row r="437">
      <c r="A437" s="119"/>
      <c r="J437" s="22"/>
    </row>
    <row r="438">
      <c r="A438" s="119"/>
      <c r="J438" s="22"/>
    </row>
    <row r="439">
      <c r="A439" s="119"/>
      <c r="J439" s="22"/>
    </row>
    <row r="440">
      <c r="A440" s="119"/>
      <c r="J440" s="22"/>
    </row>
    <row r="441">
      <c r="A441" s="119"/>
      <c r="J441" s="22"/>
    </row>
    <row r="442">
      <c r="A442" s="119"/>
      <c r="J442" s="22"/>
    </row>
    <row r="443">
      <c r="A443" s="119"/>
      <c r="J443" s="22"/>
    </row>
    <row r="444">
      <c r="A444" s="119"/>
      <c r="J444" s="22"/>
    </row>
    <row r="445">
      <c r="A445" s="119"/>
      <c r="J445" s="22"/>
    </row>
    <row r="446">
      <c r="A446" s="119"/>
      <c r="J446" s="22"/>
    </row>
    <row r="447">
      <c r="A447" s="119"/>
      <c r="J447" s="22"/>
    </row>
    <row r="448">
      <c r="A448" s="119"/>
      <c r="J448" s="22"/>
    </row>
    <row r="449">
      <c r="A449" s="119"/>
      <c r="J449" s="22"/>
    </row>
    <row r="450">
      <c r="A450" s="119"/>
      <c r="J450" s="22"/>
    </row>
    <row r="451">
      <c r="A451" s="119"/>
      <c r="J451" s="22"/>
    </row>
    <row r="452">
      <c r="A452" s="119"/>
      <c r="J452" s="22"/>
    </row>
    <row r="453">
      <c r="A453" s="119"/>
      <c r="J453" s="22"/>
    </row>
    <row r="454">
      <c r="A454" s="119"/>
      <c r="J454" s="22"/>
    </row>
    <row r="455">
      <c r="A455" s="119"/>
      <c r="J455" s="22"/>
    </row>
    <row r="456">
      <c r="A456" s="119"/>
      <c r="J456" s="22"/>
    </row>
    <row r="457">
      <c r="A457" s="119"/>
      <c r="J457" s="22"/>
    </row>
    <row r="458">
      <c r="A458" s="119"/>
      <c r="J458" s="22"/>
    </row>
    <row r="459">
      <c r="A459" s="119"/>
      <c r="J459" s="22"/>
    </row>
    <row r="460">
      <c r="A460" s="119"/>
      <c r="J460" s="22"/>
    </row>
    <row r="461">
      <c r="A461" s="119"/>
      <c r="J461" s="22"/>
    </row>
    <row r="462">
      <c r="A462" s="119"/>
      <c r="J462" s="22"/>
    </row>
    <row r="463">
      <c r="A463" s="119"/>
      <c r="J463" s="22"/>
    </row>
    <row r="464">
      <c r="A464" s="119"/>
      <c r="J464" s="22"/>
    </row>
    <row r="465">
      <c r="A465" s="119"/>
      <c r="J465" s="22"/>
    </row>
    <row r="466">
      <c r="A466" s="119"/>
      <c r="J466" s="22"/>
    </row>
    <row r="467">
      <c r="A467" s="119"/>
      <c r="J467" s="22"/>
    </row>
    <row r="468">
      <c r="A468" s="119"/>
      <c r="J468" s="22"/>
    </row>
    <row r="469">
      <c r="A469" s="119"/>
      <c r="J469" s="22"/>
    </row>
    <row r="470">
      <c r="A470" s="119"/>
      <c r="J470" s="22"/>
    </row>
    <row r="471">
      <c r="A471" s="119"/>
      <c r="J471" s="22"/>
    </row>
    <row r="472">
      <c r="A472" s="119"/>
      <c r="J472" s="22"/>
    </row>
    <row r="473">
      <c r="A473" s="119"/>
      <c r="J473" s="22"/>
    </row>
    <row r="474">
      <c r="A474" s="119"/>
      <c r="J474" s="22"/>
    </row>
    <row r="475">
      <c r="A475" s="119"/>
      <c r="J475" s="22"/>
    </row>
    <row r="476">
      <c r="A476" s="119"/>
      <c r="J476" s="22"/>
    </row>
    <row r="477">
      <c r="A477" s="119"/>
      <c r="J477" s="22"/>
    </row>
    <row r="478">
      <c r="A478" s="119"/>
      <c r="J478" s="22"/>
    </row>
    <row r="479">
      <c r="A479" s="119"/>
      <c r="J479" s="22"/>
    </row>
    <row r="480">
      <c r="A480" s="119"/>
      <c r="J480" s="22"/>
    </row>
    <row r="481">
      <c r="A481" s="119"/>
      <c r="J481" s="22"/>
    </row>
    <row r="482">
      <c r="A482" s="119"/>
      <c r="J482" s="22"/>
    </row>
    <row r="483">
      <c r="A483" s="119"/>
      <c r="J483" s="22"/>
    </row>
    <row r="484">
      <c r="A484" s="119"/>
      <c r="J484" s="22"/>
    </row>
    <row r="485">
      <c r="A485" s="119"/>
      <c r="J485" s="22"/>
    </row>
    <row r="486">
      <c r="A486" s="119"/>
      <c r="J486" s="22"/>
    </row>
    <row r="487">
      <c r="A487" s="119"/>
      <c r="J487" s="22"/>
    </row>
    <row r="488">
      <c r="A488" s="119"/>
      <c r="J488" s="22"/>
    </row>
    <row r="489">
      <c r="A489" s="119"/>
      <c r="J489" s="22"/>
    </row>
    <row r="490">
      <c r="A490" s="119"/>
      <c r="J490" s="22"/>
    </row>
    <row r="491">
      <c r="A491" s="119"/>
      <c r="J491" s="22"/>
    </row>
    <row r="492">
      <c r="A492" s="119"/>
      <c r="J492" s="22"/>
    </row>
    <row r="493">
      <c r="A493" s="119"/>
      <c r="J493" s="22"/>
    </row>
    <row r="494">
      <c r="A494" s="119"/>
      <c r="J494" s="22"/>
    </row>
    <row r="495">
      <c r="A495" s="119"/>
      <c r="J495" s="22"/>
    </row>
    <row r="496">
      <c r="A496" s="119"/>
      <c r="J496" s="22"/>
    </row>
    <row r="497">
      <c r="A497" s="119"/>
      <c r="J497" s="22"/>
    </row>
    <row r="498">
      <c r="A498" s="119"/>
      <c r="J498" s="22"/>
    </row>
    <row r="499">
      <c r="A499" s="119"/>
      <c r="J499" s="22"/>
    </row>
    <row r="500">
      <c r="A500" s="119"/>
      <c r="J500" s="22"/>
    </row>
    <row r="501">
      <c r="A501" s="119"/>
      <c r="J501" s="22"/>
    </row>
    <row r="502">
      <c r="A502" s="119"/>
      <c r="J502" s="22"/>
    </row>
    <row r="503">
      <c r="A503" s="119"/>
      <c r="J503" s="22"/>
    </row>
    <row r="504">
      <c r="A504" s="119"/>
      <c r="J504" s="22"/>
    </row>
    <row r="505">
      <c r="A505" s="119"/>
      <c r="J505" s="22"/>
    </row>
    <row r="506">
      <c r="A506" s="119"/>
      <c r="J506" s="22"/>
    </row>
    <row r="507">
      <c r="A507" s="119"/>
      <c r="J507" s="22"/>
    </row>
    <row r="508">
      <c r="A508" s="119"/>
      <c r="J508" s="22"/>
    </row>
    <row r="509">
      <c r="A509" s="119"/>
      <c r="J509" s="22"/>
    </row>
    <row r="510">
      <c r="A510" s="119"/>
      <c r="J510" s="22"/>
    </row>
    <row r="511">
      <c r="A511" s="119"/>
      <c r="J511" s="22"/>
    </row>
    <row r="512">
      <c r="A512" s="119"/>
      <c r="J512" s="22"/>
    </row>
    <row r="513">
      <c r="A513" s="119"/>
      <c r="J513" s="22"/>
    </row>
    <row r="514">
      <c r="A514" s="119"/>
      <c r="J514" s="22"/>
    </row>
    <row r="515">
      <c r="A515" s="119"/>
      <c r="J515" s="22"/>
    </row>
    <row r="516">
      <c r="A516" s="119"/>
      <c r="J516" s="22"/>
    </row>
    <row r="517">
      <c r="A517" s="119"/>
      <c r="J517" s="22"/>
    </row>
    <row r="518">
      <c r="A518" s="119"/>
      <c r="J518" s="22"/>
    </row>
    <row r="519">
      <c r="A519" s="119"/>
      <c r="J519" s="22"/>
    </row>
    <row r="520">
      <c r="A520" s="119"/>
      <c r="J520" s="22"/>
    </row>
    <row r="521">
      <c r="A521" s="119"/>
      <c r="J521" s="22"/>
    </row>
    <row r="522">
      <c r="A522" s="119"/>
      <c r="J522" s="22"/>
    </row>
    <row r="523">
      <c r="A523" s="119"/>
      <c r="J523" s="22"/>
    </row>
    <row r="524">
      <c r="A524" s="119"/>
      <c r="J524" s="22"/>
    </row>
    <row r="525">
      <c r="A525" s="119"/>
      <c r="J525" s="22"/>
    </row>
    <row r="526">
      <c r="A526" s="119"/>
      <c r="J526" s="22"/>
    </row>
    <row r="527">
      <c r="A527" s="119"/>
      <c r="J527" s="22"/>
    </row>
    <row r="528">
      <c r="A528" s="119"/>
      <c r="J528" s="22"/>
    </row>
    <row r="529">
      <c r="A529" s="119"/>
      <c r="J529" s="22"/>
    </row>
    <row r="530">
      <c r="A530" s="119"/>
      <c r="J530" s="22"/>
    </row>
    <row r="531">
      <c r="A531" s="119"/>
      <c r="J531" s="22"/>
    </row>
    <row r="532">
      <c r="A532" s="119"/>
      <c r="J532" s="22"/>
    </row>
    <row r="533">
      <c r="A533" s="119"/>
      <c r="J533" s="22"/>
    </row>
    <row r="534">
      <c r="A534" s="119"/>
      <c r="J534" s="22"/>
    </row>
    <row r="535">
      <c r="A535" s="119"/>
      <c r="J535" s="22"/>
    </row>
    <row r="536">
      <c r="A536" s="119"/>
      <c r="J536" s="22"/>
    </row>
    <row r="537">
      <c r="A537" s="119"/>
      <c r="J537" s="22"/>
    </row>
    <row r="538">
      <c r="A538" s="119"/>
      <c r="J538" s="22"/>
    </row>
    <row r="539">
      <c r="A539" s="119"/>
      <c r="J539" s="22"/>
    </row>
    <row r="540">
      <c r="A540" s="119"/>
      <c r="J540" s="22"/>
    </row>
    <row r="541">
      <c r="A541" s="119"/>
      <c r="J541" s="22"/>
    </row>
    <row r="542">
      <c r="A542" s="119"/>
      <c r="J542" s="22"/>
    </row>
    <row r="543">
      <c r="A543" s="119"/>
      <c r="J543" s="22"/>
    </row>
    <row r="544">
      <c r="A544" s="119"/>
      <c r="J544" s="22"/>
    </row>
    <row r="545">
      <c r="A545" s="119"/>
      <c r="J545" s="22"/>
    </row>
    <row r="546">
      <c r="A546" s="119"/>
      <c r="J546" s="22"/>
    </row>
    <row r="547">
      <c r="A547" s="119"/>
      <c r="J547" s="22"/>
    </row>
    <row r="548">
      <c r="A548" s="119"/>
      <c r="J548" s="22"/>
    </row>
    <row r="549">
      <c r="A549" s="119"/>
      <c r="J549" s="22"/>
    </row>
    <row r="550">
      <c r="A550" s="119"/>
      <c r="J550" s="22"/>
    </row>
    <row r="551">
      <c r="A551" s="119"/>
      <c r="J551" s="22"/>
    </row>
    <row r="552">
      <c r="A552" s="119"/>
      <c r="J552" s="22"/>
    </row>
    <row r="553">
      <c r="A553" s="119"/>
      <c r="J553" s="22"/>
    </row>
    <row r="554">
      <c r="A554" s="119"/>
      <c r="J554" s="22"/>
    </row>
    <row r="555">
      <c r="A555" s="119"/>
      <c r="J555" s="22"/>
    </row>
    <row r="556">
      <c r="A556" s="119"/>
      <c r="J556" s="22"/>
    </row>
    <row r="557">
      <c r="A557" s="119"/>
      <c r="J557" s="22"/>
    </row>
    <row r="558">
      <c r="A558" s="119"/>
      <c r="J558" s="22"/>
    </row>
    <row r="559">
      <c r="A559" s="119"/>
      <c r="J559" s="22"/>
    </row>
    <row r="560">
      <c r="A560" s="119"/>
      <c r="J560" s="22"/>
    </row>
    <row r="561">
      <c r="A561" s="119"/>
      <c r="J561" s="22"/>
    </row>
    <row r="562">
      <c r="A562" s="119"/>
      <c r="J562" s="22"/>
    </row>
    <row r="563">
      <c r="A563" s="119"/>
      <c r="J563" s="22"/>
    </row>
    <row r="564">
      <c r="A564" s="119"/>
      <c r="J564" s="22"/>
    </row>
    <row r="565">
      <c r="A565" s="119"/>
      <c r="J565" s="22"/>
    </row>
    <row r="566">
      <c r="A566" s="119"/>
      <c r="J566" s="22"/>
    </row>
    <row r="567">
      <c r="A567" s="119"/>
      <c r="J567" s="22"/>
    </row>
    <row r="568">
      <c r="A568" s="119"/>
      <c r="J568" s="22"/>
    </row>
    <row r="569">
      <c r="A569" s="119"/>
      <c r="J569" s="22"/>
    </row>
    <row r="570">
      <c r="A570" s="119"/>
      <c r="J570" s="22"/>
    </row>
    <row r="571">
      <c r="A571" s="119"/>
      <c r="J571" s="22"/>
    </row>
    <row r="572">
      <c r="A572" s="119"/>
      <c r="J572" s="22"/>
    </row>
    <row r="573">
      <c r="A573" s="119"/>
      <c r="J573" s="22"/>
    </row>
    <row r="574">
      <c r="A574" s="119"/>
      <c r="J574" s="22"/>
    </row>
    <row r="575">
      <c r="A575" s="119"/>
      <c r="J575" s="22"/>
    </row>
    <row r="576">
      <c r="A576" s="119"/>
      <c r="J576" s="22"/>
    </row>
    <row r="577">
      <c r="A577" s="119"/>
      <c r="J577" s="22"/>
    </row>
    <row r="578">
      <c r="A578" s="119"/>
      <c r="J578" s="22"/>
    </row>
    <row r="579">
      <c r="A579" s="119"/>
      <c r="J579" s="22"/>
    </row>
    <row r="580">
      <c r="A580" s="119"/>
      <c r="J580" s="22"/>
    </row>
    <row r="581">
      <c r="A581" s="119"/>
      <c r="J581" s="22"/>
    </row>
    <row r="582">
      <c r="A582" s="119"/>
      <c r="J582" s="22"/>
    </row>
    <row r="583">
      <c r="A583" s="119"/>
      <c r="J583" s="22"/>
    </row>
    <row r="584">
      <c r="A584" s="119"/>
      <c r="J584" s="22"/>
    </row>
    <row r="585">
      <c r="A585" s="119"/>
      <c r="J585" s="22"/>
    </row>
    <row r="586">
      <c r="A586" s="119"/>
      <c r="J586" s="22"/>
    </row>
    <row r="587">
      <c r="A587" s="119"/>
      <c r="J587" s="22"/>
    </row>
    <row r="588">
      <c r="A588" s="119"/>
      <c r="J588" s="22"/>
    </row>
    <row r="589">
      <c r="A589" s="119"/>
      <c r="J589" s="22"/>
    </row>
    <row r="590">
      <c r="A590" s="119"/>
      <c r="J590" s="22"/>
    </row>
    <row r="591">
      <c r="A591" s="119"/>
      <c r="J591" s="22"/>
    </row>
    <row r="592">
      <c r="A592" s="119"/>
      <c r="J592" s="22"/>
    </row>
    <row r="593">
      <c r="A593" s="119"/>
      <c r="J593" s="22"/>
    </row>
    <row r="594">
      <c r="A594" s="119"/>
      <c r="J594" s="22"/>
    </row>
    <row r="595">
      <c r="A595" s="119"/>
      <c r="J595" s="22"/>
    </row>
    <row r="596">
      <c r="A596" s="119"/>
      <c r="J596" s="22"/>
    </row>
    <row r="597">
      <c r="A597" s="119"/>
      <c r="J597" s="22"/>
    </row>
    <row r="598">
      <c r="A598" s="119"/>
      <c r="J598" s="22"/>
    </row>
    <row r="599">
      <c r="A599" s="119"/>
      <c r="J599" s="22"/>
    </row>
    <row r="600">
      <c r="A600" s="119"/>
      <c r="J600" s="22"/>
    </row>
    <row r="601">
      <c r="A601" s="119"/>
      <c r="J601" s="22"/>
    </row>
    <row r="602">
      <c r="A602" s="119"/>
      <c r="J602" s="22"/>
    </row>
    <row r="603">
      <c r="A603" s="119"/>
      <c r="J603" s="22"/>
    </row>
    <row r="604">
      <c r="A604" s="119"/>
      <c r="J604" s="22"/>
    </row>
    <row r="605">
      <c r="A605" s="119"/>
      <c r="J605" s="22"/>
    </row>
    <row r="606">
      <c r="A606" s="119"/>
      <c r="J606" s="22"/>
    </row>
    <row r="607">
      <c r="A607" s="119"/>
      <c r="J607" s="22"/>
    </row>
    <row r="608">
      <c r="A608" s="119"/>
      <c r="J608" s="22"/>
    </row>
    <row r="609">
      <c r="A609" s="119"/>
      <c r="J609" s="22"/>
    </row>
    <row r="610">
      <c r="A610" s="119"/>
      <c r="J610" s="22"/>
    </row>
    <row r="611">
      <c r="A611" s="119"/>
      <c r="J611" s="22"/>
    </row>
    <row r="612">
      <c r="A612" s="119"/>
      <c r="J612" s="22"/>
    </row>
    <row r="613">
      <c r="A613" s="119"/>
      <c r="J613" s="22"/>
    </row>
    <row r="614">
      <c r="A614" s="119"/>
      <c r="J614" s="22"/>
    </row>
    <row r="615">
      <c r="A615" s="119"/>
      <c r="J615" s="22"/>
    </row>
    <row r="616">
      <c r="A616" s="119"/>
      <c r="J616" s="22"/>
    </row>
    <row r="617">
      <c r="A617" s="119"/>
      <c r="J617" s="22"/>
    </row>
    <row r="618">
      <c r="A618" s="119"/>
      <c r="J618" s="22"/>
    </row>
    <row r="619">
      <c r="A619" s="119"/>
      <c r="J619" s="22"/>
    </row>
    <row r="620">
      <c r="A620" s="119"/>
      <c r="J620" s="22"/>
    </row>
    <row r="621">
      <c r="A621" s="119"/>
      <c r="J621" s="22"/>
    </row>
    <row r="622">
      <c r="A622" s="119"/>
      <c r="J622" s="22"/>
    </row>
    <row r="623">
      <c r="A623" s="119"/>
      <c r="J623" s="22"/>
    </row>
    <row r="624">
      <c r="A624" s="119"/>
      <c r="J624" s="22"/>
    </row>
    <row r="625">
      <c r="A625" s="119"/>
      <c r="J625" s="22"/>
    </row>
    <row r="626">
      <c r="A626" s="119"/>
      <c r="J626" s="22"/>
    </row>
    <row r="627">
      <c r="A627" s="119"/>
      <c r="J627" s="22"/>
    </row>
    <row r="628">
      <c r="A628" s="119"/>
      <c r="J628" s="22"/>
    </row>
    <row r="629">
      <c r="A629" s="119"/>
      <c r="J629" s="22"/>
    </row>
    <row r="630">
      <c r="A630" s="119"/>
      <c r="J630" s="22"/>
    </row>
    <row r="631">
      <c r="A631" s="119"/>
      <c r="J631" s="22"/>
    </row>
    <row r="632">
      <c r="A632" s="119"/>
      <c r="J632" s="22"/>
    </row>
    <row r="633">
      <c r="A633" s="119"/>
      <c r="J633" s="22"/>
    </row>
    <row r="634">
      <c r="A634" s="119"/>
      <c r="J634" s="22"/>
    </row>
    <row r="635">
      <c r="A635" s="119"/>
      <c r="J635" s="22"/>
    </row>
    <row r="636">
      <c r="A636" s="119"/>
      <c r="J636" s="22"/>
    </row>
    <row r="637">
      <c r="A637" s="119"/>
      <c r="J637" s="22"/>
    </row>
    <row r="638">
      <c r="A638" s="119"/>
      <c r="J638" s="22"/>
    </row>
    <row r="639">
      <c r="A639" s="119"/>
      <c r="J639" s="22"/>
    </row>
    <row r="640">
      <c r="A640" s="119"/>
      <c r="J640" s="22"/>
    </row>
    <row r="641">
      <c r="A641" s="119"/>
      <c r="J641" s="22"/>
    </row>
    <row r="642">
      <c r="A642" s="119"/>
      <c r="J642" s="22"/>
    </row>
    <row r="643">
      <c r="A643" s="119"/>
      <c r="J643" s="22"/>
    </row>
    <row r="644">
      <c r="A644" s="119"/>
      <c r="J644" s="22"/>
    </row>
    <row r="645">
      <c r="A645" s="119"/>
      <c r="J645" s="22"/>
    </row>
    <row r="646">
      <c r="A646" s="119"/>
      <c r="J646" s="22"/>
    </row>
    <row r="647">
      <c r="A647" s="119"/>
      <c r="J647" s="22"/>
    </row>
    <row r="648">
      <c r="A648" s="119"/>
      <c r="J648" s="22"/>
    </row>
    <row r="649">
      <c r="A649" s="119"/>
      <c r="J649" s="22"/>
    </row>
    <row r="650">
      <c r="A650" s="119"/>
      <c r="J650" s="22"/>
    </row>
    <row r="651">
      <c r="A651" s="119"/>
      <c r="J651" s="22"/>
    </row>
    <row r="652">
      <c r="A652" s="119"/>
      <c r="J652" s="22"/>
    </row>
    <row r="653">
      <c r="A653" s="119"/>
      <c r="J653" s="22"/>
    </row>
    <row r="654">
      <c r="A654" s="119"/>
      <c r="J654" s="22"/>
    </row>
    <row r="655">
      <c r="A655" s="119"/>
      <c r="J655" s="22"/>
    </row>
    <row r="656">
      <c r="A656" s="119"/>
      <c r="J656" s="22"/>
    </row>
    <row r="657">
      <c r="A657" s="119"/>
      <c r="J657" s="22"/>
    </row>
    <row r="658">
      <c r="A658" s="119"/>
      <c r="J658" s="22"/>
    </row>
    <row r="659">
      <c r="A659" s="119"/>
      <c r="J659" s="22"/>
    </row>
    <row r="660">
      <c r="A660" s="119"/>
      <c r="J660" s="22"/>
    </row>
    <row r="661">
      <c r="A661" s="119"/>
      <c r="J661" s="22"/>
    </row>
    <row r="662">
      <c r="A662" s="119"/>
      <c r="J662" s="22"/>
    </row>
    <row r="663">
      <c r="A663" s="119"/>
      <c r="J663" s="22"/>
    </row>
    <row r="664">
      <c r="A664" s="119"/>
      <c r="J664" s="22"/>
    </row>
    <row r="665">
      <c r="A665" s="119"/>
      <c r="J665" s="22"/>
    </row>
    <row r="666">
      <c r="A666" s="119"/>
      <c r="J666" s="22"/>
    </row>
    <row r="667">
      <c r="A667" s="119"/>
      <c r="J667" s="22"/>
    </row>
    <row r="668">
      <c r="A668" s="119"/>
      <c r="J668" s="22"/>
    </row>
    <row r="669">
      <c r="A669" s="119"/>
      <c r="J669" s="22"/>
    </row>
    <row r="670">
      <c r="A670" s="119"/>
      <c r="J670" s="22"/>
    </row>
    <row r="671">
      <c r="A671" s="119"/>
      <c r="J671" s="22"/>
    </row>
    <row r="672">
      <c r="A672" s="119"/>
      <c r="J672" s="22"/>
    </row>
    <row r="673">
      <c r="A673" s="119"/>
      <c r="J673" s="22"/>
    </row>
    <row r="674">
      <c r="A674" s="119"/>
      <c r="J674" s="22"/>
    </row>
    <row r="675">
      <c r="A675" s="119"/>
      <c r="J675" s="22"/>
    </row>
    <row r="676">
      <c r="A676" s="119"/>
      <c r="J676" s="22"/>
    </row>
    <row r="677">
      <c r="A677" s="119"/>
      <c r="J677" s="22"/>
    </row>
    <row r="678">
      <c r="A678" s="119"/>
      <c r="J678" s="22"/>
    </row>
    <row r="679">
      <c r="A679" s="119"/>
      <c r="J679" s="22"/>
    </row>
    <row r="680">
      <c r="A680" s="119"/>
      <c r="J680" s="22"/>
    </row>
    <row r="681">
      <c r="A681" s="119"/>
      <c r="J681" s="22"/>
    </row>
    <row r="682">
      <c r="A682" s="119"/>
      <c r="J682" s="22"/>
    </row>
    <row r="683">
      <c r="A683" s="119"/>
      <c r="J683" s="22"/>
    </row>
    <row r="684">
      <c r="A684" s="119"/>
      <c r="J684" s="22"/>
    </row>
    <row r="685">
      <c r="A685" s="119"/>
      <c r="J685" s="22"/>
    </row>
    <row r="686">
      <c r="A686" s="119"/>
      <c r="J686" s="22"/>
    </row>
    <row r="687">
      <c r="A687" s="119"/>
      <c r="J687" s="22"/>
    </row>
    <row r="688">
      <c r="A688" s="119"/>
      <c r="J688" s="22"/>
    </row>
    <row r="689">
      <c r="A689" s="119"/>
      <c r="J689" s="22"/>
    </row>
    <row r="690">
      <c r="A690" s="119"/>
      <c r="J690" s="22"/>
    </row>
    <row r="691">
      <c r="A691" s="119"/>
      <c r="J691" s="22"/>
    </row>
    <row r="692">
      <c r="A692" s="119"/>
      <c r="J692" s="22"/>
    </row>
    <row r="693">
      <c r="A693" s="119"/>
      <c r="J693" s="22"/>
    </row>
    <row r="694">
      <c r="A694" s="119"/>
      <c r="J694" s="22"/>
    </row>
    <row r="695">
      <c r="A695" s="119"/>
      <c r="J695" s="22"/>
    </row>
    <row r="696">
      <c r="A696" s="119"/>
      <c r="J696" s="22"/>
    </row>
    <row r="697">
      <c r="A697" s="119"/>
      <c r="J697" s="22"/>
    </row>
    <row r="698">
      <c r="A698" s="119"/>
      <c r="J698" s="22"/>
    </row>
    <row r="699">
      <c r="A699" s="119"/>
      <c r="J699" s="22"/>
    </row>
    <row r="700">
      <c r="A700" s="119"/>
      <c r="J700" s="22"/>
    </row>
    <row r="701">
      <c r="A701" s="119"/>
      <c r="J701" s="22"/>
    </row>
    <row r="702">
      <c r="A702" s="119"/>
      <c r="J702" s="22"/>
    </row>
    <row r="703">
      <c r="A703" s="119"/>
      <c r="J703" s="22"/>
    </row>
    <row r="704">
      <c r="A704" s="119"/>
      <c r="J704" s="22"/>
    </row>
    <row r="705">
      <c r="A705" s="119"/>
      <c r="J705" s="22"/>
    </row>
    <row r="706">
      <c r="A706" s="119"/>
      <c r="J706" s="22"/>
    </row>
    <row r="707">
      <c r="A707" s="119"/>
      <c r="J707" s="22"/>
    </row>
    <row r="708">
      <c r="A708" s="119"/>
      <c r="J708" s="22"/>
    </row>
    <row r="709">
      <c r="A709" s="119"/>
      <c r="J709" s="22"/>
    </row>
    <row r="710">
      <c r="A710" s="119"/>
      <c r="J710" s="22"/>
    </row>
    <row r="711">
      <c r="A711" s="119"/>
      <c r="J711" s="22"/>
    </row>
    <row r="712">
      <c r="A712" s="119"/>
      <c r="J712" s="22"/>
    </row>
    <row r="713">
      <c r="A713" s="119"/>
      <c r="J713" s="22"/>
    </row>
    <row r="714">
      <c r="A714" s="119"/>
      <c r="J714" s="22"/>
    </row>
    <row r="715">
      <c r="A715" s="119"/>
      <c r="J715" s="22"/>
    </row>
    <row r="716">
      <c r="A716" s="119"/>
      <c r="J716" s="22"/>
    </row>
    <row r="717">
      <c r="A717" s="119"/>
      <c r="J717" s="22"/>
    </row>
    <row r="718">
      <c r="A718" s="119"/>
      <c r="J718" s="22"/>
    </row>
    <row r="719">
      <c r="A719" s="119"/>
      <c r="J719" s="22"/>
    </row>
    <row r="720">
      <c r="A720" s="119"/>
      <c r="J720" s="22"/>
    </row>
    <row r="721">
      <c r="A721" s="119"/>
      <c r="J721" s="22"/>
    </row>
    <row r="722">
      <c r="A722" s="119"/>
      <c r="J722" s="22"/>
    </row>
    <row r="723">
      <c r="A723" s="119"/>
      <c r="J723" s="22"/>
    </row>
    <row r="724">
      <c r="A724" s="119"/>
      <c r="J724" s="22"/>
    </row>
    <row r="725">
      <c r="A725" s="119"/>
      <c r="J725" s="22"/>
    </row>
    <row r="726">
      <c r="A726" s="119"/>
      <c r="J726" s="22"/>
    </row>
    <row r="727">
      <c r="A727" s="119"/>
      <c r="J727" s="22"/>
    </row>
    <row r="728">
      <c r="A728" s="119"/>
      <c r="J728" s="22"/>
    </row>
    <row r="729">
      <c r="A729" s="119"/>
      <c r="J729" s="22"/>
    </row>
    <row r="730">
      <c r="A730" s="119"/>
      <c r="J730" s="22"/>
    </row>
    <row r="731">
      <c r="A731" s="119"/>
      <c r="J731" s="22"/>
    </row>
    <row r="732">
      <c r="A732" s="119"/>
      <c r="J732" s="22"/>
    </row>
    <row r="733">
      <c r="A733" s="119"/>
      <c r="J733" s="22"/>
    </row>
    <row r="734">
      <c r="A734" s="119"/>
      <c r="J734" s="22"/>
    </row>
    <row r="735">
      <c r="A735" s="119"/>
      <c r="J735" s="22"/>
    </row>
    <row r="736">
      <c r="A736" s="119"/>
      <c r="J736" s="22"/>
    </row>
    <row r="737">
      <c r="A737" s="119"/>
      <c r="J737" s="22"/>
    </row>
    <row r="738">
      <c r="A738" s="119"/>
      <c r="J738" s="22"/>
    </row>
    <row r="739">
      <c r="A739" s="119"/>
      <c r="J739" s="22"/>
    </row>
    <row r="740">
      <c r="A740" s="119"/>
      <c r="J740" s="22"/>
    </row>
    <row r="741">
      <c r="A741" s="119"/>
      <c r="J741" s="22"/>
    </row>
    <row r="742">
      <c r="A742" s="119"/>
      <c r="J742" s="22"/>
    </row>
    <row r="743">
      <c r="A743" s="119"/>
      <c r="J743" s="22"/>
    </row>
    <row r="744">
      <c r="A744" s="119"/>
      <c r="J744" s="22"/>
    </row>
    <row r="745">
      <c r="A745" s="119"/>
      <c r="J745" s="22"/>
    </row>
    <row r="746">
      <c r="A746" s="119"/>
      <c r="J746" s="22"/>
    </row>
    <row r="747">
      <c r="A747" s="119"/>
      <c r="J747" s="22"/>
    </row>
    <row r="748">
      <c r="A748" s="119"/>
      <c r="J748" s="22"/>
    </row>
    <row r="749">
      <c r="A749" s="119"/>
      <c r="J749" s="22"/>
    </row>
    <row r="750">
      <c r="A750" s="119"/>
      <c r="J750" s="22"/>
    </row>
    <row r="751">
      <c r="A751" s="119"/>
      <c r="J751" s="22"/>
    </row>
    <row r="752">
      <c r="A752" s="119"/>
      <c r="J752" s="22"/>
    </row>
    <row r="753">
      <c r="A753" s="119"/>
      <c r="J753" s="22"/>
    </row>
    <row r="754">
      <c r="A754" s="119"/>
      <c r="J754" s="22"/>
    </row>
    <row r="755">
      <c r="A755" s="119"/>
      <c r="J755" s="22"/>
    </row>
    <row r="756">
      <c r="A756" s="119"/>
      <c r="J756" s="22"/>
    </row>
    <row r="757">
      <c r="A757" s="119"/>
      <c r="J757" s="22"/>
    </row>
    <row r="758">
      <c r="A758" s="119"/>
      <c r="J758" s="22"/>
    </row>
    <row r="759">
      <c r="A759" s="119"/>
      <c r="J759" s="22"/>
    </row>
    <row r="760">
      <c r="A760" s="119"/>
      <c r="J760" s="22"/>
    </row>
    <row r="761">
      <c r="A761" s="119"/>
      <c r="J761" s="22"/>
    </row>
    <row r="762">
      <c r="A762" s="119"/>
      <c r="J762" s="22"/>
    </row>
    <row r="763">
      <c r="A763" s="119"/>
      <c r="J763" s="22"/>
    </row>
    <row r="764">
      <c r="A764" s="119"/>
      <c r="J764" s="22"/>
    </row>
    <row r="765">
      <c r="A765" s="119"/>
      <c r="J765" s="22"/>
    </row>
    <row r="766">
      <c r="A766" s="119"/>
      <c r="J766" s="22"/>
    </row>
    <row r="767">
      <c r="A767" s="119"/>
      <c r="J767" s="22"/>
    </row>
    <row r="768">
      <c r="A768" s="119"/>
      <c r="J768" s="22"/>
    </row>
    <row r="769">
      <c r="A769" s="119"/>
      <c r="J769" s="22"/>
    </row>
    <row r="770">
      <c r="A770" s="119"/>
      <c r="J770" s="22"/>
    </row>
    <row r="771">
      <c r="A771" s="119"/>
      <c r="J771" s="22"/>
    </row>
    <row r="772">
      <c r="A772" s="119"/>
      <c r="J772" s="22"/>
    </row>
    <row r="773">
      <c r="A773" s="119"/>
      <c r="J773" s="22"/>
    </row>
    <row r="774">
      <c r="A774" s="119"/>
      <c r="J774" s="22"/>
    </row>
    <row r="775">
      <c r="A775" s="119"/>
      <c r="J775" s="22"/>
    </row>
    <row r="776">
      <c r="A776" s="119"/>
      <c r="J776" s="22"/>
    </row>
    <row r="777">
      <c r="A777" s="119"/>
      <c r="J777" s="22"/>
    </row>
    <row r="778">
      <c r="A778" s="119"/>
      <c r="J778" s="22"/>
    </row>
    <row r="779">
      <c r="A779" s="119"/>
      <c r="J779" s="22"/>
    </row>
    <row r="780">
      <c r="A780" s="119"/>
      <c r="J780" s="22"/>
    </row>
    <row r="781">
      <c r="A781" s="119"/>
      <c r="J781" s="22"/>
    </row>
    <row r="782">
      <c r="A782" s="119"/>
      <c r="J782" s="22"/>
    </row>
    <row r="783">
      <c r="A783" s="119"/>
      <c r="J783" s="22"/>
    </row>
    <row r="784">
      <c r="A784" s="119"/>
      <c r="J784" s="22"/>
    </row>
    <row r="785">
      <c r="A785" s="119"/>
      <c r="J785" s="22"/>
    </row>
    <row r="786">
      <c r="A786" s="119"/>
      <c r="J786" s="22"/>
    </row>
    <row r="787">
      <c r="A787" s="119"/>
      <c r="J787" s="22"/>
    </row>
    <row r="788">
      <c r="A788" s="119"/>
      <c r="J788" s="22"/>
    </row>
    <row r="789">
      <c r="A789" s="119"/>
      <c r="J789" s="22"/>
    </row>
    <row r="790">
      <c r="A790" s="119"/>
      <c r="J790" s="22"/>
    </row>
    <row r="791">
      <c r="A791" s="119"/>
      <c r="J791" s="22"/>
    </row>
    <row r="792">
      <c r="A792" s="119"/>
      <c r="J792" s="22"/>
    </row>
    <row r="793">
      <c r="A793" s="119"/>
      <c r="J793" s="22"/>
    </row>
    <row r="794">
      <c r="A794" s="119"/>
      <c r="J794" s="22"/>
    </row>
    <row r="795">
      <c r="A795" s="119"/>
      <c r="J795" s="22"/>
    </row>
    <row r="796">
      <c r="A796" s="119"/>
      <c r="J796" s="22"/>
    </row>
    <row r="797">
      <c r="A797" s="119"/>
      <c r="J797" s="22"/>
    </row>
    <row r="798">
      <c r="A798" s="119"/>
      <c r="J798" s="22"/>
    </row>
    <row r="799">
      <c r="A799" s="119"/>
      <c r="J799" s="22"/>
    </row>
    <row r="800">
      <c r="A800" s="119"/>
      <c r="J800" s="22"/>
    </row>
    <row r="801">
      <c r="A801" s="119"/>
      <c r="J801" s="22"/>
    </row>
    <row r="802">
      <c r="A802" s="119"/>
      <c r="J802" s="22"/>
    </row>
    <row r="803">
      <c r="A803" s="119"/>
      <c r="J803" s="22"/>
    </row>
    <row r="804">
      <c r="A804" s="119"/>
      <c r="J804" s="22"/>
    </row>
    <row r="805">
      <c r="A805" s="119"/>
      <c r="J805" s="22"/>
    </row>
    <row r="806">
      <c r="A806" s="119"/>
      <c r="J806" s="22"/>
    </row>
    <row r="807">
      <c r="A807" s="119"/>
      <c r="J807" s="22"/>
    </row>
    <row r="808">
      <c r="A808" s="119"/>
      <c r="J808" s="22"/>
    </row>
    <row r="809">
      <c r="A809" s="119"/>
      <c r="J809" s="22"/>
    </row>
    <row r="810">
      <c r="A810" s="119"/>
      <c r="J810" s="22"/>
    </row>
    <row r="811">
      <c r="A811" s="119"/>
      <c r="J811" s="22"/>
    </row>
    <row r="812">
      <c r="A812" s="119"/>
      <c r="J812" s="22"/>
    </row>
    <row r="813">
      <c r="A813" s="119"/>
      <c r="J813" s="22"/>
    </row>
    <row r="814">
      <c r="A814" s="119"/>
      <c r="J814" s="22"/>
    </row>
    <row r="815">
      <c r="A815" s="119"/>
      <c r="J815" s="22"/>
    </row>
    <row r="816">
      <c r="A816" s="119"/>
      <c r="J816" s="22"/>
    </row>
    <row r="817">
      <c r="A817" s="119"/>
      <c r="J817" s="22"/>
    </row>
    <row r="818">
      <c r="A818" s="119"/>
      <c r="J818" s="22"/>
    </row>
    <row r="819">
      <c r="A819" s="119"/>
      <c r="J819" s="22"/>
    </row>
    <row r="820">
      <c r="A820" s="119"/>
      <c r="J820" s="22"/>
    </row>
    <row r="821">
      <c r="A821" s="119"/>
      <c r="J821" s="22"/>
    </row>
    <row r="822">
      <c r="A822" s="119"/>
      <c r="J822" s="22"/>
    </row>
    <row r="823">
      <c r="A823" s="119"/>
      <c r="J823" s="22"/>
    </row>
    <row r="824">
      <c r="A824" s="119"/>
      <c r="J824" s="22"/>
    </row>
    <row r="825">
      <c r="A825" s="119"/>
      <c r="J825" s="22"/>
    </row>
    <row r="826">
      <c r="A826" s="119"/>
      <c r="J826" s="22"/>
    </row>
    <row r="827">
      <c r="A827" s="119"/>
      <c r="J827" s="22"/>
    </row>
    <row r="828">
      <c r="A828" s="119"/>
      <c r="J828" s="22"/>
    </row>
    <row r="829">
      <c r="A829" s="119"/>
      <c r="J829" s="22"/>
    </row>
    <row r="830">
      <c r="A830" s="119"/>
      <c r="J830" s="22"/>
    </row>
    <row r="831">
      <c r="A831" s="119"/>
      <c r="J831" s="22"/>
    </row>
    <row r="832">
      <c r="A832" s="119"/>
      <c r="J832" s="22"/>
    </row>
    <row r="833">
      <c r="A833" s="119"/>
      <c r="J833" s="22"/>
    </row>
    <row r="834">
      <c r="A834" s="119"/>
      <c r="J834" s="22"/>
    </row>
    <row r="835">
      <c r="A835" s="119"/>
      <c r="J835" s="22"/>
    </row>
    <row r="836">
      <c r="A836" s="119"/>
      <c r="J836" s="22"/>
    </row>
    <row r="837">
      <c r="A837" s="119"/>
      <c r="J837" s="22"/>
    </row>
    <row r="838">
      <c r="A838" s="119"/>
      <c r="J838" s="22"/>
    </row>
    <row r="839">
      <c r="A839" s="119"/>
      <c r="J839" s="22"/>
    </row>
    <row r="840">
      <c r="A840" s="119"/>
      <c r="J840" s="22"/>
    </row>
    <row r="841">
      <c r="A841" s="119"/>
      <c r="J841" s="22"/>
    </row>
    <row r="842">
      <c r="A842" s="119"/>
      <c r="J842" s="22"/>
    </row>
    <row r="843">
      <c r="A843" s="119"/>
      <c r="J843" s="22"/>
    </row>
    <row r="844">
      <c r="A844" s="119"/>
      <c r="J844" s="22"/>
    </row>
    <row r="845">
      <c r="A845" s="119"/>
      <c r="J845" s="22"/>
    </row>
    <row r="846">
      <c r="A846" s="119"/>
      <c r="J846" s="22"/>
    </row>
    <row r="847">
      <c r="A847" s="119"/>
      <c r="J847" s="22"/>
    </row>
    <row r="848">
      <c r="A848" s="119"/>
      <c r="J848" s="22"/>
    </row>
    <row r="849">
      <c r="A849" s="119"/>
      <c r="J849" s="22"/>
    </row>
    <row r="850">
      <c r="A850" s="119"/>
      <c r="J850" s="22"/>
    </row>
    <row r="851">
      <c r="A851" s="119"/>
      <c r="J851" s="22"/>
    </row>
    <row r="852">
      <c r="A852" s="119"/>
      <c r="J852" s="22"/>
    </row>
    <row r="853">
      <c r="A853" s="119"/>
      <c r="J853" s="22"/>
    </row>
    <row r="854">
      <c r="A854" s="119"/>
      <c r="J854" s="22"/>
    </row>
    <row r="855">
      <c r="A855" s="119"/>
      <c r="J855" s="22"/>
    </row>
    <row r="856">
      <c r="A856" s="119"/>
      <c r="J856" s="22"/>
    </row>
    <row r="857">
      <c r="A857" s="119"/>
      <c r="J857" s="22"/>
    </row>
    <row r="858">
      <c r="A858" s="119"/>
      <c r="J858" s="22"/>
    </row>
    <row r="859">
      <c r="A859" s="119"/>
      <c r="J859" s="22"/>
    </row>
    <row r="860">
      <c r="A860" s="119"/>
      <c r="J860" s="22"/>
    </row>
    <row r="861">
      <c r="A861" s="119"/>
      <c r="J861" s="22"/>
    </row>
    <row r="862">
      <c r="A862" s="119"/>
      <c r="J862" s="22"/>
    </row>
    <row r="863">
      <c r="A863" s="119"/>
      <c r="J863" s="22"/>
    </row>
    <row r="864">
      <c r="A864" s="119"/>
      <c r="J864" s="22"/>
    </row>
    <row r="865">
      <c r="A865" s="119"/>
      <c r="J865" s="22"/>
    </row>
    <row r="866">
      <c r="A866" s="119"/>
      <c r="J866" s="22"/>
    </row>
    <row r="867">
      <c r="A867" s="119"/>
      <c r="J867" s="22"/>
    </row>
    <row r="868">
      <c r="A868" s="119"/>
      <c r="J868" s="22"/>
    </row>
    <row r="869">
      <c r="A869" s="119"/>
      <c r="J869" s="22"/>
    </row>
    <row r="870">
      <c r="A870" s="119"/>
      <c r="J870" s="22"/>
    </row>
    <row r="871">
      <c r="A871" s="119"/>
      <c r="J871" s="22"/>
    </row>
    <row r="872">
      <c r="A872" s="119"/>
      <c r="J872" s="22"/>
    </row>
    <row r="873">
      <c r="A873" s="119"/>
      <c r="J873" s="22"/>
    </row>
    <row r="874">
      <c r="A874" s="119"/>
      <c r="J874" s="22"/>
    </row>
    <row r="875">
      <c r="A875" s="119"/>
      <c r="J875" s="22"/>
    </row>
    <row r="876">
      <c r="A876" s="119"/>
      <c r="J876" s="22"/>
    </row>
    <row r="877">
      <c r="A877" s="119"/>
      <c r="J877" s="22"/>
    </row>
    <row r="878">
      <c r="A878" s="119"/>
      <c r="J878" s="22"/>
    </row>
    <row r="879">
      <c r="A879" s="119"/>
      <c r="J879" s="22"/>
    </row>
    <row r="880">
      <c r="A880" s="119"/>
      <c r="J880" s="22"/>
    </row>
    <row r="881">
      <c r="A881" s="119"/>
      <c r="J881" s="22"/>
    </row>
    <row r="882">
      <c r="A882" s="119"/>
      <c r="J882" s="22"/>
    </row>
    <row r="883">
      <c r="A883" s="119"/>
      <c r="J883" s="22"/>
    </row>
    <row r="884">
      <c r="A884" s="119"/>
      <c r="J884" s="22"/>
    </row>
    <row r="885">
      <c r="A885" s="119"/>
      <c r="J885" s="22"/>
    </row>
    <row r="886">
      <c r="A886" s="119"/>
      <c r="J886" s="22"/>
    </row>
    <row r="887">
      <c r="A887" s="119"/>
      <c r="J887" s="22"/>
    </row>
    <row r="888">
      <c r="A888" s="119"/>
      <c r="J888" s="22"/>
    </row>
    <row r="889">
      <c r="A889" s="119"/>
      <c r="J889" s="22"/>
    </row>
    <row r="890">
      <c r="A890" s="119"/>
      <c r="J890" s="22"/>
    </row>
    <row r="891">
      <c r="A891" s="119"/>
      <c r="J891" s="22"/>
    </row>
    <row r="892">
      <c r="A892" s="119"/>
      <c r="J892" s="22"/>
    </row>
    <row r="893">
      <c r="A893" s="119"/>
      <c r="J893" s="22"/>
    </row>
    <row r="894">
      <c r="A894" s="119"/>
      <c r="J894" s="22"/>
    </row>
    <row r="895">
      <c r="A895" s="119"/>
      <c r="J895" s="22"/>
    </row>
    <row r="896">
      <c r="A896" s="119"/>
      <c r="J896" s="22"/>
    </row>
    <row r="897">
      <c r="A897" s="119"/>
      <c r="J897" s="22"/>
    </row>
    <row r="898">
      <c r="A898" s="119"/>
      <c r="J898" s="22"/>
    </row>
    <row r="899">
      <c r="A899" s="119"/>
      <c r="J899" s="22"/>
    </row>
    <row r="900">
      <c r="A900" s="119"/>
      <c r="J900" s="22"/>
    </row>
    <row r="901">
      <c r="A901" s="119"/>
      <c r="J901" s="22"/>
    </row>
    <row r="902">
      <c r="A902" s="119"/>
      <c r="J902" s="22"/>
    </row>
    <row r="903">
      <c r="A903" s="119"/>
      <c r="J903" s="22"/>
    </row>
    <row r="904">
      <c r="A904" s="119"/>
      <c r="J904" s="22"/>
    </row>
    <row r="905">
      <c r="A905" s="119"/>
      <c r="J905" s="22"/>
    </row>
    <row r="906">
      <c r="A906" s="119"/>
      <c r="J906" s="22"/>
    </row>
    <row r="907">
      <c r="A907" s="119"/>
      <c r="J907" s="22"/>
    </row>
    <row r="908">
      <c r="A908" s="119"/>
      <c r="J908" s="22"/>
    </row>
    <row r="909">
      <c r="A909" s="119"/>
      <c r="J909" s="22"/>
    </row>
    <row r="910">
      <c r="A910" s="119"/>
      <c r="J910" s="22"/>
    </row>
    <row r="911">
      <c r="A911" s="119"/>
      <c r="J911" s="22"/>
    </row>
    <row r="912">
      <c r="A912" s="119"/>
      <c r="J912" s="22"/>
    </row>
    <row r="913">
      <c r="A913" s="119"/>
      <c r="J913" s="22"/>
    </row>
    <row r="914">
      <c r="A914" s="119"/>
      <c r="J914" s="22"/>
    </row>
    <row r="915">
      <c r="A915" s="119"/>
      <c r="J915" s="22"/>
    </row>
    <row r="916">
      <c r="A916" s="119"/>
      <c r="J916" s="22"/>
    </row>
    <row r="917">
      <c r="A917" s="119"/>
      <c r="J917" s="22"/>
    </row>
    <row r="918">
      <c r="A918" s="119"/>
      <c r="J918" s="22"/>
    </row>
    <row r="919">
      <c r="A919" s="119"/>
      <c r="J919" s="22"/>
    </row>
    <row r="920">
      <c r="A920" s="119"/>
      <c r="J920" s="22"/>
    </row>
    <row r="921">
      <c r="A921" s="119"/>
      <c r="J921" s="22"/>
    </row>
    <row r="922">
      <c r="A922" s="119"/>
      <c r="J922" s="22"/>
    </row>
    <row r="923">
      <c r="A923" s="119"/>
      <c r="J923" s="22"/>
    </row>
    <row r="924">
      <c r="A924" s="119"/>
      <c r="J924" s="22"/>
    </row>
    <row r="925">
      <c r="A925" s="119"/>
      <c r="J925" s="22"/>
    </row>
    <row r="926">
      <c r="A926" s="119"/>
      <c r="J926" s="22"/>
    </row>
    <row r="927">
      <c r="A927" s="119"/>
      <c r="J927" s="22"/>
    </row>
    <row r="928">
      <c r="A928" s="119"/>
      <c r="J928" s="22"/>
    </row>
    <row r="929">
      <c r="A929" s="119"/>
      <c r="J929" s="22"/>
    </row>
    <row r="930">
      <c r="A930" s="119"/>
      <c r="J930" s="22"/>
    </row>
    <row r="931">
      <c r="A931" s="119"/>
      <c r="J931" s="22"/>
    </row>
    <row r="932">
      <c r="A932" s="119"/>
      <c r="J932" s="22"/>
    </row>
    <row r="933">
      <c r="A933" s="119"/>
      <c r="J933" s="22"/>
    </row>
    <row r="934">
      <c r="A934" s="119"/>
      <c r="J934" s="22"/>
    </row>
    <row r="935">
      <c r="A935" s="119"/>
      <c r="J935" s="22"/>
    </row>
    <row r="936">
      <c r="A936" s="119"/>
      <c r="J936" s="22"/>
    </row>
    <row r="937">
      <c r="A937" s="119"/>
      <c r="J937" s="22"/>
    </row>
    <row r="938">
      <c r="A938" s="119"/>
      <c r="J938" s="22"/>
    </row>
    <row r="939">
      <c r="A939" s="119"/>
      <c r="J939" s="22"/>
    </row>
    <row r="940">
      <c r="A940" s="119"/>
      <c r="J940" s="22"/>
    </row>
    <row r="941">
      <c r="A941" s="119"/>
      <c r="J941" s="22"/>
    </row>
    <row r="942">
      <c r="A942" s="119"/>
      <c r="J942" s="22"/>
    </row>
    <row r="943">
      <c r="A943" s="119"/>
      <c r="J943" s="22"/>
    </row>
    <row r="944">
      <c r="A944" s="119"/>
      <c r="J944" s="22"/>
    </row>
    <row r="945">
      <c r="A945" s="119"/>
      <c r="J945" s="22"/>
    </row>
    <row r="946">
      <c r="A946" s="119"/>
      <c r="J946" s="22"/>
    </row>
    <row r="947">
      <c r="A947" s="119"/>
      <c r="J947" s="22"/>
    </row>
    <row r="948">
      <c r="A948" s="119"/>
      <c r="J948" s="22"/>
    </row>
    <row r="949">
      <c r="A949" s="119"/>
      <c r="J949" s="22"/>
    </row>
    <row r="950">
      <c r="A950" s="119"/>
      <c r="J950" s="22"/>
    </row>
    <row r="951">
      <c r="A951" s="119"/>
      <c r="J951" s="22"/>
    </row>
    <row r="952">
      <c r="A952" s="119"/>
      <c r="J952" s="22"/>
    </row>
    <row r="953">
      <c r="A953" s="119"/>
      <c r="J953" s="22"/>
    </row>
    <row r="954">
      <c r="A954" s="119"/>
      <c r="J954" s="22"/>
    </row>
    <row r="955">
      <c r="A955" s="119"/>
      <c r="J955" s="22"/>
    </row>
    <row r="956">
      <c r="A956" s="119"/>
      <c r="J956" s="22"/>
    </row>
    <row r="957">
      <c r="A957" s="119"/>
      <c r="J957" s="22"/>
    </row>
    <row r="958">
      <c r="A958" s="119"/>
      <c r="J958" s="22"/>
    </row>
    <row r="959">
      <c r="A959" s="119"/>
      <c r="J959" s="22"/>
    </row>
    <row r="960">
      <c r="A960" s="119"/>
      <c r="J960" s="22"/>
    </row>
    <row r="961">
      <c r="A961" s="119"/>
      <c r="J961" s="22"/>
    </row>
    <row r="962">
      <c r="A962" s="119"/>
      <c r="J962" s="22"/>
    </row>
    <row r="963">
      <c r="A963" s="119"/>
      <c r="J963" s="22"/>
    </row>
    <row r="964">
      <c r="A964" s="119"/>
      <c r="J964" s="22"/>
    </row>
    <row r="965">
      <c r="A965" s="119"/>
      <c r="J965" s="22"/>
    </row>
    <row r="966">
      <c r="A966" s="119"/>
      <c r="J966" s="22"/>
    </row>
    <row r="967">
      <c r="A967" s="119"/>
      <c r="J967" s="22"/>
    </row>
    <row r="968">
      <c r="A968" s="119"/>
      <c r="J968" s="22"/>
    </row>
    <row r="969">
      <c r="A969" s="119"/>
      <c r="J969" s="22"/>
    </row>
    <row r="970">
      <c r="A970" s="119"/>
      <c r="J970" s="22"/>
    </row>
    <row r="971">
      <c r="A971" s="119"/>
      <c r="J971" s="22"/>
    </row>
    <row r="972">
      <c r="A972" s="119"/>
      <c r="J972" s="22"/>
    </row>
    <row r="973">
      <c r="A973" s="119"/>
      <c r="J973" s="22"/>
    </row>
    <row r="974">
      <c r="A974" s="119"/>
      <c r="J974" s="22"/>
    </row>
    <row r="975">
      <c r="A975" s="119"/>
      <c r="J975" s="22"/>
    </row>
    <row r="976">
      <c r="A976" s="119"/>
      <c r="J976" s="22"/>
    </row>
    <row r="977">
      <c r="A977" s="119"/>
      <c r="J977" s="22"/>
    </row>
    <row r="978">
      <c r="A978" s="119"/>
      <c r="J978" s="22"/>
    </row>
    <row r="979">
      <c r="A979" s="119"/>
      <c r="J979" s="22"/>
    </row>
    <row r="980">
      <c r="A980" s="119"/>
      <c r="J980" s="22"/>
    </row>
    <row r="981">
      <c r="A981" s="119"/>
      <c r="J981" s="22"/>
    </row>
    <row r="982">
      <c r="A982" s="119"/>
      <c r="J982" s="22"/>
    </row>
    <row r="983">
      <c r="A983" s="119"/>
      <c r="J983" s="22"/>
    </row>
    <row r="984">
      <c r="A984" s="119"/>
      <c r="J984" s="22"/>
    </row>
    <row r="985">
      <c r="A985" s="119"/>
      <c r="J985" s="22"/>
    </row>
    <row r="986">
      <c r="A986" s="119"/>
      <c r="J986" s="22"/>
    </row>
    <row r="987">
      <c r="A987" s="119"/>
      <c r="J987" s="22"/>
    </row>
    <row r="988">
      <c r="A988" s="119"/>
      <c r="J988" s="22"/>
    </row>
    <row r="989">
      <c r="A989" s="119"/>
      <c r="J989" s="22"/>
    </row>
    <row r="990">
      <c r="A990" s="119"/>
      <c r="J990" s="22"/>
    </row>
    <row r="991">
      <c r="A991" s="119"/>
      <c r="J991" s="22"/>
    </row>
    <row r="992">
      <c r="A992" s="119"/>
      <c r="J992" s="22"/>
    </row>
    <row r="993">
      <c r="A993" s="119"/>
      <c r="J993" s="22"/>
    </row>
    <row r="994">
      <c r="A994" s="119"/>
      <c r="J994" s="22"/>
    </row>
    <row r="995">
      <c r="A995" s="119"/>
      <c r="J995" s="22"/>
    </row>
    <row r="996">
      <c r="A996" s="119"/>
      <c r="J996" s="22"/>
    </row>
    <row r="997">
      <c r="A997" s="119"/>
      <c r="J997" s="22"/>
    </row>
    <row r="998">
      <c r="A998" s="119"/>
      <c r="J998" s="22"/>
    </row>
    <row r="999">
      <c r="A999" s="119"/>
      <c r="J999" s="22"/>
    </row>
    <row r="1000">
      <c r="A1000" s="119"/>
      <c r="J1000" s="22"/>
    </row>
    <row r="1001">
      <c r="A1001" s="119"/>
      <c r="J1001" s="22"/>
    </row>
  </sheetData>
  <autoFilter ref="$A$1:$N$386"/>
  <conditionalFormatting sqref="N101 N143">
    <cfRule type="containsText" dxfId="6" priority="1" operator="containsText" text="RESOLVED">
      <formula>NOT(ISERROR(SEARCH(("RESOLVED"),(N101))))</formula>
    </cfRule>
  </conditionalFormatting>
  <conditionalFormatting sqref="N101 N143">
    <cfRule type="containsText" dxfId="7" priority="2" operator="containsText" text="ON GOING ISSUE">
      <formula>NOT(ISERROR(SEARCH(("ON GOING ISSUE"),(N101))))</formula>
    </cfRule>
  </conditionalFormatting>
  <conditionalFormatting sqref="G2:G79 G84:G1001">
    <cfRule type="cellIs" dxfId="7" priority="3" operator="greaterThan">
      <formula>"4:00:00 AM"</formula>
    </cfRule>
  </conditionalFormatting>
  <conditionalFormatting sqref="I1:I1001">
    <cfRule type="cellIs" dxfId="6" priority="4" operator="lessThanOrEqual">
      <formula>"6:00:59"</formula>
    </cfRule>
  </conditionalFormatting>
  <conditionalFormatting sqref="I1:I1001">
    <cfRule type="cellIs" dxfId="7" priority="5" operator="greaterThanOrEqual">
      <formula>"6:30:59 AM"</formula>
    </cfRule>
  </conditionalFormatting>
  <hyperlinks>
    <hyperlink r:id="rId2" ref="M27"/>
  </hyperlinks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71"/>
    <col customWidth="1" min="3" max="3" width="17.29"/>
    <col customWidth="1" min="4" max="4" width="3.14"/>
    <col customWidth="1" min="5" max="5" width="45.29"/>
    <col customWidth="1" min="6" max="6" width="19.43"/>
    <col customWidth="1" min="7" max="8" width="10.71"/>
    <col customWidth="1" min="9" max="9" width="14.57"/>
    <col customWidth="1" min="10" max="10" width="11.14"/>
    <col customWidth="1" min="11" max="11" width="58.14"/>
  </cols>
  <sheetData>
    <row r="1">
      <c r="A1" s="1" t="s">
        <v>53</v>
      </c>
      <c r="B1" s="2"/>
      <c r="C1" s="3"/>
      <c r="G1" s="25"/>
      <c r="K1" s="23"/>
    </row>
    <row r="2">
      <c r="A2" s="6" t="s">
        <v>7</v>
      </c>
      <c r="B2" s="3"/>
      <c r="C2" s="7">
        <f>counta(FY19_DATA!$I$2:$I982)</f>
        <v>365</v>
      </c>
      <c r="G2" s="29"/>
      <c r="K2" s="23"/>
    </row>
    <row r="3">
      <c r="A3" s="12"/>
      <c r="B3" s="13" t="s">
        <v>2</v>
      </c>
      <c r="C3" s="13" t="s">
        <v>13</v>
      </c>
      <c r="G3" s="29"/>
      <c r="K3" s="23"/>
    </row>
    <row r="4">
      <c r="A4" s="17" t="s">
        <v>16</v>
      </c>
      <c r="B4" s="18">
        <f>countif(FY19_DATA!$I$2:$I982,"&lt;06:01:00")</f>
        <v>148</v>
      </c>
      <c r="C4" s="19">
        <f t="shared" ref="C4:C8" si="1">B4/$C$2</f>
        <v>0.4054794521</v>
      </c>
      <c r="G4" s="29"/>
      <c r="K4" s="23"/>
    </row>
    <row r="5">
      <c r="A5" s="17" t="s">
        <v>22</v>
      </c>
      <c r="B5" s="18">
        <f>countif(FY19_DATA!$I$2:$I982,"&lt;06:30:59 AM")</f>
        <v>220</v>
      </c>
      <c r="C5" s="19">
        <f t="shared" si="1"/>
        <v>0.602739726</v>
      </c>
      <c r="G5" s="29"/>
      <c r="K5" s="23"/>
    </row>
    <row r="6">
      <c r="A6" s="17" t="s">
        <v>25</v>
      </c>
      <c r="B6" s="18">
        <f>countif(FY19_DATA!$I$2:$I982,"&lt;07:01:00")</f>
        <v>251</v>
      </c>
      <c r="C6" s="19">
        <f t="shared" si="1"/>
        <v>0.6876712329</v>
      </c>
      <c r="G6" s="29"/>
      <c r="K6" s="23"/>
    </row>
    <row r="7">
      <c r="A7" s="17" t="s">
        <v>28</v>
      </c>
      <c r="B7" s="18">
        <f>countif(FY19_DATA!$I$2:$I982,"&gt;07:00:59")</f>
        <v>114</v>
      </c>
      <c r="C7" s="19">
        <f t="shared" si="1"/>
        <v>0.3123287671</v>
      </c>
      <c r="G7" s="22"/>
      <c r="K7" s="23"/>
    </row>
    <row r="8">
      <c r="A8" s="17" t="s">
        <v>61</v>
      </c>
      <c r="B8" s="18">
        <f>countif(FY19_DATA!$I$2:$I982,"&gt;08:00:59")</f>
        <v>64</v>
      </c>
      <c r="C8" s="19">
        <f t="shared" si="1"/>
        <v>0.1753424658</v>
      </c>
      <c r="G8" s="22"/>
      <c r="K8" s="23"/>
    </row>
    <row r="9">
      <c r="G9" s="29"/>
      <c r="K9" s="23"/>
    </row>
    <row r="10">
      <c r="A10" s="1" t="s">
        <v>64</v>
      </c>
      <c r="B10" s="2"/>
      <c r="C10" s="3"/>
      <c r="G10" s="22"/>
      <c r="K10" s="23"/>
    </row>
    <row r="11">
      <c r="A11" s="6" t="s">
        <v>7</v>
      </c>
      <c r="B11" s="3"/>
      <c r="C11" s="7">
        <f>counta(FY19_DATA!I2:I29)</f>
        <v>28</v>
      </c>
      <c r="G11" s="22"/>
      <c r="K11" s="23"/>
    </row>
    <row r="12">
      <c r="A12" s="12"/>
      <c r="B12" s="13" t="s">
        <v>2</v>
      </c>
      <c r="C12" s="13" t="s">
        <v>13</v>
      </c>
      <c r="K12" s="23"/>
    </row>
    <row r="13">
      <c r="A13" s="17" t="s">
        <v>16</v>
      </c>
      <c r="B13" s="18">
        <f>countif(FY19_DATA!I2:I29,"&lt;06:01:00")</f>
        <v>3</v>
      </c>
      <c r="C13" s="19">
        <f>B13/C11</f>
        <v>0.1071428571</v>
      </c>
      <c r="G13" s="29"/>
      <c r="K13" s="23"/>
    </row>
    <row r="14">
      <c r="A14" s="17" t="s">
        <v>22</v>
      </c>
      <c r="B14" s="18">
        <f>countif(FY19_DATA!I2:I29,"&lt;06:31:00")</f>
        <v>17</v>
      </c>
      <c r="C14" s="19">
        <f>B14/C11</f>
        <v>0.6071428571</v>
      </c>
      <c r="G14" s="29"/>
      <c r="K14" s="23"/>
    </row>
    <row r="15">
      <c r="A15" s="17" t="s">
        <v>25</v>
      </c>
      <c r="B15" s="18">
        <f>countif(FY19_DATA!I2:I29,"&lt;07:01:00")</f>
        <v>17</v>
      </c>
      <c r="C15" s="19">
        <f>B15/C11</f>
        <v>0.6071428571</v>
      </c>
      <c r="G15" s="29"/>
      <c r="K15" s="23"/>
    </row>
    <row r="16">
      <c r="A16" s="17" t="s">
        <v>28</v>
      </c>
      <c r="B16" s="18">
        <f>countif(FY19_DATA!I2:I29,"&gt;07:00:59")</f>
        <v>11</v>
      </c>
      <c r="C16" s="19">
        <f>B16/C11</f>
        <v>0.3928571429</v>
      </c>
      <c r="G16" s="29"/>
      <c r="K16" s="23"/>
    </row>
    <row r="17">
      <c r="A17" s="17" t="s">
        <v>61</v>
      </c>
      <c r="B17" s="18">
        <f>countif(FY19_DATA!I3:I29,"&gt;08:00:59")</f>
        <v>5</v>
      </c>
      <c r="C17" s="19">
        <f>B17/$C$2</f>
        <v>0.01369863014</v>
      </c>
      <c r="G17" s="29"/>
      <c r="K17" s="23"/>
    </row>
    <row r="18">
      <c r="K18" s="23"/>
    </row>
    <row r="19">
      <c r="A19" s="1" t="s">
        <v>67</v>
      </c>
      <c r="B19" s="2"/>
      <c r="C19" s="3"/>
      <c r="K19" s="23"/>
    </row>
    <row r="20">
      <c r="A20" s="6" t="s">
        <v>7</v>
      </c>
      <c r="B20" s="3"/>
      <c r="C20" s="7">
        <f>counta(FY19_DATA!I30:I57)</f>
        <v>28</v>
      </c>
      <c r="K20" s="23"/>
    </row>
    <row r="21">
      <c r="A21" s="12"/>
      <c r="B21" s="13" t="s">
        <v>2</v>
      </c>
      <c r="C21" s="13" t="s">
        <v>13</v>
      </c>
    </row>
    <row r="22">
      <c r="A22" s="17" t="s">
        <v>16</v>
      </c>
      <c r="B22" s="18">
        <f>countif(FY19_DATA!I30:I57,"&lt;06:01:00")</f>
        <v>5</v>
      </c>
      <c r="C22" s="19">
        <f>B22/C20</f>
        <v>0.1785714286</v>
      </c>
    </row>
    <row r="23">
      <c r="A23" s="17" t="s">
        <v>22</v>
      </c>
      <c r="B23" s="18">
        <f>countif(FY19_DATA!I30:I57,"&lt;06:31:00")</f>
        <v>13</v>
      </c>
      <c r="C23" s="19">
        <f>B23/C20</f>
        <v>0.4642857143</v>
      </c>
    </row>
    <row r="24">
      <c r="A24" s="17" t="s">
        <v>25</v>
      </c>
      <c r="B24" s="18">
        <f>countif(FY19_DATA!I30:I57,"&lt;07:01:00")</f>
        <v>18</v>
      </c>
      <c r="C24" s="19">
        <f>B24/C20</f>
        <v>0.6428571429</v>
      </c>
    </row>
    <row r="25">
      <c r="A25" s="17" t="s">
        <v>28</v>
      </c>
      <c r="B25" s="18">
        <f>countif(FY19_DATA!I30:I57,"&gt;07:00:59")</f>
        <v>10</v>
      </c>
      <c r="C25" s="19">
        <f>B25/C20</f>
        <v>0.3571428571</v>
      </c>
    </row>
    <row r="26">
      <c r="A26" s="17" t="s">
        <v>61</v>
      </c>
      <c r="B26" s="18">
        <f>countif(FY19_DATA!I30:I57,"&gt;08:00:59")</f>
        <v>5</v>
      </c>
      <c r="C26" s="19">
        <f>B26/C20</f>
        <v>0.1785714286</v>
      </c>
      <c r="K26" s="23"/>
    </row>
    <row r="27">
      <c r="K27" s="23"/>
    </row>
    <row r="28">
      <c r="A28" s="1" t="s">
        <v>68</v>
      </c>
      <c r="B28" s="2"/>
      <c r="C28" s="3"/>
      <c r="K28" s="23"/>
    </row>
    <row r="29">
      <c r="A29" s="6" t="s">
        <v>7</v>
      </c>
      <c r="B29" s="3"/>
      <c r="C29" s="7">
        <f>counta(FY19_DATA!I58:I85)</f>
        <v>28</v>
      </c>
      <c r="K29" s="23"/>
    </row>
    <row r="30">
      <c r="A30" s="12"/>
      <c r="B30" s="13" t="s">
        <v>2</v>
      </c>
      <c r="C30" s="13" t="s">
        <v>13</v>
      </c>
      <c r="K30" s="23"/>
    </row>
    <row r="31">
      <c r="A31" s="17" t="s">
        <v>16</v>
      </c>
      <c r="B31" s="18">
        <f>countif(FY19_DATA!I58:I85,"&lt;06:01:00")</f>
        <v>8</v>
      </c>
      <c r="C31" s="19">
        <f>B31/C29</f>
        <v>0.2857142857</v>
      </c>
      <c r="K31" s="23"/>
    </row>
    <row r="32">
      <c r="A32" s="17" t="s">
        <v>22</v>
      </c>
      <c r="B32" s="18">
        <f>countif(FY19_DATA!I58:I85,"&lt;06:31:00")</f>
        <v>14</v>
      </c>
      <c r="C32" s="19">
        <f>B32/C29</f>
        <v>0.5</v>
      </c>
      <c r="K32" s="23"/>
    </row>
    <row r="33">
      <c r="A33" s="17" t="s">
        <v>25</v>
      </c>
      <c r="B33" s="18">
        <f>countif(FY19_DATA!I58:I85,"&lt;07:01:00")</f>
        <v>17</v>
      </c>
      <c r="C33" s="19">
        <f>B33/C29</f>
        <v>0.6071428571</v>
      </c>
      <c r="K33" s="23"/>
    </row>
    <row r="34">
      <c r="A34" s="17" t="s">
        <v>28</v>
      </c>
      <c r="B34" s="18">
        <f>countif(FY19_DATA!I58:I85,"&gt;07:00:59")</f>
        <v>11</v>
      </c>
      <c r="C34" s="19">
        <f>B34/C29</f>
        <v>0.3928571429</v>
      </c>
      <c r="K34" s="23"/>
    </row>
    <row r="35">
      <c r="A35" s="17" t="s">
        <v>61</v>
      </c>
      <c r="B35" s="18">
        <f>countif(FY19_DATA!I58:I85,"&gt;08:00:59")</f>
        <v>4</v>
      </c>
      <c r="C35" s="19">
        <f>B35/C29</f>
        <v>0.1428571429</v>
      </c>
      <c r="K35" s="23"/>
    </row>
    <row r="36">
      <c r="K36" s="23"/>
    </row>
    <row r="37">
      <c r="A37" s="1" t="s">
        <v>69</v>
      </c>
      <c r="B37" s="2"/>
      <c r="C37" s="3"/>
      <c r="K37" s="23"/>
    </row>
    <row r="38">
      <c r="A38" s="6" t="s">
        <v>7</v>
      </c>
      <c r="B38" s="3"/>
      <c r="C38" s="7">
        <f>counta(FY19_DATA!I86:I113)</f>
        <v>28</v>
      </c>
      <c r="K38" s="23"/>
    </row>
    <row r="39">
      <c r="A39" s="12"/>
      <c r="B39" s="13" t="s">
        <v>2</v>
      </c>
      <c r="C39" s="13" t="s">
        <v>13</v>
      </c>
      <c r="K39" s="23"/>
    </row>
    <row r="40">
      <c r="A40" s="17" t="s">
        <v>16</v>
      </c>
      <c r="B40" s="18">
        <f>countif(FY19_DATA!I86:I113,"&lt;06:01:00")</f>
        <v>1</v>
      </c>
      <c r="C40" s="19">
        <f>B40/C38</f>
        <v>0.03571428571</v>
      </c>
      <c r="K40" s="23"/>
    </row>
    <row r="41">
      <c r="A41" s="17" t="s">
        <v>22</v>
      </c>
      <c r="B41" s="18">
        <f>countif(FY19_DATA!I86:I113,"&lt;06:31:00")</f>
        <v>5</v>
      </c>
      <c r="C41" s="19">
        <f>B41/C38</f>
        <v>0.1785714286</v>
      </c>
      <c r="K41" s="23"/>
    </row>
    <row r="42">
      <c r="A42" s="17" t="s">
        <v>25</v>
      </c>
      <c r="B42" s="18">
        <f>countif(FY19_DATA!I86:I113,"&lt;07:01:00")</f>
        <v>5</v>
      </c>
      <c r="C42" s="19">
        <f>B42/C38</f>
        <v>0.1785714286</v>
      </c>
      <c r="K42" s="23"/>
    </row>
    <row r="43">
      <c r="A43" s="17" t="s">
        <v>28</v>
      </c>
      <c r="B43" s="18">
        <f>countif(FY19_DATA!I86:I113,"&gt;07:00:59")</f>
        <v>23</v>
      </c>
      <c r="C43" s="19">
        <f>B43/C38</f>
        <v>0.8214285714</v>
      </c>
      <c r="K43" s="23"/>
    </row>
    <row r="44">
      <c r="A44" s="17" t="s">
        <v>61</v>
      </c>
      <c r="B44" s="18">
        <f>countif(FY19_DATA!I86:I113,"&gt;08:00:59")</f>
        <v>20</v>
      </c>
      <c r="C44" s="19">
        <f>B44/C38</f>
        <v>0.7142857143</v>
      </c>
      <c r="K44" s="23"/>
    </row>
    <row r="45">
      <c r="K45" s="23"/>
    </row>
    <row r="46">
      <c r="A46" s="1" t="s">
        <v>70</v>
      </c>
      <c r="B46" s="2"/>
      <c r="C46" s="3"/>
      <c r="F46" s="22"/>
      <c r="K46" s="23"/>
    </row>
    <row r="47">
      <c r="A47" s="6" t="s">
        <v>7</v>
      </c>
      <c r="B47" s="3"/>
      <c r="C47" s="7">
        <f>counta(FY19_DATA!I114:I141)</f>
        <v>28</v>
      </c>
      <c r="F47" s="22"/>
      <c r="K47" s="23"/>
    </row>
    <row r="48">
      <c r="A48" s="12"/>
      <c r="B48" s="13" t="s">
        <v>2</v>
      </c>
      <c r="C48" s="13" t="s">
        <v>13</v>
      </c>
      <c r="F48" s="22"/>
      <c r="K48" s="23"/>
    </row>
    <row r="49">
      <c r="A49" s="17" t="s">
        <v>16</v>
      </c>
      <c r="B49" s="18">
        <f>countif(FY19_DATA!I114:I141,"&lt;06:01:00")</f>
        <v>5</v>
      </c>
      <c r="C49" s="19">
        <f>B49/C47</f>
        <v>0.1785714286</v>
      </c>
      <c r="F49" s="22"/>
      <c r="K49" s="23"/>
    </row>
    <row r="50">
      <c r="A50" s="17" t="s">
        <v>22</v>
      </c>
      <c r="B50" s="18">
        <f>countif(FY19_DATA!I114:I141,"&lt;06:31:00")</f>
        <v>9</v>
      </c>
      <c r="C50" s="19">
        <f>B50/C47</f>
        <v>0.3214285714</v>
      </c>
      <c r="F50" s="22"/>
      <c r="K50" s="23"/>
    </row>
    <row r="51">
      <c r="A51" s="17" t="s">
        <v>25</v>
      </c>
      <c r="B51" s="18">
        <f>countif(FY19_DATA!I114:I141,"&lt;07:01:00")</f>
        <v>12</v>
      </c>
      <c r="C51" s="19">
        <f>B51/C47</f>
        <v>0.4285714286</v>
      </c>
      <c r="F51" s="22"/>
      <c r="K51" s="23"/>
    </row>
    <row r="52">
      <c r="A52" s="17" t="s">
        <v>28</v>
      </c>
      <c r="B52" s="18">
        <f>countif(FY19_DATA!I114:I141,"&gt;07:00:59")</f>
        <v>16</v>
      </c>
      <c r="C52" s="19">
        <f>B52/C47</f>
        <v>0.5714285714</v>
      </c>
      <c r="F52" s="22"/>
      <c r="K52" s="23"/>
    </row>
    <row r="53">
      <c r="A53" s="17" t="s">
        <v>61</v>
      </c>
      <c r="B53" s="18">
        <f>countif(FY19_DATA!I114:I141,"&gt;08:00:59")</f>
        <v>14</v>
      </c>
      <c r="C53" s="19">
        <f>B53/C47</f>
        <v>0.5</v>
      </c>
      <c r="F53" s="22"/>
      <c r="K53" s="23"/>
    </row>
    <row r="54">
      <c r="F54" s="22"/>
      <c r="K54" s="23"/>
    </row>
    <row r="55">
      <c r="A55" s="1" t="s">
        <v>71</v>
      </c>
      <c r="B55" s="2"/>
      <c r="C55" s="3"/>
      <c r="F55" s="22"/>
      <c r="K55" s="23"/>
    </row>
    <row r="56">
      <c r="A56" s="6" t="s">
        <v>7</v>
      </c>
      <c r="B56" s="3"/>
      <c r="C56" s="7">
        <f>counta(FY19_DATA!I142:I169)</f>
        <v>28</v>
      </c>
      <c r="F56" s="22"/>
      <c r="K56" s="23"/>
    </row>
    <row r="57">
      <c r="A57" s="12"/>
      <c r="B57" s="13" t="s">
        <v>2</v>
      </c>
      <c r="C57" s="13" t="s">
        <v>13</v>
      </c>
      <c r="F57" s="22"/>
      <c r="K57" s="23"/>
    </row>
    <row r="58">
      <c r="A58" s="17" t="s">
        <v>16</v>
      </c>
      <c r="B58" s="18">
        <f>countif(FY19_DATA!I142:I169,"&lt;06:01:00")</f>
        <v>12</v>
      </c>
      <c r="C58" s="19">
        <f>B58/C56</f>
        <v>0.4285714286</v>
      </c>
      <c r="F58" s="22"/>
      <c r="K58" s="23"/>
    </row>
    <row r="59">
      <c r="A59" s="17" t="s">
        <v>22</v>
      </c>
      <c r="B59" s="18">
        <f>countif(FY19_DATA!I142:I169,"&lt;06:31:00")</f>
        <v>18</v>
      </c>
      <c r="C59" s="19">
        <f>B59/C56</f>
        <v>0.6428571429</v>
      </c>
      <c r="F59" s="22"/>
      <c r="K59" s="23"/>
    </row>
    <row r="60">
      <c r="A60" s="17" t="s">
        <v>25</v>
      </c>
      <c r="B60" s="18">
        <f>countif(FY19_DATA!I142:I169,"&lt;07:01:00")</f>
        <v>23</v>
      </c>
      <c r="C60" s="19">
        <f>B60/C56</f>
        <v>0.8214285714</v>
      </c>
      <c r="F60" s="22"/>
      <c r="K60" s="23"/>
    </row>
    <row r="61">
      <c r="A61" s="17" t="s">
        <v>28</v>
      </c>
      <c r="B61" s="18">
        <f>countif(FY19_DATA!I142:I169,"&gt;07:00:59")</f>
        <v>5</v>
      </c>
      <c r="C61" s="19">
        <f>B61/C56</f>
        <v>0.1785714286</v>
      </c>
      <c r="F61" s="22"/>
      <c r="K61" s="23"/>
    </row>
    <row r="62">
      <c r="A62" s="17" t="s">
        <v>61</v>
      </c>
      <c r="B62" s="18">
        <f>countif(FY19_DATA!I142:I169,"&gt;08:00:59")</f>
        <v>0</v>
      </c>
      <c r="C62" s="19">
        <f>B62/C56</f>
        <v>0</v>
      </c>
      <c r="F62" s="22"/>
      <c r="K62" s="23"/>
    </row>
    <row r="63">
      <c r="F63" s="22"/>
      <c r="K63" s="23"/>
    </row>
    <row r="64">
      <c r="A64" s="1" t="s">
        <v>72</v>
      </c>
      <c r="B64" s="2"/>
      <c r="C64" s="3"/>
      <c r="F64" s="22"/>
      <c r="K64" s="23"/>
    </row>
    <row r="65">
      <c r="A65" s="6" t="s">
        <v>7</v>
      </c>
      <c r="B65" s="3"/>
      <c r="C65" s="7">
        <f>counta(FY19_DATA!I170:I197)</f>
        <v>28</v>
      </c>
      <c r="F65" s="22"/>
      <c r="K65" s="23"/>
    </row>
    <row r="66">
      <c r="A66" s="12"/>
      <c r="B66" s="13" t="s">
        <v>2</v>
      </c>
      <c r="C66" s="13" t="s">
        <v>13</v>
      </c>
      <c r="F66" s="22"/>
      <c r="K66" s="23"/>
    </row>
    <row r="67">
      <c r="A67" s="17" t="s">
        <v>16</v>
      </c>
      <c r="B67" s="18">
        <f>countif(FY19_DATA!I170:I197,"&lt;06:01:00")</f>
        <v>18</v>
      </c>
      <c r="C67" s="19">
        <f>B67/C65</f>
        <v>0.6428571429</v>
      </c>
      <c r="F67" s="22"/>
      <c r="K67" s="23"/>
    </row>
    <row r="68">
      <c r="A68" s="17" t="s">
        <v>22</v>
      </c>
      <c r="B68" s="18">
        <f>countif(FY19_DATA!I170:I197,"&lt;06:31:00")</f>
        <v>20</v>
      </c>
      <c r="C68" s="19">
        <f>B68/C65</f>
        <v>0.7142857143</v>
      </c>
      <c r="F68" s="22"/>
      <c r="K68" s="23"/>
    </row>
    <row r="69">
      <c r="A69" s="17" t="s">
        <v>25</v>
      </c>
      <c r="B69" s="18">
        <f>countif(FY19_DATA!I170:I197,"&lt;07:01:00")</f>
        <v>22</v>
      </c>
      <c r="C69" s="19">
        <f>B69/C65</f>
        <v>0.7857142857</v>
      </c>
      <c r="F69" s="22"/>
      <c r="K69" s="23"/>
    </row>
    <row r="70">
      <c r="A70" s="17" t="s">
        <v>28</v>
      </c>
      <c r="B70" s="18">
        <f>countif(FY19_DATA!I151:I178,"&gt;07:00:59")</f>
        <v>5</v>
      </c>
      <c r="C70" s="19">
        <f>B70/C65</f>
        <v>0.1785714286</v>
      </c>
      <c r="F70" s="22"/>
      <c r="K70" s="23"/>
    </row>
    <row r="71">
      <c r="A71" s="17" t="s">
        <v>61</v>
      </c>
      <c r="B71" s="18">
        <f>countif(FY19_DATA!I170:I197,"&gt;08:00:59")</f>
        <v>4</v>
      </c>
      <c r="C71" s="19">
        <f>B71/C65</f>
        <v>0.1428571429</v>
      </c>
      <c r="F71" s="22"/>
      <c r="K71" s="23"/>
    </row>
    <row r="72">
      <c r="F72" s="22"/>
      <c r="K72" s="23"/>
    </row>
    <row r="73">
      <c r="A73" s="1" t="s">
        <v>73</v>
      </c>
      <c r="B73" s="2"/>
      <c r="C73" s="3"/>
      <c r="F73" s="22"/>
      <c r="K73" s="23"/>
    </row>
    <row r="74">
      <c r="A74" s="6" t="s">
        <v>7</v>
      </c>
      <c r="B74" s="3"/>
      <c r="C74" s="7">
        <f>counta(FY19_DATA!I198:I225)</f>
        <v>28</v>
      </c>
      <c r="F74" s="22"/>
      <c r="K74" s="23"/>
    </row>
    <row r="75">
      <c r="A75" s="12"/>
      <c r="B75" s="13" t="s">
        <v>2</v>
      </c>
      <c r="C75" s="13" t="s">
        <v>13</v>
      </c>
      <c r="F75" s="22"/>
      <c r="K75" s="23"/>
    </row>
    <row r="76">
      <c r="A76" s="17" t="s">
        <v>16</v>
      </c>
      <c r="B76" s="18">
        <f>countif(FY19_DATA!I198:I225,"&lt;06:01:00")</f>
        <v>23</v>
      </c>
      <c r="C76" s="19">
        <f>B76/C74</f>
        <v>0.8214285714</v>
      </c>
      <c r="F76" s="22"/>
      <c r="K76" s="23"/>
    </row>
    <row r="77">
      <c r="A77" s="17" t="s">
        <v>22</v>
      </c>
      <c r="B77" s="18">
        <f>countif(FY19_DATA!I198:I225,"&lt;06:31:00")</f>
        <v>25</v>
      </c>
      <c r="C77" s="19">
        <f>B77/C74</f>
        <v>0.8928571429</v>
      </c>
      <c r="F77" s="22"/>
      <c r="K77" s="23"/>
    </row>
    <row r="78">
      <c r="A78" s="17" t="s">
        <v>25</v>
      </c>
      <c r="B78" s="18">
        <f>countif(FY19_DATA!I198:I225,"&lt;07:01:00")</f>
        <v>26</v>
      </c>
      <c r="C78" s="19">
        <f>B78/C74</f>
        <v>0.9285714286</v>
      </c>
      <c r="F78" s="22"/>
      <c r="K78" s="23"/>
    </row>
    <row r="79">
      <c r="A79" s="17" t="s">
        <v>28</v>
      </c>
      <c r="B79" s="18">
        <f>countif(FY19_DATA!I198:I225,"&gt;07:00:59")</f>
        <v>2</v>
      </c>
      <c r="C79" s="19">
        <f>B79/C74</f>
        <v>0.07142857143</v>
      </c>
      <c r="F79" s="22"/>
      <c r="K79" s="23"/>
    </row>
    <row r="80">
      <c r="A80" s="17" t="s">
        <v>61</v>
      </c>
      <c r="B80" s="18">
        <f>countif(FY19_DATA!I198:I225,"&gt;08:00:59")</f>
        <v>0</v>
      </c>
      <c r="C80" s="19">
        <f>B80/C74</f>
        <v>0</v>
      </c>
      <c r="F80" s="22"/>
      <c r="K80" s="23"/>
    </row>
    <row r="81">
      <c r="F81" s="22"/>
      <c r="K81" s="23"/>
    </row>
    <row r="82">
      <c r="A82" s="1" t="s">
        <v>74</v>
      </c>
      <c r="B82" s="2"/>
      <c r="C82" s="3"/>
      <c r="F82" s="22"/>
      <c r="K82" s="23"/>
    </row>
    <row r="83">
      <c r="A83" s="6" t="s">
        <v>7</v>
      </c>
      <c r="B83" s="3"/>
      <c r="C83" s="7">
        <f>counta(FY19_DATA!I226:I253)</f>
        <v>28</v>
      </c>
      <c r="F83" s="22"/>
      <c r="K83" s="23"/>
    </row>
    <row r="84">
      <c r="A84" s="12"/>
      <c r="B84" s="13" t="s">
        <v>2</v>
      </c>
      <c r="C84" s="13" t="s">
        <v>13</v>
      </c>
      <c r="F84" s="22"/>
      <c r="K84" s="23"/>
    </row>
    <row r="85">
      <c r="A85" s="17" t="s">
        <v>16</v>
      </c>
      <c r="B85" s="18">
        <f>countif(FY19_DATA!I226:I253,"&lt;06:01:00")</f>
        <v>18</v>
      </c>
      <c r="C85" s="19">
        <f>B85/C83</f>
        <v>0.6428571429</v>
      </c>
      <c r="F85" s="22"/>
      <c r="K85" s="23"/>
    </row>
    <row r="86">
      <c r="A86" s="17" t="s">
        <v>22</v>
      </c>
      <c r="B86" s="18">
        <f>countif(FY19_DATA!I226:I253,"&lt;06:31:00")</f>
        <v>20</v>
      </c>
      <c r="C86" s="19">
        <f>B86/C83</f>
        <v>0.7142857143</v>
      </c>
      <c r="F86" s="22"/>
      <c r="K86" s="23"/>
    </row>
    <row r="87">
      <c r="A87" s="17" t="s">
        <v>25</v>
      </c>
      <c r="B87" s="18">
        <f>countif(FY19_DATA!I226:HI253,"&lt;07:01:00")</f>
        <v>21</v>
      </c>
      <c r="C87" s="19">
        <f>B87/C83</f>
        <v>0.75</v>
      </c>
      <c r="F87" s="22"/>
      <c r="K87" s="23"/>
    </row>
    <row r="88">
      <c r="A88" s="17" t="s">
        <v>28</v>
      </c>
      <c r="B88" s="18">
        <f>countif(FY19_DATA!I226:I253,"&gt;07:00:59")</f>
        <v>7</v>
      </c>
      <c r="C88" s="19">
        <f>B88/C83</f>
        <v>0.25</v>
      </c>
      <c r="F88" s="22"/>
      <c r="K88" s="23"/>
    </row>
    <row r="89">
      <c r="A89" s="17" t="s">
        <v>61</v>
      </c>
      <c r="B89" s="18">
        <f>countif(FY19_DATA!I226:I253,"&gt;08:00:59")</f>
        <v>3</v>
      </c>
      <c r="C89" s="19">
        <f>B89/C83</f>
        <v>0.1071428571</v>
      </c>
      <c r="F89" s="22"/>
      <c r="K89" s="23"/>
    </row>
    <row r="90">
      <c r="F90" s="22"/>
      <c r="K90" s="23"/>
    </row>
    <row r="91">
      <c r="A91" s="1" t="s">
        <v>75</v>
      </c>
      <c r="B91" s="2"/>
      <c r="C91" s="3"/>
      <c r="F91" s="22"/>
      <c r="K91" s="23"/>
    </row>
    <row r="92">
      <c r="A92" s="6" t="s">
        <v>7</v>
      </c>
      <c r="B92" s="3"/>
      <c r="C92" s="7">
        <f>counta(FY19_DATA!I254:I281)</f>
        <v>28</v>
      </c>
      <c r="F92" s="22"/>
      <c r="K92" s="23"/>
    </row>
    <row r="93">
      <c r="A93" s="12"/>
      <c r="B93" s="13" t="s">
        <v>2</v>
      </c>
      <c r="C93" s="13" t="s">
        <v>13</v>
      </c>
      <c r="F93" s="22"/>
      <c r="K93" s="23"/>
    </row>
    <row r="94">
      <c r="A94" s="17" t="s">
        <v>16</v>
      </c>
      <c r="B94" s="18">
        <f>countif(FY19_DATA!I254:I281,"&lt;06:01:00")</f>
        <v>15</v>
      </c>
      <c r="C94" s="19">
        <f>B94/C92</f>
        <v>0.5357142857</v>
      </c>
      <c r="F94" s="22"/>
      <c r="K94" s="23"/>
    </row>
    <row r="95">
      <c r="A95" s="17" t="s">
        <v>22</v>
      </c>
      <c r="B95" s="18">
        <f>countif(FY19_DATA!I254:I281,"&lt;06:31:00")</f>
        <v>21</v>
      </c>
      <c r="C95" s="19">
        <f>B95/C92</f>
        <v>0.75</v>
      </c>
      <c r="F95" s="22"/>
      <c r="K95" s="23"/>
    </row>
    <row r="96">
      <c r="A96" s="17" t="s">
        <v>25</v>
      </c>
      <c r="B96" s="18">
        <f>countif(FY19_DATA!I254:I281,"&lt;07:01:00")</f>
        <v>24</v>
      </c>
      <c r="C96" s="19">
        <f>B96/C92</f>
        <v>0.8571428571</v>
      </c>
      <c r="F96" s="22"/>
      <c r="K96" s="23"/>
    </row>
    <row r="97">
      <c r="A97" s="17" t="s">
        <v>28</v>
      </c>
      <c r="B97" s="18">
        <f>countif(FY19_DATA!I254:I281,"&gt;07:00:59")</f>
        <v>4</v>
      </c>
      <c r="C97" s="19">
        <f>B97/C92</f>
        <v>0.1428571429</v>
      </c>
      <c r="F97" s="22"/>
      <c r="K97" s="23"/>
    </row>
    <row r="98">
      <c r="A98" s="17" t="s">
        <v>61</v>
      </c>
      <c r="B98" s="18">
        <f>countif(FY19_DATA!I254:I281,"&gt;08:00:59")</f>
        <v>0</v>
      </c>
      <c r="C98" s="19">
        <f>B98/C92</f>
        <v>0</v>
      </c>
      <c r="F98" s="22"/>
      <c r="K98" s="23"/>
    </row>
    <row r="99">
      <c r="F99" s="22"/>
      <c r="K99" s="23"/>
    </row>
    <row r="100">
      <c r="A100" s="1" t="s">
        <v>76</v>
      </c>
      <c r="B100" s="2"/>
      <c r="C100" s="3"/>
      <c r="F100" s="22"/>
      <c r="K100" s="23"/>
    </row>
    <row r="101">
      <c r="A101" s="6" t="s">
        <v>7</v>
      </c>
      <c r="B101" s="3"/>
      <c r="C101" s="7">
        <f>counta(FY19_DATA!I282:I309)</f>
        <v>28</v>
      </c>
      <c r="F101" s="22"/>
      <c r="K101" s="23"/>
    </row>
    <row r="102">
      <c r="A102" s="12"/>
      <c r="B102" s="13" t="s">
        <v>2</v>
      </c>
      <c r="C102" s="13" t="s">
        <v>13</v>
      </c>
      <c r="F102" s="22"/>
      <c r="K102" s="23"/>
    </row>
    <row r="103">
      <c r="A103" s="17" t="s">
        <v>16</v>
      </c>
      <c r="B103" s="18">
        <f>countif(FY19_DATA!I282:I309,"&lt;06:01:00")</f>
        <v>18</v>
      </c>
      <c r="C103" s="19">
        <f>B103/C101</f>
        <v>0.6428571429</v>
      </c>
      <c r="F103" s="22"/>
      <c r="K103" s="23"/>
    </row>
    <row r="104">
      <c r="A104" s="17" t="s">
        <v>22</v>
      </c>
      <c r="B104" s="18">
        <f>countif(FY19_DATA!I282:I309,"&lt;06:31:00")</f>
        <v>19</v>
      </c>
      <c r="C104" s="19">
        <f>B104/C101</f>
        <v>0.6785714286</v>
      </c>
      <c r="F104" s="22"/>
      <c r="K104" s="23"/>
    </row>
    <row r="105">
      <c r="A105" s="17" t="s">
        <v>25</v>
      </c>
      <c r="B105" s="18">
        <f>countif(FY19_DATA!I282:I309,"&lt;07:01:00")</f>
        <v>22</v>
      </c>
      <c r="C105" s="19">
        <f>B105/C101</f>
        <v>0.7857142857</v>
      </c>
      <c r="F105" s="22"/>
      <c r="K105" s="23"/>
    </row>
    <row r="106">
      <c r="A106" s="17" t="s">
        <v>28</v>
      </c>
      <c r="B106" s="18">
        <f>countif(FY19_DATA!I282:I309,"&gt;07:00:59")</f>
        <v>6</v>
      </c>
      <c r="C106" s="19">
        <f>B106/C101</f>
        <v>0.2142857143</v>
      </c>
      <c r="F106" s="22"/>
      <c r="K106" s="23"/>
    </row>
    <row r="107">
      <c r="A107" s="17" t="s">
        <v>61</v>
      </c>
      <c r="B107" s="18">
        <f>countif(FY19_DATA!I282:I309,"&gt;08:00:59")</f>
        <v>3</v>
      </c>
      <c r="C107" s="19">
        <f>B107/C101</f>
        <v>0.1071428571</v>
      </c>
      <c r="F107" s="22"/>
      <c r="K107" s="23"/>
    </row>
    <row r="108">
      <c r="F108" s="22"/>
      <c r="K108" s="23"/>
    </row>
    <row r="109">
      <c r="A109" s="1" t="s">
        <v>77</v>
      </c>
      <c r="B109" s="2"/>
      <c r="C109" s="3"/>
      <c r="F109" s="22"/>
      <c r="K109" s="23"/>
    </row>
    <row r="110">
      <c r="A110" s="6" t="s">
        <v>7</v>
      </c>
      <c r="B110" s="3"/>
      <c r="C110" s="7">
        <f>counta(FY19_DATA!I310:I337)</f>
        <v>28</v>
      </c>
      <c r="F110" s="22"/>
      <c r="K110" s="23"/>
    </row>
    <row r="111">
      <c r="A111" s="12"/>
      <c r="B111" s="13" t="s">
        <v>2</v>
      </c>
      <c r="C111" s="13" t="s">
        <v>13</v>
      </c>
      <c r="F111" s="22"/>
      <c r="K111" s="23"/>
    </row>
    <row r="112">
      <c r="A112" s="17" t="s">
        <v>16</v>
      </c>
      <c r="B112" s="18">
        <f>countif(FY19_DATA!I310:I337,"&lt;06:01:00")</f>
        <v>15</v>
      </c>
      <c r="C112" s="19">
        <f>B112/C110</f>
        <v>0.5357142857</v>
      </c>
      <c r="F112" s="22"/>
      <c r="K112" s="23"/>
    </row>
    <row r="113">
      <c r="A113" s="17" t="s">
        <v>22</v>
      </c>
      <c r="B113" s="18">
        <f>countif(FY19_DATA!I310:I337,"&lt;06:31:00")</f>
        <v>20</v>
      </c>
      <c r="C113" s="19">
        <f>B113/C110</f>
        <v>0.7142857143</v>
      </c>
      <c r="F113" s="22"/>
      <c r="K113" s="23"/>
    </row>
    <row r="114">
      <c r="A114" s="17" t="s">
        <v>25</v>
      </c>
      <c r="B114" s="18">
        <f>countif(FY19_DATA!I310:I337,"&lt;07:01:00")</f>
        <v>21</v>
      </c>
      <c r="C114" s="19">
        <f>B114/C110</f>
        <v>0.75</v>
      </c>
      <c r="F114" s="22"/>
      <c r="K114" s="23"/>
    </row>
    <row r="115">
      <c r="A115" s="17" t="s">
        <v>28</v>
      </c>
      <c r="B115" s="18">
        <f>countif(FY19_DATA!I310:I337,"&gt;07:00:59")</f>
        <v>7</v>
      </c>
      <c r="C115" s="19">
        <f>B115/C110</f>
        <v>0.25</v>
      </c>
      <c r="F115" s="22"/>
      <c r="K115" s="23"/>
    </row>
    <row r="116">
      <c r="A116" s="17" t="s">
        <v>61</v>
      </c>
      <c r="B116" s="18">
        <f>countif(FY19_DATA!I310:I337,"&gt;08:00:59")</f>
        <v>5</v>
      </c>
      <c r="C116" s="19">
        <f>B116/C110</f>
        <v>0.1785714286</v>
      </c>
      <c r="F116" s="22"/>
      <c r="K116" s="23"/>
    </row>
    <row r="117">
      <c r="F117" s="22"/>
      <c r="K117" s="23"/>
    </row>
    <row r="118">
      <c r="A118" s="1" t="s">
        <v>78</v>
      </c>
      <c r="B118" s="2"/>
      <c r="C118" s="3"/>
      <c r="F118" s="22"/>
      <c r="K118" s="23"/>
    </row>
    <row r="119">
      <c r="A119" s="6" t="s">
        <v>7</v>
      </c>
      <c r="B119" s="3"/>
      <c r="C119" s="7">
        <f>counta(FY19_DATA!I338:I365)</f>
        <v>28</v>
      </c>
      <c r="F119" s="22"/>
      <c r="K119" s="23"/>
    </row>
    <row r="120">
      <c r="A120" s="12"/>
      <c r="B120" s="13" t="s">
        <v>2</v>
      </c>
      <c r="C120" s="13" t="s">
        <v>13</v>
      </c>
      <c r="F120" s="22"/>
      <c r="K120" s="23"/>
    </row>
    <row r="121">
      <c r="A121" s="17" t="s">
        <v>16</v>
      </c>
      <c r="B121" s="18">
        <f>countif(FY19_DATA!I338:I365,"&lt;06:01:00")</f>
        <v>7</v>
      </c>
      <c r="C121" s="19">
        <f>B121/C119</f>
        <v>0.25</v>
      </c>
      <c r="F121" s="22"/>
      <c r="K121" s="23"/>
    </row>
    <row r="122">
      <c r="A122" s="17" t="s">
        <v>22</v>
      </c>
      <c r="B122" s="18">
        <f>countif(FY19_DATA!I338:I365,"&lt;06:31:00")</f>
        <v>19</v>
      </c>
      <c r="C122" s="19">
        <f>B122/C119</f>
        <v>0.6785714286</v>
      </c>
      <c r="F122" s="22"/>
      <c r="K122" s="23"/>
    </row>
    <row r="123">
      <c r="A123" s="17" t="s">
        <v>25</v>
      </c>
      <c r="B123" s="18">
        <f>countif(FY19_DATA!I338:I365,"&lt;07:01:00")</f>
        <v>23</v>
      </c>
      <c r="C123" s="19">
        <f>B123/C119</f>
        <v>0.8214285714</v>
      </c>
      <c r="F123" s="22"/>
      <c r="K123" s="23"/>
    </row>
    <row r="124">
      <c r="A124" s="17" t="s">
        <v>28</v>
      </c>
      <c r="B124" s="18">
        <f>countif(FY19_DATA!I338:I365,"&gt;07:00:59")</f>
        <v>5</v>
      </c>
      <c r="C124" s="19">
        <f>B124/C119</f>
        <v>0.1785714286</v>
      </c>
      <c r="F124" s="22"/>
      <c r="K124" s="23"/>
    </row>
    <row r="125">
      <c r="A125" s="17" t="s">
        <v>61</v>
      </c>
      <c r="B125" s="18">
        <f>countif(FY19_DATA!I319:I346,"&gt;08:00:59")</f>
        <v>5</v>
      </c>
      <c r="C125" s="19">
        <f>B125/C119</f>
        <v>0.1785714286</v>
      </c>
      <c r="F125" s="22"/>
      <c r="K125" s="23"/>
    </row>
    <row r="126">
      <c r="F126" s="22"/>
      <c r="K126" s="23"/>
    </row>
    <row r="127">
      <c r="F127" s="22"/>
      <c r="K127" s="23"/>
    </row>
    <row r="128">
      <c r="F128" s="22"/>
      <c r="K128" s="23"/>
    </row>
    <row r="129">
      <c r="F129" s="22"/>
      <c r="K129" s="23"/>
    </row>
    <row r="130">
      <c r="F130" s="22"/>
      <c r="K130" s="23"/>
    </row>
    <row r="131">
      <c r="F131" s="22"/>
      <c r="K131" s="23"/>
    </row>
    <row r="132">
      <c r="F132" s="22"/>
      <c r="K132" s="23"/>
    </row>
    <row r="133">
      <c r="F133" s="22"/>
      <c r="K133" s="23"/>
    </row>
    <row r="134">
      <c r="F134" s="22"/>
      <c r="K134" s="23"/>
    </row>
    <row r="135">
      <c r="F135" s="22"/>
      <c r="K135" s="23"/>
    </row>
    <row r="136">
      <c r="F136" s="22"/>
      <c r="K136" s="23"/>
    </row>
    <row r="137">
      <c r="F137" s="22"/>
      <c r="K137" s="23"/>
    </row>
    <row r="138">
      <c r="F138" s="22"/>
      <c r="K138" s="23"/>
    </row>
    <row r="139">
      <c r="F139" s="22"/>
      <c r="K139" s="23"/>
    </row>
    <row r="140">
      <c r="F140" s="22"/>
      <c r="K140" s="23"/>
    </row>
    <row r="141">
      <c r="F141" s="22"/>
      <c r="K141" s="23"/>
    </row>
    <row r="142">
      <c r="F142" s="22"/>
      <c r="K142" s="23"/>
    </row>
    <row r="143">
      <c r="F143" s="22"/>
      <c r="K143" s="23"/>
    </row>
    <row r="144">
      <c r="F144" s="22"/>
      <c r="K144" s="23"/>
    </row>
    <row r="145">
      <c r="F145" s="22"/>
      <c r="K145" s="23"/>
    </row>
    <row r="146">
      <c r="F146" s="22"/>
      <c r="K146" s="23"/>
    </row>
    <row r="147">
      <c r="F147" s="22"/>
      <c r="K147" s="23"/>
    </row>
    <row r="148">
      <c r="F148" s="22"/>
      <c r="K148" s="23"/>
    </row>
    <row r="149">
      <c r="F149" s="22"/>
      <c r="K149" s="23"/>
    </row>
    <row r="150">
      <c r="F150" s="22"/>
      <c r="K150" s="23"/>
    </row>
    <row r="151">
      <c r="F151" s="22"/>
      <c r="K151" s="23"/>
    </row>
    <row r="152">
      <c r="F152" s="22"/>
      <c r="K152" s="23"/>
    </row>
    <row r="153">
      <c r="F153" s="22"/>
      <c r="K153" s="23"/>
    </row>
    <row r="154">
      <c r="F154" s="22"/>
      <c r="K154" s="23"/>
    </row>
    <row r="155">
      <c r="F155" s="22"/>
      <c r="K155" s="23"/>
    </row>
    <row r="156">
      <c r="F156" s="22"/>
      <c r="K156" s="23"/>
    </row>
    <row r="157">
      <c r="F157" s="22"/>
      <c r="K157" s="23"/>
    </row>
    <row r="158">
      <c r="F158" s="22"/>
      <c r="K158" s="23"/>
    </row>
    <row r="159">
      <c r="F159" s="22"/>
      <c r="K159" s="23"/>
    </row>
    <row r="160">
      <c r="F160" s="22"/>
      <c r="K160" s="23"/>
    </row>
    <row r="161">
      <c r="F161" s="22"/>
      <c r="K161" s="23"/>
    </row>
    <row r="162">
      <c r="F162" s="22"/>
      <c r="K162" s="23"/>
    </row>
    <row r="163">
      <c r="F163" s="22"/>
      <c r="K163" s="23"/>
    </row>
    <row r="164">
      <c r="F164" s="22"/>
      <c r="K164" s="23"/>
    </row>
    <row r="165">
      <c r="F165" s="22"/>
      <c r="K165" s="23"/>
    </row>
    <row r="166">
      <c r="F166" s="22"/>
      <c r="K166" s="23"/>
    </row>
    <row r="167">
      <c r="F167" s="22"/>
      <c r="K167" s="23"/>
    </row>
    <row r="168">
      <c r="F168" s="22"/>
      <c r="K168" s="23"/>
    </row>
    <row r="169">
      <c r="F169" s="22"/>
      <c r="K169" s="23"/>
    </row>
    <row r="170">
      <c r="F170" s="22"/>
      <c r="K170" s="23"/>
    </row>
    <row r="171">
      <c r="F171" s="22"/>
      <c r="K171" s="23"/>
    </row>
    <row r="172">
      <c r="F172" s="22"/>
      <c r="K172" s="23"/>
    </row>
    <row r="173">
      <c r="F173" s="22"/>
      <c r="K173" s="23"/>
    </row>
    <row r="174">
      <c r="F174" s="22"/>
      <c r="K174" s="23"/>
    </row>
    <row r="175">
      <c r="F175" s="22"/>
      <c r="K175" s="23"/>
    </row>
    <row r="176">
      <c r="F176" s="22"/>
      <c r="K176" s="23"/>
    </row>
    <row r="177">
      <c r="F177" s="22"/>
      <c r="K177" s="23"/>
    </row>
    <row r="178">
      <c r="F178" s="22"/>
      <c r="K178" s="23"/>
    </row>
    <row r="179">
      <c r="F179" s="22"/>
      <c r="K179" s="23"/>
    </row>
    <row r="180">
      <c r="F180" s="22"/>
      <c r="K180" s="23"/>
    </row>
    <row r="181">
      <c r="F181" s="22"/>
      <c r="K181" s="23"/>
    </row>
    <row r="182">
      <c r="F182" s="22"/>
      <c r="K182" s="23"/>
    </row>
    <row r="183">
      <c r="F183" s="22"/>
      <c r="K183" s="23"/>
    </row>
    <row r="184">
      <c r="F184" s="22"/>
      <c r="K184" s="23"/>
    </row>
    <row r="185">
      <c r="F185" s="22"/>
      <c r="K185" s="23"/>
    </row>
    <row r="186">
      <c r="F186" s="22"/>
      <c r="K186" s="23"/>
    </row>
    <row r="187">
      <c r="F187" s="22"/>
      <c r="K187" s="23"/>
    </row>
    <row r="188">
      <c r="F188" s="22"/>
      <c r="K188" s="23"/>
    </row>
    <row r="189">
      <c r="F189" s="22"/>
      <c r="K189" s="23"/>
    </row>
    <row r="190">
      <c r="F190" s="22"/>
      <c r="K190" s="23"/>
    </row>
    <row r="191">
      <c r="F191" s="22"/>
      <c r="K191" s="23"/>
    </row>
    <row r="192">
      <c r="F192" s="22"/>
      <c r="K192" s="23"/>
    </row>
    <row r="193">
      <c r="F193" s="22"/>
      <c r="K193" s="23"/>
    </row>
    <row r="194">
      <c r="F194" s="22"/>
      <c r="K194" s="23"/>
    </row>
    <row r="195">
      <c r="F195" s="22"/>
      <c r="K195" s="23"/>
    </row>
    <row r="196">
      <c r="F196" s="22"/>
      <c r="K196" s="23"/>
    </row>
    <row r="197">
      <c r="F197" s="22"/>
      <c r="K197" s="23"/>
    </row>
    <row r="198">
      <c r="F198" s="22"/>
      <c r="K198" s="23"/>
    </row>
    <row r="199">
      <c r="F199" s="22"/>
      <c r="K199" s="23"/>
    </row>
    <row r="200">
      <c r="F200" s="22"/>
      <c r="K200" s="23"/>
    </row>
    <row r="201">
      <c r="F201" s="22"/>
      <c r="K201" s="23"/>
    </row>
    <row r="202">
      <c r="F202" s="22"/>
      <c r="K202" s="23"/>
    </row>
    <row r="203">
      <c r="F203" s="22"/>
      <c r="K203" s="23"/>
    </row>
    <row r="204">
      <c r="F204" s="22"/>
      <c r="K204" s="23"/>
    </row>
    <row r="205">
      <c r="F205" s="22"/>
      <c r="K205" s="23"/>
    </row>
    <row r="206">
      <c r="F206" s="22"/>
      <c r="K206" s="23"/>
    </row>
    <row r="207">
      <c r="F207" s="22"/>
      <c r="K207" s="23"/>
    </row>
    <row r="208">
      <c r="F208" s="22"/>
      <c r="K208" s="23"/>
    </row>
    <row r="209">
      <c r="F209" s="22"/>
      <c r="K209" s="23"/>
    </row>
    <row r="210">
      <c r="F210" s="22"/>
      <c r="K210" s="23"/>
    </row>
    <row r="211">
      <c r="F211" s="22"/>
      <c r="K211" s="23"/>
    </row>
    <row r="212">
      <c r="F212" s="22"/>
      <c r="K212" s="23"/>
    </row>
    <row r="213">
      <c r="F213" s="22"/>
      <c r="K213" s="23"/>
    </row>
    <row r="214">
      <c r="F214" s="22"/>
      <c r="K214" s="23"/>
    </row>
    <row r="215">
      <c r="F215" s="22"/>
      <c r="K215" s="23"/>
    </row>
    <row r="216">
      <c r="F216" s="22"/>
      <c r="K216" s="23"/>
    </row>
    <row r="217">
      <c r="F217" s="22"/>
      <c r="K217" s="23"/>
    </row>
    <row r="218">
      <c r="F218" s="22"/>
      <c r="K218" s="23"/>
    </row>
    <row r="219">
      <c r="F219" s="22"/>
      <c r="K219" s="23"/>
    </row>
    <row r="220">
      <c r="F220" s="22"/>
      <c r="K220" s="23"/>
    </row>
    <row r="221">
      <c r="F221" s="22"/>
      <c r="K221" s="23"/>
    </row>
    <row r="222">
      <c r="F222" s="22"/>
      <c r="K222" s="23"/>
    </row>
    <row r="223">
      <c r="F223" s="22"/>
      <c r="K223" s="23"/>
    </row>
    <row r="224">
      <c r="F224" s="22"/>
      <c r="K224" s="23"/>
    </row>
    <row r="225">
      <c r="F225" s="22"/>
      <c r="K225" s="23"/>
    </row>
    <row r="226">
      <c r="F226" s="22"/>
      <c r="K226" s="23"/>
    </row>
    <row r="227">
      <c r="F227" s="22"/>
      <c r="K227" s="23"/>
    </row>
    <row r="228">
      <c r="F228" s="22"/>
      <c r="K228" s="23"/>
    </row>
    <row r="229">
      <c r="F229" s="22"/>
      <c r="K229" s="23"/>
    </row>
    <row r="230">
      <c r="F230" s="22"/>
      <c r="K230" s="23"/>
    </row>
    <row r="231">
      <c r="F231" s="22"/>
      <c r="K231" s="23"/>
    </row>
    <row r="232">
      <c r="F232" s="22"/>
      <c r="K232" s="23"/>
    </row>
    <row r="233">
      <c r="F233" s="22"/>
      <c r="K233" s="23"/>
    </row>
    <row r="234">
      <c r="F234" s="22"/>
      <c r="K234" s="23"/>
    </row>
    <row r="235">
      <c r="F235" s="22"/>
      <c r="K235" s="23"/>
    </row>
    <row r="236">
      <c r="F236" s="22"/>
      <c r="K236" s="23"/>
    </row>
    <row r="237">
      <c r="F237" s="22"/>
      <c r="K237" s="23"/>
    </row>
    <row r="238">
      <c r="F238" s="22"/>
      <c r="K238" s="23"/>
    </row>
    <row r="239">
      <c r="F239" s="22"/>
      <c r="K239" s="23"/>
    </row>
    <row r="240">
      <c r="F240" s="22"/>
      <c r="K240" s="23"/>
    </row>
    <row r="241">
      <c r="F241" s="22"/>
      <c r="K241" s="23"/>
    </row>
    <row r="242">
      <c r="F242" s="22"/>
      <c r="K242" s="23"/>
    </row>
    <row r="243">
      <c r="F243" s="22"/>
      <c r="K243" s="23"/>
    </row>
    <row r="244">
      <c r="F244" s="22"/>
      <c r="K244" s="23"/>
    </row>
    <row r="245">
      <c r="F245" s="22"/>
      <c r="K245" s="23"/>
    </row>
    <row r="246">
      <c r="F246" s="22"/>
      <c r="K246" s="23"/>
    </row>
    <row r="247">
      <c r="F247" s="22"/>
      <c r="K247" s="23"/>
    </row>
    <row r="248">
      <c r="F248" s="22"/>
      <c r="K248" s="23"/>
    </row>
    <row r="249">
      <c r="F249" s="22"/>
      <c r="K249" s="23"/>
    </row>
    <row r="250">
      <c r="F250" s="22"/>
      <c r="K250" s="23"/>
    </row>
    <row r="251">
      <c r="F251" s="22"/>
      <c r="K251" s="23"/>
    </row>
    <row r="252">
      <c r="F252" s="22"/>
      <c r="K252" s="23"/>
    </row>
    <row r="253">
      <c r="F253" s="22"/>
      <c r="K253" s="23"/>
    </row>
    <row r="254">
      <c r="F254" s="22"/>
      <c r="K254" s="23"/>
    </row>
    <row r="255">
      <c r="F255" s="22"/>
      <c r="K255" s="23"/>
    </row>
    <row r="256">
      <c r="F256" s="22"/>
      <c r="K256" s="23"/>
    </row>
    <row r="257">
      <c r="F257" s="22"/>
      <c r="K257" s="23"/>
    </row>
    <row r="258">
      <c r="F258" s="22"/>
      <c r="K258" s="23"/>
    </row>
    <row r="259">
      <c r="F259" s="22"/>
      <c r="K259" s="23"/>
    </row>
    <row r="260">
      <c r="F260" s="22"/>
      <c r="K260" s="23"/>
    </row>
    <row r="261">
      <c r="F261" s="22"/>
      <c r="K261" s="23"/>
    </row>
    <row r="262">
      <c r="F262" s="22"/>
      <c r="K262" s="23"/>
    </row>
    <row r="263">
      <c r="F263" s="22"/>
      <c r="K263" s="23"/>
    </row>
    <row r="264">
      <c r="F264" s="22"/>
      <c r="K264" s="23"/>
    </row>
    <row r="265">
      <c r="F265" s="22"/>
      <c r="K265" s="23"/>
    </row>
    <row r="266">
      <c r="F266" s="22"/>
      <c r="K266" s="23"/>
    </row>
    <row r="267">
      <c r="F267" s="22"/>
      <c r="K267" s="23"/>
    </row>
    <row r="268">
      <c r="F268" s="22"/>
      <c r="K268" s="23"/>
    </row>
    <row r="269">
      <c r="F269" s="22"/>
      <c r="K269" s="23"/>
    </row>
    <row r="270">
      <c r="F270" s="22"/>
      <c r="K270" s="23"/>
    </row>
    <row r="271">
      <c r="F271" s="22"/>
      <c r="K271" s="23"/>
    </row>
    <row r="272">
      <c r="F272" s="22"/>
      <c r="K272" s="23"/>
    </row>
    <row r="273">
      <c r="F273" s="22"/>
      <c r="K273" s="23"/>
    </row>
    <row r="274">
      <c r="F274" s="22"/>
      <c r="K274" s="23"/>
    </row>
    <row r="275">
      <c r="F275" s="22"/>
      <c r="K275" s="23"/>
    </row>
    <row r="276">
      <c r="F276" s="22"/>
      <c r="K276" s="23"/>
    </row>
    <row r="277">
      <c r="F277" s="22"/>
      <c r="K277" s="23"/>
    </row>
    <row r="278">
      <c r="F278" s="22"/>
      <c r="K278" s="23"/>
    </row>
    <row r="279">
      <c r="F279" s="22"/>
      <c r="K279" s="23"/>
    </row>
    <row r="280">
      <c r="F280" s="22"/>
      <c r="K280" s="23"/>
    </row>
    <row r="281">
      <c r="F281" s="22"/>
      <c r="K281" s="23"/>
    </row>
    <row r="282">
      <c r="F282" s="22"/>
      <c r="K282" s="23"/>
    </row>
    <row r="283">
      <c r="F283" s="22"/>
      <c r="K283" s="23"/>
    </row>
    <row r="284">
      <c r="F284" s="22"/>
      <c r="K284" s="23"/>
    </row>
    <row r="285">
      <c r="F285" s="22"/>
      <c r="K285" s="23"/>
    </row>
    <row r="286">
      <c r="F286" s="22"/>
      <c r="K286" s="23"/>
    </row>
    <row r="287">
      <c r="F287" s="22"/>
      <c r="K287" s="23"/>
    </row>
    <row r="288">
      <c r="F288" s="22"/>
      <c r="K288" s="23"/>
    </row>
    <row r="289">
      <c r="F289" s="22"/>
      <c r="K289" s="23"/>
    </row>
    <row r="290">
      <c r="F290" s="22"/>
      <c r="K290" s="23"/>
    </row>
    <row r="291">
      <c r="F291" s="22"/>
      <c r="K291" s="23"/>
    </row>
    <row r="292">
      <c r="F292" s="22"/>
      <c r="K292" s="23"/>
    </row>
    <row r="293">
      <c r="F293" s="22"/>
      <c r="K293" s="23"/>
    </row>
    <row r="294">
      <c r="F294" s="22"/>
      <c r="K294" s="23"/>
    </row>
    <row r="295">
      <c r="F295" s="22"/>
      <c r="K295" s="23"/>
    </row>
    <row r="296">
      <c r="F296" s="22"/>
      <c r="K296" s="23"/>
    </row>
    <row r="297">
      <c r="F297" s="22"/>
      <c r="K297" s="23"/>
    </row>
    <row r="298">
      <c r="F298" s="22"/>
      <c r="K298" s="23"/>
    </row>
    <row r="299">
      <c r="F299" s="22"/>
      <c r="K299" s="23"/>
    </row>
    <row r="300">
      <c r="F300" s="22"/>
      <c r="K300" s="23"/>
    </row>
    <row r="301">
      <c r="F301" s="22"/>
      <c r="K301" s="23"/>
    </row>
    <row r="302">
      <c r="F302" s="22"/>
      <c r="K302" s="23"/>
    </row>
    <row r="303">
      <c r="F303" s="22"/>
      <c r="K303" s="23"/>
    </row>
    <row r="304">
      <c r="F304" s="22"/>
      <c r="K304" s="23"/>
    </row>
    <row r="305">
      <c r="F305" s="22"/>
      <c r="K305" s="23"/>
    </row>
    <row r="306">
      <c r="F306" s="22"/>
      <c r="K306" s="23"/>
    </row>
    <row r="307">
      <c r="F307" s="22"/>
      <c r="K307" s="23"/>
    </row>
    <row r="308">
      <c r="F308" s="22"/>
      <c r="K308" s="23"/>
    </row>
    <row r="309">
      <c r="F309" s="22"/>
      <c r="K309" s="23"/>
    </row>
    <row r="310">
      <c r="F310" s="22"/>
      <c r="K310" s="23"/>
    </row>
    <row r="311">
      <c r="F311" s="22"/>
      <c r="K311" s="23"/>
    </row>
    <row r="312">
      <c r="F312" s="22"/>
      <c r="K312" s="23"/>
    </row>
    <row r="313">
      <c r="F313" s="22"/>
      <c r="K313" s="23"/>
    </row>
    <row r="314">
      <c r="F314" s="22"/>
      <c r="K314" s="23"/>
    </row>
    <row r="315">
      <c r="F315" s="22"/>
      <c r="K315" s="23"/>
    </row>
    <row r="316">
      <c r="F316" s="22"/>
      <c r="K316" s="23"/>
    </row>
    <row r="317">
      <c r="F317" s="22"/>
      <c r="K317" s="23"/>
    </row>
    <row r="318">
      <c r="F318" s="22"/>
      <c r="K318" s="23"/>
    </row>
    <row r="319">
      <c r="F319" s="22"/>
      <c r="K319" s="23"/>
    </row>
    <row r="320">
      <c r="F320" s="22"/>
      <c r="K320" s="23"/>
    </row>
    <row r="321">
      <c r="F321" s="22"/>
      <c r="K321" s="23"/>
    </row>
    <row r="322">
      <c r="F322" s="22"/>
      <c r="K322" s="23"/>
    </row>
    <row r="323">
      <c r="F323" s="22"/>
      <c r="K323" s="23"/>
    </row>
    <row r="324">
      <c r="F324" s="22"/>
      <c r="K324" s="23"/>
    </row>
    <row r="325">
      <c r="F325" s="22"/>
      <c r="K325" s="23"/>
    </row>
    <row r="326">
      <c r="F326" s="22"/>
      <c r="K326" s="23"/>
    </row>
    <row r="327">
      <c r="F327" s="22"/>
      <c r="K327" s="23"/>
    </row>
    <row r="328">
      <c r="F328" s="22"/>
      <c r="K328" s="23"/>
    </row>
    <row r="329">
      <c r="F329" s="22"/>
      <c r="K329" s="23"/>
    </row>
    <row r="330">
      <c r="F330" s="22"/>
      <c r="K330" s="23"/>
    </row>
    <row r="331">
      <c r="F331" s="22"/>
      <c r="K331" s="23"/>
    </row>
    <row r="332">
      <c r="F332" s="22"/>
      <c r="K332" s="23"/>
    </row>
    <row r="333">
      <c r="F333" s="22"/>
      <c r="K333" s="23"/>
    </row>
    <row r="334">
      <c r="F334" s="22"/>
      <c r="K334" s="23"/>
    </row>
    <row r="335">
      <c r="F335" s="22"/>
      <c r="K335" s="23"/>
    </row>
    <row r="336">
      <c r="F336" s="22"/>
      <c r="K336" s="23"/>
    </row>
    <row r="337">
      <c r="F337" s="22"/>
      <c r="K337" s="23"/>
    </row>
    <row r="338">
      <c r="F338" s="22"/>
      <c r="K338" s="23"/>
    </row>
    <row r="339">
      <c r="F339" s="22"/>
      <c r="K339" s="23"/>
    </row>
    <row r="340">
      <c r="F340" s="22"/>
      <c r="K340" s="23"/>
    </row>
    <row r="341">
      <c r="F341" s="22"/>
      <c r="K341" s="23"/>
    </row>
    <row r="342">
      <c r="F342" s="22"/>
      <c r="K342" s="23"/>
    </row>
    <row r="343">
      <c r="F343" s="22"/>
      <c r="K343" s="23"/>
    </row>
    <row r="344">
      <c r="F344" s="22"/>
      <c r="K344" s="23"/>
    </row>
    <row r="345">
      <c r="F345" s="22"/>
      <c r="K345" s="23"/>
    </row>
    <row r="346">
      <c r="F346" s="22"/>
      <c r="K346" s="23"/>
    </row>
    <row r="347">
      <c r="F347" s="22"/>
      <c r="K347" s="23"/>
    </row>
    <row r="348">
      <c r="F348" s="22"/>
      <c r="K348" s="23"/>
    </row>
    <row r="349">
      <c r="F349" s="22"/>
      <c r="K349" s="23"/>
    </row>
    <row r="350">
      <c r="F350" s="22"/>
      <c r="K350" s="23"/>
    </row>
    <row r="351">
      <c r="F351" s="22"/>
      <c r="K351" s="23"/>
    </row>
    <row r="352">
      <c r="F352" s="22"/>
      <c r="K352" s="23"/>
    </row>
    <row r="353">
      <c r="F353" s="22"/>
      <c r="K353" s="23"/>
    </row>
    <row r="354">
      <c r="F354" s="22"/>
      <c r="K354" s="23"/>
    </row>
    <row r="355">
      <c r="F355" s="22"/>
      <c r="K355" s="23"/>
    </row>
    <row r="356">
      <c r="F356" s="22"/>
      <c r="K356" s="23"/>
    </row>
    <row r="357">
      <c r="F357" s="22"/>
      <c r="K357" s="23"/>
    </row>
    <row r="358">
      <c r="F358" s="22"/>
      <c r="K358" s="23"/>
    </row>
    <row r="359">
      <c r="F359" s="22"/>
      <c r="K359" s="23"/>
    </row>
    <row r="360">
      <c r="F360" s="22"/>
      <c r="K360" s="23"/>
    </row>
    <row r="361">
      <c r="F361" s="22"/>
      <c r="K361" s="23"/>
    </row>
    <row r="362">
      <c r="F362" s="22"/>
      <c r="K362" s="23"/>
    </row>
    <row r="363">
      <c r="F363" s="22"/>
      <c r="K363" s="23"/>
    </row>
    <row r="364">
      <c r="F364" s="22"/>
      <c r="K364" s="23"/>
    </row>
    <row r="365">
      <c r="F365" s="22"/>
      <c r="K365" s="23"/>
    </row>
    <row r="366">
      <c r="F366" s="22"/>
      <c r="K366" s="23"/>
    </row>
    <row r="367">
      <c r="F367" s="22"/>
      <c r="K367" s="23"/>
    </row>
    <row r="368">
      <c r="F368" s="22"/>
      <c r="K368" s="23"/>
    </row>
    <row r="369">
      <c r="F369" s="22"/>
      <c r="K369" s="23"/>
    </row>
    <row r="370">
      <c r="F370" s="22"/>
      <c r="K370" s="23"/>
    </row>
    <row r="371">
      <c r="F371" s="22"/>
      <c r="K371" s="23"/>
    </row>
    <row r="372">
      <c r="F372" s="22"/>
      <c r="K372" s="23"/>
    </row>
    <row r="373">
      <c r="F373" s="22"/>
      <c r="K373" s="23"/>
    </row>
    <row r="374">
      <c r="F374" s="22"/>
      <c r="K374" s="23"/>
    </row>
    <row r="375">
      <c r="F375" s="22"/>
      <c r="K375" s="23"/>
    </row>
    <row r="376">
      <c r="F376" s="22"/>
      <c r="K376" s="23"/>
    </row>
    <row r="377">
      <c r="F377" s="22"/>
      <c r="K377" s="23"/>
    </row>
    <row r="378">
      <c r="F378" s="22"/>
      <c r="K378" s="23"/>
    </row>
    <row r="379">
      <c r="F379" s="22"/>
      <c r="K379" s="23"/>
    </row>
    <row r="380">
      <c r="F380" s="22"/>
      <c r="K380" s="23"/>
    </row>
    <row r="381">
      <c r="F381" s="22"/>
      <c r="K381" s="23"/>
    </row>
    <row r="382">
      <c r="F382" s="22"/>
      <c r="K382" s="23"/>
    </row>
    <row r="383">
      <c r="F383" s="22"/>
      <c r="K383" s="23"/>
    </row>
    <row r="384">
      <c r="F384" s="22"/>
      <c r="K384" s="23"/>
    </row>
    <row r="385">
      <c r="F385" s="22"/>
      <c r="K385" s="23"/>
    </row>
    <row r="386">
      <c r="F386" s="22"/>
      <c r="K386" s="23"/>
    </row>
    <row r="387">
      <c r="F387" s="22"/>
      <c r="K387" s="23"/>
    </row>
    <row r="388">
      <c r="F388" s="22"/>
      <c r="K388" s="23"/>
    </row>
    <row r="389">
      <c r="F389" s="22"/>
      <c r="K389" s="23"/>
    </row>
    <row r="390">
      <c r="F390" s="22"/>
      <c r="K390" s="23"/>
    </row>
    <row r="391">
      <c r="F391" s="22"/>
      <c r="K391" s="23"/>
    </row>
    <row r="392">
      <c r="F392" s="22"/>
      <c r="K392" s="23"/>
    </row>
    <row r="393">
      <c r="F393" s="22"/>
      <c r="K393" s="23"/>
    </row>
    <row r="394">
      <c r="F394" s="22"/>
      <c r="K394" s="23"/>
    </row>
    <row r="395">
      <c r="F395" s="22"/>
      <c r="K395" s="23"/>
    </row>
    <row r="396">
      <c r="F396" s="22"/>
      <c r="K396" s="23"/>
    </row>
    <row r="397">
      <c r="F397" s="22"/>
      <c r="K397" s="23"/>
    </row>
    <row r="398">
      <c r="F398" s="22"/>
      <c r="K398" s="23"/>
    </row>
    <row r="399">
      <c r="F399" s="22"/>
      <c r="K399" s="23"/>
    </row>
    <row r="400">
      <c r="F400" s="22"/>
      <c r="K400" s="23"/>
    </row>
    <row r="401">
      <c r="F401" s="22"/>
      <c r="K401" s="23"/>
    </row>
    <row r="402">
      <c r="F402" s="22"/>
      <c r="K402" s="23"/>
    </row>
    <row r="403">
      <c r="F403" s="22"/>
      <c r="K403" s="23"/>
    </row>
    <row r="404">
      <c r="F404" s="22"/>
      <c r="K404" s="23"/>
    </row>
    <row r="405">
      <c r="F405" s="22"/>
      <c r="K405" s="23"/>
    </row>
    <row r="406">
      <c r="F406" s="22"/>
      <c r="K406" s="23"/>
    </row>
    <row r="407">
      <c r="F407" s="22"/>
      <c r="K407" s="23"/>
    </row>
    <row r="408">
      <c r="F408" s="22"/>
      <c r="K408" s="23"/>
    </row>
    <row r="409">
      <c r="F409" s="22"/>
      <c r="K409" s="23"/>
    </row>
    <row r="410">
      <c r="F410" s="22"/>
      <c r="K410" s="23"/>
    </row>
    <row r="411">
      <c r="F411" s="22"/>
      <c r="K411" s="23"/>
    </row>
    <row r="412">
      <c r="F412" s="22"/>
      <c r="K412" s="23"/>
    </row>
    <row r="413">
      <c r="F413" s="22"/>
      <c r="K413" s="23"/>
    </row>
    <row r="414">
      <c r="F414" s="22"/>
      <c r="K414" s="23"/>
    </row>
    <row r="415">
      <c r="F415" s="22"/>
      <c r="K415" s="23"/>
    </row>
    <row r="416">
      <c r="F416" s="22"/>
      <c r="K416" s="23"/>
    </row>
    <row r="417">
      <c r="F417" s="22"/>
      <c r="K417" s="23"/>
    </row>
    <row r="418">
      <c r="F418" s="22"/>
      <c r="K418" s="23"/>
    </row>
    <row r="419">
      <c r="F419" s="22"/>
      <c r="K419" s="23"/>
    </row>
    <row r="420">
      <c r="F420" s="22"/>
      <c r="K420" s="23"/>
    </row>
    <row r="421">
      <c r="F421" s="22"/>
      <c r="K421" s="23"/>
    </row>
    <row r="422">
      <c r="F422" s="22"/>
      <c r="K422" s="23"/>
    </row>
    <row r="423">
      <c r="F423" s="22"/>
      <c r="K423" s="23"/>
    </row>
    <row r="424">
      <c r="F424" s="22"/>
      <c r="K424" s="23"/>
    </row>
    <row r="425">
      <c r="F425" s="22"/>
      <c r="K425" s="23"/>
    </row>
    <row r="426">
      <c r="F426" s="22"/>
      <c r="K426" s="23"/>
    </row>
    <row r="427">
      <c r="F427" s="22"/>
      <c r="K427" s="23"/>
    </row>
    <row r="428">
      <c r="F428" s="22"/>
      <c r="K428" s="23"/>
    </row>
    <row r="429">
      <c r="F429" s="22"/>
      <c r="K429" s="23"/>
    </row>
    <row r="430">
      <c r="F430" s="22"/>
      <c r="K430" s="23"/>
    </row>
    <row r="431">
      <c r="F431" s="22"/>
      <c r="K431" s="23"/>
    </row>
    <row r="432">
      <c r="F432" s="22"/>
      <c r="K432" s="23"/>
    </row>
    <row r="433">
      <c r="F433" s="22"/>
      <c r="K433" s="23"/>
    </row>
    <row r="434">
      <c r="F434" s="22"/>
      <c r="K434" s="23"/>
    </row>
    <row r="435">
      <c r="F435" s="22"/>
      <c r="K435" s="23"/>
    </row>
    <row r="436">
      <c r="F436" s="22"/>
      <c r="K436" s="23"/>
    </row>
    <row r="437">
      <c r="F437" s="22"/>
      <c r="K437" s="23"/>
    </row>
    <row r="438">
      <c r="F438" s="22"/>
      <c r="K438" s="23"/>
    </row>
    <row r="439">
      <c r="F439" s="22"/>
      <c r="K439" s="23"/>
    </row>
    <row r="440">
      <c r="F440" s="22"/>
      <c r="K440" s="23"/>
    </row>
    <row r="441">
      <c r="F441" s="22"/>
      <c r="K441" s="23"/>
    </row>
    <row r="442">
      <c r="F442" s="22"/>
      <c r="K442" s="23"/>
    </row>
    <row r="443">
      <c r="F443" s="22"/>
      <c r="K443" s="23"/>
    </row>
    <row r="444">
      <c r="F444" s="22"/>
      <c r="K444" s="23"/>
    </row>
    <row r="445">
      <c r="F445" s="22"/>
      <c r="K445" s="23"/>
    </row>
    <row r="446">
      <c r="F446" s="22"/>
      <c r="K446" s="23"/>
    </row>
    <row r="447">
      <c r="F447" s="22"/>
      <c r="K447" s="23"/>
    </row>
    <row r="448">
      <c r="F448" s="22"/>
      <c r="K448" s="23"/>
    </row>
    <row r="449">
      <c r="F449" s="22"/>
      <c r="K449" s="23"/>
    </row>
    <row r="450">
      <c r="F450" s="22"/>
      <c r="K450" s="23"/>
    </row>
    <row r="451">
      <c r="F451" s="22"/>
      <c r="K451" s="23"/>
    </row>
    <row r="452">
      <c r="F452" s="22"/>
      <c r="K452" s="23"/>
    </row>
    <row r="453">
      <c r="F453" s="22"/>
      <c r="K453" s="23"/>
    </row>
    <row r="454">
      <c r="F454" s="22"/>
      <c r="K454" s="23"/>
    </row>
    <row r="455">
      <c r="F455" s="22"/>
      <c r="K455" s="23"/>
    </row>
    <row r="456">
      <c r="F456" s="22"/>
      <c r="K456" s="23"/>
    </row>
    <row r="457">
      <c r="F457" s="22"/>
      <c r="K457" s="23"/>
    </row>
    <row r="458">
      <c r="F458" s="22"/>
      <c r="K458" s="23"/>
    </row>
    <row r="459">
      <c r="F459" s="22"/>
      <c r="K459" s="23"/>
    </row>
    <row r="460">
      <c r="F460" s="22"/>
      <c r="K460" s="23"/>
    </row>
    <row r="461">
      <c r="F461" s="22"/>
      <c r="K461" s="23"/>
    </row>
    <row r="462">
      <c r="F462" s="22"/>
      <c r="K462" s="23"/>
    </row>
    <row r="463">
      <c r="F463" s="22"/>
      <c r="K463" s="23"/>
    </row>
    <row r="464">
      <c r="F464" s="22"/>
      <c r="K464" s="23"/>
    </row>
    <row r="465">
      <c r="F465" s="22"/>
      <c r="K465" s="23"/>
    </row>
    <row r="466">
      <c r="F466" s="22"/>
      <c r="K466" s="23"/>
    </row>
    <row r="467">
      <c r="F467" s="22"/>
      <c r="K467" s="23"/>
    </row>
    <row r="468">
      <c r="F468" s="22"/>
      <c r="K468" s="23"/>
    </row>
    <row r="469">
      <c r="F469" s="22"/>
      <c r="K469" s="23"/>
    </row>
    <row r="470">
      <c r="F470" s="22"/>
      <c r="K470" s="23"/>
    </row>
    <row r="471">
      <c r="F471" s="22"/>
      <c r="K471" s="23"/>
    </row>
    <row r="472">
      <c r="F472" s="22"/>
      <c r="K472" s="23"/>
    </row>
    <row r="473">
      <c r="F473" s="22"/>
      <c r="K473" s="23"/>
    </row>
    <row r="474">
      <c r="F474" s="22"/>
      <c r="K474" s="23"/>
    </row>
    <row r="475">
      <c r="F475" s="22"/>
      <c r="K475" s="23"/>
    </row>
    <row r="476">
      <c r="F476" s="22"/>
      <c r="K476" s="23"/>
    </row>
    <row r="477">
      <c r="F477" s="22"/>
      <c r="K477" s="23"/>
    </row>
    <row r="478">
      <c r="F478" s="22"/>
      <c r="K478" s="23"/>
    </row>
    <row r="479">
      <c r="F479" s="22"/>
      <c r="K479" s="23"/>
    </row>
    <row r="480">
      <c r="F480" s="22"/>
      <c r="K480" s="23"/>
    </row>
    <row r="481">
      <c r="F481" s="22"/>
      <c r="K481" s="23"/>
    </row>
    <row r="482">
      <c r="F482" s="22"/>
      <c r="K482" s="23"/>
    </row>
    <row r="483">
      <c r="F483" s="22"/>
      <c r="K483" s="23"/>
    </row>
    <row r="484">
      <c r="F484" s="22"/>
      <c r="K484" s="23"/>
    </row>
    <row r="485">
      <c r="F485" s="22"/>
      <c r="K485" s="23"/>
    </row>
    <row r="486">
      <c r="F486" s="22"/>
      <c r="K486" s="23"/>
    </row>
    <row r="487">
      <c r="F487" s="22"/>
      <c r="K487" s="23"/>
    </row>
    <row r="488">
      <c r="F488" s="22"/>
      <c r="K488" s="23"/>
    </row>
    <row r="489">
      <c r="F489" s="22"/>
      <c r="K489" s="23"/>
    </row>
    <row r="490">
      <c r="F490" s="22"/>
      <c r="K490" s="23"/>
    </row>
    <row r="491">
      <c r="F491" s="22"/>
      <c r="K491" s="23"/>
    </row>
    <row r="492">
      <c r="F492" s="22"/>
      <c r="K492" s="23"/>
    </row>
    <row r="493">
      <c r="F493" s="22"/>
      <c r="K493" s="23"/>
    </row>
    <row r="494">
      <c r="F494" s="22"/>
      <c r="K494" s="23"/>
    </row>
    <row r="495">
      <c r="F495" s="22"/>
      <c r="K495" s="23"/>
    </row>
    <row r="496">
      <c r="F496" s="22"/>
      <c r="K496" s="23"/>
    </row>
    <row r="497">
      <c r="F497" s="22"/>
      <c r="K497" s="23"/>
    </row>
    <row r="498">
      <c r="F498" s="22"/>
      <c r="K498" s="23"/>
    </row>
    <row r="499">
      <c r="F499" s="22"/>
      <c r="K499" s="23"/>
    </row>
    <row r="500">
      <c r="F500" s="22"/>
      <c r="K500" s="23"/>
    </row>
    <row r="501">
      <c r="F501" s="22"/>
      <c r="K501" s="23"/>
    </row>
    <row r="502">
      <c r="F502" s="22"/>
      <c r="K502" s="23"/>
    </row>
    <row r="503">
      <c r="F503" s="22"/>
      <c r="K503" s="23"/>
    </row>
    <row r="504">
      <c r="F504" s="22"/>
      <c r="K504" s="23"/>
    </row>
    <row r="505">
      <c r="F505" s="22"/>
      <c r="K505" s="23"/>
    </row>
    <row r="506">
      <c r="F506" s="22"/>
      <c r="K506" s="23"/>
    </row>
    <row r="507">
      <c r="F507" s="22"/>
      <c r="K507" s="23"/>
    </row>
    <row r="508">
      <c r="F508" s="22"/>
      <c r="K508" s="23"/>
    </row>
    <row r="509">
      <c r="F509" s="22"/>
      <c r="K509" s="23"/>
    </row>
    <row r="510">
      <c r="F510" s="22"/>
      <c r="K510" s="23"/>
    </row>
    <row r="511">
      <c r="F511" s="22"/>
      <c r="K511" s="23"/>
    </row>
    <row r="512">
      <c r="F512" s="22"/>
      <c r="K512" s="23"/>
    </row>
    <row r="513">
      <c r="F513" s="22"/>
      <c r="K513" s="23"/>
    </row>
    <row r="514">
      <c r="F514" s="22"/>
      <c r="K514" s="23"/>
    </row>
    <row r="515">
      <c r="F515" s="22"/>
      <c r="K515" s="23"/>
    </row>
    <row r="516">
      <c r="F516" s="22"/>
      <c r="K516" s="23"/>
    </row>
    <row r="517">
      <c r="F517" s="22"/>
      <c r="K517" s="23"/>
    </row>
    <row r="518">
      <c r="F518" s="22"/>
      <c r="K518" s="23"/>
    </row>
    <row r="519">
      <c r="F519" s="22"/>
      <c r="K519" s="23"/>
    </row>
    <row r="520">
      <c r="F520" s="22"/>
      <c r="K520" s="23"/>
    </row>
    <row r="521">
      <c r="F521" s="22"/>
      <c r="K521" s="23"/>
    </row>
    <row r="522">
      <c r="F522" s="22"/>
      <c r="K522" s="23"/>
    </row>
    <row r="523">
      <c r="F523" s="22"/>
      <c r="K523" s="23"/>
    </row>
    <row r="524">
      <c r="F524" s="22"/>
      <c r="K524" s="23"/>
    </row>
    <row r="525">
      <c r="F525" s="22"/>
      <c r="K525" s="23"/>
    </row>
    <row r="526">
      <c r="F526" s="22"/>
      <c r="K526" s="23"/>
    </row>
    <row r="527">
      <c r="F527" s="22"/>
      <c r="K527" s="23"/>
    </row>
    <row r="528">
      <c r="F528" s="22"/>
      <c r="K528" s="23"/>
    </row>
    <row r="529">
      <c r="F529" s="22"/>
      <c r="K529" s="23"/>
    </row>
    <row r="530">
      <c r="F530" s="22"/>
      <c r="K530" s="23"/>
    </row>
    <row r="531">
      <c r="F531" s="22"/>
      <c r="K531" s="23"/>
    </row>
    <row r="532">
      <c r="F532" s="22"/>
      <c r="K532" s="23"/>
    </row>
    <row r="533">
      <c r="F533" s="22"/>
      <c r="K533" s="23"/>
    </row>
    <row r="534">
      <c r="F534" s="22"/>
      <c r="K534" s="23"/>
    </row>
    <row r="535">
      <c r="F535" s="22"/>
      <c r="K535" s="23"/>
    </row>
    <row r="536">
      <c r="F536" s="22"/>
      <c r="K536" s="23"/>
    </row>
    <row r="537">
      <c r="F537" s="22"/>
      <c r="K537" s="23"/>
    </row>
    <row r="538">
      <c r="F538" s="22"/>
      <c r="K538" s="23"/>
    </row>
    <row r="539">
      <c r="F539" s="22"/>
      <c r="K539" s="23"/>
    </row>
    <row r="540">
      <c r="F540" s="22"/>
      <c r="K540" s="23"/>
    </row>
    <row r="541">
      <c r="F541" s="22"/>
      <c r="K541" s="23"/>
    </row>
    <row r="542">
      <c r="F542" s="22"/>
      <c r="K542" s="23"/>
    </row>
    <row r="543">
      <c r="F543" s="22"/>
      <c r="K543" s="23"/>
    </row>
    <row r="544">
      <c r="F544" s="22"/>
      <c r="K544" s="23"/>
    </row>
    <row r="545">
      <c r="F545" s="22"/>
      <c r="K545" s="23"/>
    </row>
    <row r="546">
      <c r="F546" s="22"/>
      <c r="K546" s="23"/>
    </row>
    <row r="547">
      <c r="F547" s="22"/>
      <c r="K547" s="23"/>
    </row>
    <row r="548">
      <c r="F548" s="22"/>
      <c r="K548" s="23"/>
    </row>
    <row r="549">
      <c r="F549" s="22"/>
      <c r="K549" s="23"/>
    </row>
    <row r="550">
      <c r="F550" s="22"/>
      <c r="K550" s="23"/>
    </row>
    <row r="551">
      <c r="F551" s="22"/>
      <c r="K551" s="23"/>
    </row>
    <row r="552">
      <c r="F552" s="22"/>
      <c r="K552" s="23"/>
    </row>
    <row r="553">
      <c r="F553" s="22"/>
      <c r="K553" s="23"/>
    </row>
    <row r="554">
      <c r="F554" s="22"/>
      <c r="K554" s="23"/>
    </row>
    <row r="555">
      <c r="F555" s="22"/>
      <c r="K555" s="23"/>
    </row>
    <row r="556">
      <c r="F556" s="22"/>
      <c r="K556" s="23"/>
    </row>
    <row r="557">
      <c r="F557" s="22"/>
      <c r="K557" s="23"/>
    </row>
    <row r="558">
      <c r="F558" s="22"/>
      <c r="K558" s="23"/>
    </row>
    <row r="559">
      <c r="F559" s="22"/>
      <c r="K559" s="23"/>
    </row>
    <row r="560">
      <c r="F560" s="22"/>
      <c r="K560" s="23"/>
    </row>
    <row r="561">
      <c r="F561" s="22"/>
      <c r="K561" s="23"/>
    </row>
    <row r="562">
      <c r="F562" s="22"/>
      <c r="K562" s="23"/>
    </row>
    <row r="563">
      <c r="F563" s="22"/>
      <c r="K563" s="23"/>
    </row>
    <row r="564">
      <c r="F564" s="22"/>
      <c r="K564" s="23"/>
    </row>
    <row r="565">
      <c r="F565" s="22"/>
      <c r="K565" s="23"/>
    </row>
    <row r="566">
      <c r="F566" s="22"/>
      <c r="K566" s="23"/>
    </row>
    <row r="567">
      <c r="F567" s="22"/>
      <c r="K567" s="23"/>
    </row>
    <row r="568">
      <c r="F568" s="22"/>
      <c r="K568" s="23"/>
    </row>
    <row r="569">
      <c r="F569" s="22"/>
      <c r="K569" s="23"/>
    </row>
    <row r="570">
      <c r="F570" s="22"/>
      <c r="K570" s="23"/>
    </row>
    <row r="571">
      <c r="F571" s="22"/>
      <c r="K571" s="23"/>
    </row>
    <row r="572">
      <c r="F572" s="22"/>
      <c r="K572" s="23"/>
    </row>
    <row r="573">
      <c r="F573" s="22"/>
      <c r="K573" s="23"/>
    </row>
    <row r="574">
      <c r="F574" s="22"/>
      <c r="K574" s="23"/>
    </row>
    <row r="575">
      <c r="F575" s="22"/>
      <c r="K575" s="23"/>
    </row>
    <row r="576">
      <c r="F576" s="22"/>
      <c r="K576" s="23"/>
    </row>
    <row r="577">
      <c r="F577" s="22"/>
      <c r="K577" s="23"/>
    </row>
    <row r="578">
      <c r="F578" s="22"/>
      <c r="K578" s="23"/>
    </row>
    <row r="579">
      <c r="F579" s="22"/>
      <c r="K579" s="23"/>
    </row>
    <row r="580">
      <c r="F580" s="22"/>
      <c r="K580" s="23"/>
    </row>
    <row r="581">
      <c r="F581" s="22"/>
      <c r="K581" s="23"/>
    </row>
    <row r="582">
      <c r="F582" s="22"/>
      <c r="K582" s="23"/>
    </row>
    <row r="583">
      <c r="F583" s="22"/>
      <c r="K583" s="23"/>
    </row>
    <row r="584">
      <c r="F584" s="22"/>
      <c r="K584" s="23"/>
    </row>
    <row r="585">
      <c r="F585" s="22"/>
      <c r="K585" s="23"/>
    </row>
    <row r="586">
      <c r="F586" s="22"/>
      <c r="K586" s="23"/>
    </row>
    <row r="587">
      <c r="F587" s="22"/>
      <c r="K587" s="23"/>
    </row>
    <row r="588">
      <c r="F588" s="22"/>
      <c r="K588" s="23"/>
    </row>
    <row r="589">
      <c r="F589" s="22"/>
      <c r="K589" s="23"/>
    </row>
    <row r="590">
      <c r="F590" s="22"/>
      <c r="K590" s="23"/>
    </row>
    <row r="591">
      <c r="F591" s="22"/>
      <c r="K591" s="23"/>
    </row>
    <row r="592">
      <c r="F592" s="22"/>
      <c r="K592" s="23"/>
    </row>
    <row r="593">
      <c r="F593" s="22"/>
      <c r="K593" s="23"/>
    </row>
    <row r="594">
      <c r="F594" s="22"/>
      <c r="K594" s="23"/>
    </row>
    <row r="595">
      <c r="F595" s="22"/>
      <c r="K595" s="23"/>
    </row>
    <row r="596">
      <c r="F596" s="22"/>
      <c r="K596" s="23"/>
    </row>
    <row r="597">
      <c r="F597" s="22"/>
      <c r="K597" s="23"/>
    </row>
    <row r="598">
      <c r="F598" s="22"/>
      <c r="K598" s="23"/>
    </row>
    <row r="599">
      <c r="F599" s="22"/>
      <c r="K599" s="23"/>
    </row>
    <row r="600">
      <c r="F600" s="22"/>
      <c r="K600" s="23"/>
    </row>
    <row r="601">
      <c r="F601" s="22"/>
      <c r="K601" s="23"/>
    </row>
    <row r="602">
      <c r="F602" s="22"/>
      <c r="K602" s="23"/>
    </row>
    <row r="603">
      <c r="F603" s="22"/>
      <c r="K603" s="23"/>
    </row>
    <row r="604">
      <c r="F604" s="22"/>
      <c r="K604" s="23"/>
    </row>
    <row r="605">
      <c r="F605" s="22"/>
      <c r="K605" s="23"/>
    </row>
    <row r="606">
      <c r="F606" s="22"/>
      <c r="K606" s="23"/>
    </row>
    <row r="607">
      <c r="F607" s="22"/>
      <c r="K607" s="23"/>
    </row>
    <row r="608">
      <c r="F608" s="22"/>
      <c r="K608" s="23"/>
    </row>
    <row r="609">
      <c r="F609" s="22"/>
      <c r="K609" s="23"/>
    </row>
    <row r="610">
      <c r="F610" s="22"/>
      <c r="K610" s="23"/>
    </row>
    <row r="611">
      <c r="F611" s="22"/>
      <c r="K611" s="23"/>
    </row>
    <row r="612">
      <c r="F612" s="22"/>
      <c r="K612" s="23"/>
    </row>
    <row r="613">
      <c r="F613" s="22"/>
      <c r="K613" s="23"/>
    </row>
    <row r="614">
      <c r="F614" s="22"/>
      <c r="K614" s="23"/>
    </row>
    <row r="615">
      <c r="F615" s="22"/>
      <c r="K615" s="23"/>
    </row>
    <row r="616">
      <c r="F616" s="22"/>
      <c r="K616" s="23"/>
    </row>
    <row r="617">
      <c r="F617" s="22"/>
      <c r="K617" s="23"/>
    </row>
    <row r="618">
      <c r="F618" s="22"/>
      <c r="K618" s="23"/>
    </row>
    <row r="619">
      <c r="F619" s="22"/>
      <c r="K619" s="23"/>
    </row>
    <row r="620">
      <c r="F620" s="22"/>
      <c r="K620" s="23"/>
    </row>
    <row r="621">
      <c r="F621" s="22"/>
      <c r="K621" s="23"/>
    </row>
    <row r="622">
      <c r="F622" s="22"/>
      <c r="K622" s="23"/>
    </row>
    <row r="623">
      <c r="F623" s="22"/>
      <c r="K623" s="23"/>
    </row>
    <row r="624">
      <c r="F624" s="22"/>
      <c r="K624" s="23"/>
    </row>
    <row r="625">
      <c r="F625" s="22"/>
      <c r="K625" s="23"/>
    </row>
    <row r="626">
      <c r="F626" s="22"/>
      <c r="K626" s="23"/>
    </row>
    <row r="627">
      <c r="F627" s="22"/>
      <c r="K627" s="23"/>
    </row>
    <row r="628">
      <c r="F628" s="22"/>
      <c r="K628" s="23"/>
    </row>
    <row r="629">
      <c r="F629" s="22"/>
      <c r="K629" s="23"/>
    </row>
    <row r="630">
      <c r="F630" s="22"/>
      <c r="K630" s="23"/>
    </row>
    <row r="631">
      <c r="F631" s="22"/>
      <c r="K631" s="23"/>
    </row>
    <row r="632">
      <c r="F632" s="22"/>
      <c r="K632" s="23"/>
    </row>
    <row r="633">
      <c r="F633" s="22"/>
      <c r="K633" s="23"/>
    </row>
    <row r="634">
      <c r="F634" s="22"/>
      <c r="K634" s="23"/>
    </row>
    <row r="635">
      <c r="F635" s="22"/>
      <c r="K635" s="23"/>
    </row>
    <row r="636">
      <c r="F636" s="22"/>
      <c r="K636" s="23"/>
    </row>
    <row r="637">
      <c r="F637" s="22"/>
      <c r="K637" s="23"/>
    </row>
    <row r="638">
      <c r="F638" s="22"/>
      <c r="K638" s="23"/>
    </row>
    <row r="639">
      <c r="F639" s="22"/>
      <c r="K639" s="23"/>
    </row>
    <row r="640">
      <c r="F640" s="22"/>
      <c r="K640" s="23"/>
    </row>
    <row r="641">
      <c r="F641" s="22"/>
      <c r="K641" s="23"/>
    </row>
    <row r="642">
      <c r="F642" s="22"/>
      <c r="K642" s="23"/>
    </row>
    <row r="643">
      <c r="F643" s="22"/>
      <c r="K643" s="23"/>
    </row>
    <row r="644">
      <c r="F644" s="22"/>
      <c r="K644" s="23"/>
    </row>
    <row r="645">
      <c r="F645" s="22"/>
      <c r="K645" s="23"/>
    </row>
    <row r="646">
      <c r="F646" s="22"/>
      <c r="K646" s="23"/>
    </row>
    <row r="647">
      <c r="F647" s="22"/>
      <c r="K647" s="23"/>
    </row>
    <row r="648">
      <c r="F648" s="22"/>
      <c r="K648" s="23"/>
    </row>
    <row r="649">
      <c r="F649" s="22"/>
      <c r="K649" s="23"/>
    </row>
    <row r="650">
      <c r="F650" s="22"/>
      <c r="K650" s="23"/>
    </row>
    <row r="651">
      <c r="F651" s="22"/>
      <c r="K651" s="23"/>
    </row>
    <row r="652">
      <c r="F652" s="22"/>
      <c r="K652" s="23"/>
    </row>
    <row r="653">
      <c r="F653" s="22"/>
      <c r="K653" s="23"/>
    </row>
    <row r="654">
      <c r="F654" s="22"/>
      <c r="K654" s="23"/>
    </row>
    <row r="655">
      <c r="F655" s="22"/>
      <c r="K655" s="23"/>
    </row>
    <row r="656">
      <c r="F656" s="22"/>
      <c r="K656" s="23"/>
    </row>
    <row r="657">
      <c r="F657" s="22"/>
      <c r="K657" s="23"/>
    </row>
    <row r="658">
      <c r="F658" s="22"/>
      <c r="K658" s="23"/>
    </row>
    <row r="659">
      <c r="F659" s="22"/>
      <c r="K659" s="23"/>
    </row>
    <row r="660">
      <c r="F660" s="22"/>
      <c r="K660" s="23"/>
    </row>
    <row r="661">
      <c r="F661" s="22"/>
      <c r="K661" s="23"/>
    </row>
    <row r="662">
      <c r="F662" s="22"/>
      <c r="K662" s="23"/>
    </row>
    <row r="663">
      <c r="F663" s="22"/>
      <c r="K663" s="23"/>
    </row>
    <row r="664">
      <c r="F664" s="22"/>
      <c r="K664" s="23"/>
    </row>
    <row r="665">
      <c r="F665" s="22"/>
      <c r="K665" s="23"/>
    </row>
    <row r="666">
      <c r="F666" s="22"/>
      <c r="K666" s="23"/>
    </row>
    <row r="667">
      <c r="F667" s="22"/>
      <c r="K667" s="23"/>
    </row>
    <row r="668">
      <c r="F668" s="22"/>
      <c r="K668" s="23"/>
    </row>
    <row r="669">
      <c r="F669" s="22"/>
      <c r="K669" s="23"/>
    </row>
    <row r="670">
      <c r="F670" s="22"/>
      <c r="K670" s="23"/>
    </row>
    <row r="671">
      <c r="F671" s="22"/>
      <c r="K671" s="23"/>
    </row>
    <row r="672">
      <c r="F672" s="22"/>
      <c r="K672" s="23"/>
    </row>
    <row r="673">
      <c r="F673" s="22"/>
      <c r="K673" s="23"/>
    </row>
    <row r="674">
      <c r="F674" s="22"/>
      <c r="K674" s="23"/>
    </row>
    <row r="675">
      <c r="F675" s="22"/>
      <c r="K675" s="23"/>
    </row>
    <row r="676">
      <c r="F676" s="22"/>
      <c r="K676" s="23"/>
    </row>
    <row r="677">
      <c r="F677" s="22"/>
      <c r="K677" s="23"/>
    </row>
    <row r="678">
      <c r="F678" s="22"/>
      <c r="K678" s="23"/>
    </row>
    <row r="679">
      <c r="F679" s="22"/>
      <c r="K679" s="23"/>
    </row>
    <row r="680">
      <c r="F680" s="22"/>
      <c r="K680" s="23"/>
    </row>
    <row r="681">
      <c r="F681" s="22"/>
      <c r="K681" s="23"/>
    </row>
    <row r="682">
      <c r="F682" s="22"/>
      <c r="K682" s="23"/>
    </row>
    <row r="683">
      <c r="F683" s="22"/>
      <c r="K683" s="23"/>
    </row>
    <row r="684">
      <c r="F684" s="22"/>
      <c r="K684" s="23"/>
    </row>
    <row r="685">
      <c r="F685" s="22"/>
      <c r="K685" s="23"/>
    </row>
    <row r="686">
      <c r="F686" s="22"/>
      <c r="K686" s="23"/>
    </row>
    <row r="687">
      <c r="F687" s="22"/>
      <c r="K687" s="23"/>
    </row>
    <row r="688">
      <c r="F688" s="22"/>
      <c r="K688" s="23"/>
    </row>
    <row r="689">
      <c r="F689" s="22"/>
      <c r="K689" s="23"/>
    </row>
    <row r="690">
      <c r="F690" s="22"/>
      <c r="K690" s="23"/>
    </row>
    <row r="691">
      <c r="F691" s="22"/>
      <c r="K691" s="23"/>
    </row>
    <row r="692">
      <c r="F692" s="22"/>
      <c r="K692" s="23"/>
    </row>
    <row r="693">
      <c r="F693" s="22"/>
      <c r="K693" s="23"/>
    </row>
    <row r="694">
      <c r="F694" s="22"/>
      <c r="K694" s="23"/>
    </row>
    <row r="695">
      <c r="F695" s="22"/>
      <c r="K695" s="23"/>
    </row>
    <row r="696">
      <c r="F696" s="22"/>
      <c r="K696" s="23"/>
    </row>
    <row r="697">
      <c r="F697" s="22"/>
      <c r="K697" s="23"/>
    </row>
    <row r="698">
      <c r="F698" s="22"/>
      <c r="K698" s="23"/>
    </row>
    <row r="699">
      <c r="F699" s="22"/>
      <c r="K699" s="23"/>
    </row>
    <row r="700">
      <c r="F700" s="22"/>
      <c r="K700" s="23"/>
    </row>
    <row r="701">
      <c r="F701" s="22"/>
      <c r="K701" s="23"/>
    </row>
    <row r="702">
      <c r="F702" s="22"/>
      <c r="K702" s="23"/>
    </row>
    <row r="703">
      <c r="F703" s="22"/>
      <c r="K703" s="23"/>
    </row>
    <row r="704">
      <c r="F704" s="22"/>
      <c r="K704" s="23"/>
    </row>
    <row r="705">
      <c r="F705" s="22"/>
      <c r="K705" s="23"/>
    </row>
    <row r="706">
      <c r="F706" s="22"/>
      <c r="K706" s="23"/>
    </row>
    <row r="707">
      <c r="F707" s="22"/>
      <c r="K707" s="23"/>
    </row>
    <row r="708">
      <c r="F708" s="22"/>
      <c r="K708" s="23"/>
    </row>
    <row r="709">
      <c r="F709" s="22"/>
      <c r="K709" s="23"/>
    </row>
    <row r="710">
      <c r="F710" s="22"/>
      <c r="K710" s="23"/>
    </row>
    <row r="711">
      <c r="F711" s="22"/>
      <c r="K711" s="23"/>
    </row>
    <row r="712">
      <c r="F712" s="22"/>
      <c r="K712" s="23"/>
    </row>
    <row r="713">
      <c r="F713" s="22"/>
      <c r="K713" s="23"/>
    </row>
    <row r="714">
      <c r="F714" s="22"/>
      <c r="K714" s="23"/>
    </row>
    <row r="715">
      <c r="F715" s="22"/>
      <c r="K715" s="23"/>
    </row>
    <row r="716">
      <c r="F716" s="22"/>
      <c r="K716" s="23"/>
    </row>
    <row r="717">
      <c r="F717" s="22"/>
      <c r="K717" s="23"/>
    </row>
    <row r="718">
      <c r="F718" s="22"/>
      <c r="K718" s="23"/>
    </row>
    <row r="719">
      <c r="F719" s="22"/>
      <c r="K719" s="23"/>
    </row>
    <row r="720">
      <c r="F720" s="22"/>
      <c r="K720" s="23"/>
    </row>
    <row r="721">
      <c r="F721" s="22"/>
      <c r="K721" s="23"/>
    </row>
    <row r="722">
      <c r="F722" s="22"/>
      <c r="K722" s="23"/>
    </row>
    <row r="723">
      <c r="F723" s="22"/>
      <c r="K723" s="23"/>
    </row>
    <row r="724">
      <c r="F724" s="22"/>
      <c r="K724" s="23"/>
    </row>
    <row r="725">
      <c r="F725" s="22"/>
      <c r="K725" s="23"/>
    </row>
    <row r="726">
      <c r="F726" s="22"/>
      <c r="K726" s="23"/>
    </row>
    <row r="727">
      <c r="F727" s="22"/>
      <c r="K727" s="23"/>
    </row>
    <row r="728">
      <c r="F728" s="22"/>
      <c r="K728" s="23"/>
    </row>
    <row r="729">
      <c r="F729" s="22"/>
      <c r="K729" s="23"/>
    </row>
    <row r="730">
      <c r="F730" s="22"/>
      <c r="K730" s="23"/>
    </row>
    <row r="731">
      <c r="F731" s="22"/>
      <c r="K731" s="23"/>
    </row>
    <row r="732">
      <c r="F732" s="22"/>
      <c r="K732" s="23"/>
    </row>
    <row r="733">
      <c r="F733" s="22"/>
      <c r="K733" s="23"/>
    </row>
    <row r="734">
      <c r="F734" s="22"/>
      <c r="K734" s="23"/>
    </row>
    <row r="735">
      <c r="F735" s="22"/>
      <c r="K735" s="23"/>
    </row>
    <row r="736">
      <c r="F736" s="22"/>
      <c r="K736" s="23"/>
    </row>
    <row r="737">
      <c r="F737" s="22"/>
      <c r="K737" s="23"/>
    </row>
    <row r="738">
      <c r="F738" s="22"/>
      <c r="K738" s="23"/>
    </row>
    <row r="739">
      <c r="F739" s="22"/>
      <c r="K739" s="23"/>
    </row>
    <row r="740">
      <c r="F740" s="22"/>
      <c r="K740" s="23"/>
    </row>
    <row r="741">
      <c r="F741" s="22"/>
      <c r="K741" s="23"/>
    </row>
    <row r="742">
      <c r="F742" s="22"/>
      <c r="K742" s="23"/>
    </row>
    <row r="743">
      <c r="F743" s="22"/>
      <c r="K743" s="23"/>
    </row>
    <row r="744">
      <c r="F744" s="22"/>
      <c r="K744" s="23"/>
    </row>
    <row r="745">
      <c r="F745" s="22"/>
      <c r="K745" s="23"/>
    </row>
    <row r="746">
      <c r="F746" s="22"/>
      <c r="K746" s="23"/>
    </row>
    <row r="747">
      <c r="F747" s="22"/>
      <c r="K747" s="23"/>
    </row>
    <row r="748">
      <c r="F748" s="22"/>
      <c r="K748" s="23"/>
    </row>
    <row r="749">
      <c r="F749" s="22"/>
      <c r="K749" s="23"/>
    </row>
    <row r="750">
      <c r="F750" s="22"/>
      <c r="K750" s="23"/>
    </row>
    <row r="751">
      <c r="F751" s="22"/>
      <c r="K751" s="23"/>
    </row>
    <row r="752">
      <c r="F752" s="22"/>
      <c r="K752" s="23"/>
    </row>
    <row r="753">
      <c r="F753" s="22"/>
      <c r="K753" s="23"/>
    </row>
    <row r="754">
      <c r="F754" s="22"/>
      <c r="K754" s="23"/>
    </row>
    <row r="755">
      <c r="F755" s="22"/>
      <c r="K755" s="23"/>
    </row>
    <row r="756">
      <c r="F756" s="22"/>
      <c r="K756" s="23"/>
    </row>
    <row r="757">
      <c r="F757" s="22"/>
      <c r="K757" s="23"/>
    </row>
    <row r="758">
      <c r="F758" s="22"/>
      <c r="K758" s="23"/>
    </row>
    <row r="759">
      <c r="F759" s="22"/>
      <c r="K759" s="23"/>
    </row>
    <row r="760">
      <c r="F760" s="22"/>
      <c r="K760" s="23"/>
    </row>
    <row r="761">
      <c r="F761" s="22"/>
      <c r="K761" s="23"/>
    </row>
    <row r="762">
      <c r="F762" s="22"/>
      <c r="K762" s="23"/>
    </row>
    <row r="763">
      <c r="F763" s="22"/>
      <c r="K763" s="23"/>
    </row>
    <row r="764">
      <c r="F764" s="22"/>
      <c r="K764" s="23"/>
    </row>
    <row r="765">
      <c r="F765" s="22"/>
      <c r="K765" s="23"/>
    </row>
    <row r="766">
      <c r="F766" s="22"/>
      <c r="K766" s="23"/>
    </row>
    <row r="767">
      <c r="F767" s="22"/>
      <c r="K767" s="23"/>
    </row>
    <row r="768">
      <c r="F768" s="22"/>
      <c r="K768" s="23"/>
    </row>
    <row r="769">
      <c r="F769" s="22"/>
      <c r="K769" s="23"/>
    </row>
    <row r="770">
      <c r="F770" s="22"/>
      <c r="K770" s="23"/>
    </row>
    <row r="771">
      <c r="F771" s="22"/>
      <c r="K771" s="23"/>
    </row>
    <row r="772">
      <c r="F772" s="22"/>
      <c r="K772" s="23"/>
    </row>
    <row r="773">
      <c r="F773" s="22"/>
      <c r="K773" s="23"/>
    </row>
    <row r="774">
      <c r="F774" s="22"/>
      <c r="K774" s="23"/>
    </row>
    <row r="775">
      <c r="F775" s="22"/>
      <c r="K775" s="23"/>
    </row>
    <row r="776">
      <c r="F776" s="22"/>
      <c r="K776" s="23"/>
    </row>
    <row r="777">
      <c r="F777" s="22"/>
      <c r="K777" s="23"/>
    </row>
    <row r="778">
      <c r="F778" s="22"/>
      <c r="K778" s="23"/>
    </row>
    <row r="779">
      <c r="F779" s="22"/>
      <c r="K779" s="23"/>
    </row>
    <row r="780">
      <c r="F780" s="22"/>
      <c r="K780" s="23"/>
    </row>
    <row r="781">
      <c r="F781" s="22"/>
      <c r="K781" s="23"/>
    </row>
    <row r="782">
      <c r="F782" s="22"/>
      <c r="K782" s="23"/>
    </row>
    <row r="783">
      <c r="F783" s="22"/>
      <c r="K783" s="23"/>
    </row>
    <row r="784">
      <c r="F784" s="22"/>
      <c r="K784" s="23"/>
    </row>
    <row r="785">
      <c r="F785" s="22"/>
      <c r="K785" s="23"/>
    </row>
    <row r="786">
      <c r="F786" s="22"/>
      <c r="K786" s="23"/>
    </row>
    <row r="787">
      <c r="F787" s="22"/>
      <c r="K787" s="23"/>
    </row>
    <row r="788">
      <c r="F788" s="22"/>
      <c r="K788" s="23"/>
    </row>
    <row r="789">
      <c r="F789" s="22"/>
      <c r="K789" s="23"/>
    </row>
    <row r="790">
      <c r="F790" s="22"/>
      <c r="K790" s="23"/>
    </row>
    <row r="791">
      <c r="F791" s="22"/>
      <c r="K791" s="23"/>
    </row>
    <row r="792">
      <c r="F792" s="22"/>
      <c r="K792" s="23"/>
    </row>
    <row r="793">
      <c r="F793" s="22"/>
      <c r="K793" s="23"/>
    </row>
    <row r="794">
      <c r="F794" s="22"/>
      <c r="K794" s="23"/>
    </row>
    <row r="795">
      <c r="F795" s="22"/>
      <c r="K795" s="23"/>
    </row>
    <row r="796">
      <c r="F796" s="22"/>
      <c r="K796" s="23"/>
    </row>
    <row r="797">
      <c r="F797" s="22"/>
      <c r="K797" s="23"/>
    </row>
    <row r="798">
      <c r="F798" s="22"/>
      <c r="K798" s="23"/>
    </row>
    <row r="799">
      <c r="F799" s="22"/>
      <c r="K799" s="23"/>
    </row>
    <row r="800">
      <c r="F800" s="22"/>
      <c r="K800" s="23"/>
    </row>
    <row r="801">
      <c r="F801" s="22"/>
      <c r="K801" s="23"/>
    </row>
    <row r="802">
      <c r="F802" s="22"/>
      <c r="K802" s="23"/>
    </row>
    <row r="803">
      <c r="F803" s="22"/>
      <c r="K803" s="23"/>
    </row>
    <row r="804">
      <c r="F804" s="22"/>
      <c r="K804" s="23"/>
    </row>
    <row r="805">
      <c r="F805" s="22"/>
      <c r="K805" s="23"/>
    </row>
    <row r="806">
      <c r="F806" s="22"/>
      <c r="K806" s="23"/>
    </row>
    <row r="807">
      <c r="F807" s="22"/>
      <c r="K807" s="23"/>
    </row>
    <row r="808">
      <c r="F808" s="22"/>
      <c r="K808" s="23"/>
    </row>
    <row r="809">
      <c r="F809" s="22"/>
      <c r="K809" s="23"/>
    </row>
    <row r="810">
      <c r="F810" s="22"/>
      <c r="K810" s="23"/>
    </row>
    <row r="811">
      <c r="F811" s="22"/>
      <c r="K811" s="23"/>
    </row>
    <row r="812">
      <c r="F812" s="22"/>
      <c r="K812" s="23"/>
    </row>
    <row r="813">
      <c r="F813" s="22"/>
      <c r="K813" s="23"/>
    </row>
    <row r="814">
      <c r="F814" s="22"/>
      <c r="K814" s="23"/>
    </row>
    <row r="815">
      <c r="F815" s="22"/>
      <c r="K815" s="23"/>
    </row>
    <row r="816">
      <c r="F816" s="22"/>
      <c r="K816" s="23"/>
    </row>
    <row r="817">
      <c r="F817" s="22"/>
      <c r="K817" s="23"/>
    </row>
    <row r="818">
      <c r="F818" s="22"/>
      <c r="K818" s="23"/>
    </row>
    <row r="819">
      <c r="F819" s="22"/>
      <c r="K819" s="23"/>
    </row>
    <row r="820">
      <c r="F820" s="22"/>
      <c r="K820" s="23"/>
    </row>
    <row r="821">
      <c r="F821" s="22"/>
      <c r="K821" s="23"/>
    </row>
    <row r="822">
      <c r="F822" s="22"/>
      <c r="K822" s="23"/>
    </row>
    <row r="823">
      <c r="F823" s="22"/>
      <c r="K823" s="23"/>
    </row>
    <row r="824">
      <c r="F824" s="22"/>
      <c r="K824" s="23"/>
    </row>
    <row r="825">
      <c r="F825" s="22"/>
      <c r="K825" s="23"/>
    </row>
    <row r="826">
      <c r="F826" s="22"/>
      <c r="K826" s="23"/>
    </row>
    <row r="827">
      <c r="F827" s="22"/>
      <c r="K827" s="23"/>
    </row>
    <row r="828">
      <c r="F828" s="22"/>
      <c r="K828" s="23"/>
    </row>
    <row r="829">
      <c r="F829" s="22"/>
      <c r="K829" s="23"/>
    </row>
    <row r="830">
      <c r="F830" s="22"/>
      <c r="K830" s="23"/>
    </row>
    <row r="831">
      <c r="F831" s="22"/>
      <c r="K831" s="23"/>
    </row>
    <row r="832">
      <c r="F832" s="22"/>
      <c r="K832" s="23"/>
    </row>
    <row r="833">
      <c r="F833" s="22"/>
      <c r="K833" s="23"/>
    </row>
    <row r="834">
      <c r="F834" s="22"/>
      <c r="K834" s="23"/>
    </row>
    <row r="835">
      <c r="F835" s="22"/>
      <c r="K835" s="23"/>
    </row>
    <row r="836">
      <c r="F836" s="22"/>
      <c r="K836" s="23"/>
    </row>
    <row r="837">
      <c r="F837" s="22"/>
      <c r="K837" s="23"/>
    </row>
    <row r="838">
      <c r="F838" s="22"/>
      <c r="K838" s="23"/>
    </row>
    <row r="839">
      <c r="F839" s="22"/>
      <c r="K839" s="23"/>
    </row>
    <row r="840">
      <c r="F840" s="22"/>
      <c r="K840" s="23"/>
    </row>
    <row r="841">
      <c r="F841" s="22"/>
      <c r="K841" s="23"/>
    </row>
    <row r="842">
      <c r="F842" s="22"/>
      <c r="K842" s="23"/>
    </row>
    <row r="843">
      <c r="F843" s="22"/>
      <c r="K843" s="23"/>
    </row>
    <row r="844">
      <c r="F844" s="22"/>
      <c r="K844" s="23"/>
    </row>
    <row r="845">
      <c r="F845" s="22"/>
      <c r="K845" s="23"/>
    </row>
    <row r="846">
      <c r="F846" s="22"/>
      <c r="K846" s="23"/>
    </row>
    <row r="847">
      <c r="F847" s="22"/>
      <c r="K847" s="23"/>
    </row>
    <row r="848">
      <c r="F848" s="22"/>
      <c r="K848" s="23"/>
    </row>
    <row r="849">
      <c r="F849" s="22"/>
      <c r="K849" s="23"/>
    </row>
    <row r="850">
      <c r="F850" s="22"/>
      <c r="K850" s="23"/>
    </row>
    <row r="851">
      <c r="F851" s="22"/>
      <c r="K851" s="23"/>
    </row>
    <row r="852">
      <c r="F852" s="22"/>
      <c r="K852" s="23"/>
    </row>
    <row r="853">
      <c r="F853" s="22"/>
      <c r="K853" s="23"/>
    </row>
    <row r="854">
      <c r="F854" s="22"/>
      <c r="K854" s="23"/>
    </row>
    <row r="855">
      <c r="F855" s="22"/>
      <c r="K855" s="23"/>
    </row>
    <row r="856">
      <c r="F856" s="22"/>
      <c r="K856" s="23"/>
    </row>
    <row r="857">
      <c r="F857" s="22"/>
      <c r="K857" s="23"/>
    </row>
    <row r="858">
      <c r="F858" s="22"/>
      <c r="K858" s="23"/>
    </row>
    <row r="859">
      <c r="F859" s="22"/>
      <c r="K859" s="23"/>
    </row>
    <row r="860">
      <c r="F860" s="22"/>
      <c r="K860" s="23"/>
    </row>
    <row r="861">
      <c r="F861" s="22"/>
      <c r="K861" s="23"/>
    </row>
    <row r="862">
      <c r="F862" s="22"/>
      <c r="K862" s="23"/>
    </row>
    <row r="863">
      <c r="F863" s="22"/>
      <c r="K863" s="23"/>
    </row>
    <row r="864">
      <c r="F864" s="22"/>
      <c r="K864" s="23"/>
    </row>
    <row r="865">
      <c r="F865" s="22"/>
      <c r="K865" s="23"/>
    </row>
    <row r="866">
      <c r="F866" s="22"/>
      <c r="K866" s="23"/>
    </row>
    <row r="867">
      <c r="F867" s="22"/>
      <c r="K867" s="23"/>
    </row>
    <row r="868">
      <c r="F868" s="22"/>
      <c r="K868" s="23"/>
    </row>
    <row r="869">
      <c r="F869" s="22"/>
      <c r="K869" s="23"/>
    </row>
    <row r="870">
      <c r="F870" s="22"/>
      <c r="K870" s="23"/>
    </row>
    <row r="871">
      <c r="F871" s="22"/>
      <c r="K871" s="23"/>
    </row>
    <row r="872">
      <c r="F872" s="22"/>
      <c r="K872" s="23"/>
    </row>
    <row r="873">
      <c r="F873" s="22"/>
      <c r="K873" s="23"/>
    </row>
    <row r="874">
      <c r="F874" s="22"/>
      <c r="K874" s="23"/>
    </row>
    <row r="875">
      <c r="F875" s="22"/>
      <c r="K875" s="23"/>
    </row>
    <row r="876">
      <c r="F876" s="22"/>
      <c r="K876" s="23"/>
    </row>
    <row r="877">
      <c r="F877" s="22"/>
      <c r="K877" s="23"/>
    </row>
    <row r="878">
      <c r="F878" s="22"/>
      <c r="K878" s="23"/>
    </row>
    <row r="879">
      <c r="F879" s="22"/>
      <c r="K879" s="23"/>
    </row>
    <row r="880">
      <c r="F880" s="22"/>
      <c r="K880" s="23"/>
    </row>
    <row r="881">
      <c r="F881" s="22"/>
      <c r="K881" s="23"/>
    </row>
    <row r="882">
      <c r="F882" s="22"/>
      <c r="K882" s="23"/>
    </row>
    <row r="883">
      <c r="F883" s="22"/>
      <c r="K883" s="23"/>
    </row>
    <row r="884">
      <c r="F884" s="22"/>
      <c r="K884" s="23"/>
    </row>
    <row r="885">
      <c r="F885" s="22"/>
      <c r="K885" s="23"/>
    </row>
    <row r="886">
      <c r="F886" s="22"/>
      <c r="K886" s="23"/>
    </row>
    <row r="887">
      <c r="F887" s="22"/>
      <c r="K887" s="23"/>
    </row>
    <row r="888">
      <c r="F888" s="22"/>
      <c r="K888" s="23"/>
    </row>
    <row r="889">
      <c r="F889" s="22"/>
      <c r="K889" s="23"/>
    </row>
    <row r="890">
      <c r="F890" s="22"/>
      <c r="K890" s="23"/>
    </row>
    <row r="891">
      <c r="F891" s="22"/>
      <c r="K891" s="23"/>
    </row>
    <row r="892">
      <c r="F892" s="22"/>
      <c r="K892" s="23"/>
    </row>
    <row r="893">
      <c r="F893" s="22"/>
      <c r="K893" s="23"/>
    </row>
    <row r="894">
      <c r="F894" s="22"/>
      <c r="K894" s="23"/>
    </row>
    <row r="895">
      <c r="F895" s="22"/>
      <c r="K895" s="23"/>
    </row>
    <row r="896">
      <c r="F896" s="22"/>
      <c r="K896" s="23"/>
    </row>
    <row r="897">
      <c r="F897" s="22"/>
      <c r="K897" s="23"/>
    </row>
    <row r="898">
      <c r="F898" s="22"/>
      <c r="K898" s="23"/>
    </row>
    <row r="899">
      <c r="F899" s="22"/>
      <c r="K899" s="23"/>
    </row>
    <row r="900">
      <c r="F900" s="22"/>
      <c r="K900" s="23"/>
    </row>
    <row r="901">
      <c r="F901" s="22"/>
      <c r="K901" s="23"/>
    </row>
    <row r="902">
      <c r="F902" s="22"/>
      <c r="K902" s="23"/>
    </row>
    <row r="903">
      <c r="F903" s="22"/>
      <c r="K903" s="23"/>
    </row>
    <row r="904">
      <c r="F904" s="22"/>
      <c r="K904" s="23"/>
    </row>
    <row r="905">
      <c r="F905" s="22"/>
      <c r="K905" s="23"/>
    </row>
    <row r="906">
      <c r="F906" s="22"/>
      <c r="K906" s="23"/>
    </row>
    <row r="907">
      <c r="F907" s="22"/>
      <c r="K907" s="23"/>
    </row>
    <row r="908">
      <c r="F908" s="22"/>
      <c r="K908" s="23"/>
    </row>
    <row r="909">
      <c r="F909" s="22"/>
      <c r="K909" s="23"/>
    </row>
    <row r="910">
      <c r="F910" s="22"/>
      <c r="K910" s="23"/>
    </row>
    <row r="911">
      <c r="F911" s="22"/>
      <c r="K911" s="23"/>
    </row>
    <row r="912">
      <c r="F912" s="22"/>
      <c r="K912" s="23"/>
    </row>
    <row r="913">
      <c r="F913" s="22"/>
      <c r="K913" s="23"/>
    </row>
    <row r="914">
      <c r="F914" s="22"/>
      <c r="K914" s="23"/>
    </row>
    <row r="915">
      <c r="F915" s="22"/>
      <c r="K915" s="23"/>
    </row>
    <row r="916">
      <c r="F916" s="22"/>
      <c r="K916" s="23"/>
    </row>
    <row r="917">
      <c r="F917" s="22"/>
      <c r="K917" s="23"/>
    </row>
    <row r="918">
      <c r="F918" s="22"/>
      <c r="K918" s="23"/>
    </row>
    <row r="919">
      <c r="F919" s="22"/>
      <c r="K919" s="23"/>
    </row>
    <row r="920">
      <c r="F920" s="22"/>
      <c r="K920" s="23"/>
    </row>
    <row r="921">
      <c r="F921" s="22"/>
      <c r="K921" s="23"/>
    </row>
    <row r="922">
      <c r="F922" s="22"/>
      <c r="K922" s="23"/>
    </row>
    <row r="923">
      <c r="F923" s="22"/>
      <c r="K923" s="23"/>
    </row>
    <row r="924">
      <c r="F924" s="22"/>
      <c r="K924" s="23"/>
    </row>
    <row r="925">
      <c r="F925" s="22"/>
      <c r="K925" s="23"/>
    </row>
    <row r="926">
      <c r="F926" s="22"/>
      <c r="K926" s="23"/>
    </row>
    <row r="927">
      <c r="F927" s="22"/>
      <c r="K927" s="23"/>
    </row>
    <row r="928">
      <c r="F928" s="22"/>
      <c r="K928" s="23"/>
    </row>
    <row r="929">
      <c r="F929" s="22"/>
      <c r="K929" s="23"/>
    </row>
    <row r="930">
      <c r="F930" s="22"/>
      <c r="K930" s="23"/>
    </row>
    <row r="931">
      <c r="F931" s="22"/>
      <c r="K931" s="23"/>
    </row>
    <row r="932">
      <c r="F932" s="22"/>
      <c r="K932" s="23"/>
    </row>
    <row r="933">
      <c r="F933" s="22"/>
      <c r="K933" s="23"/>
    </row>
    <row r="934">
      <c r="F934" s="22"/>
      <c r="K934" s="23"/>
    </row>
    <row r="935">
      <c r="F935" s="22"/>
      <c r="K935" s="23"/>
    </row>
    <row r="936">
      <c r="F936" s="22"/>
      <c r="K936" s="23"/>
    </row>
    <row r="937">
      <c r="F937" s="22"/>
      <c r="K937" s="23"/>
    </row>
    <row r="938">
      <c r="F938" s="22"/>
      <c r="K938" s="23"/>
    </row>
    <row r="939">
      <c r="F939" s="22"/>
      <c r="K939" s="23"/>
    </row>
    <row r="940">
      <c r="F940" s="22"/>
      <c r="K940" s="23"/>
    </row>
    <row r="941">
      <c r="F941" s="22"/>
      <c r="K941" s="23"/>
    </row>
    <row r="942">
      <c r="F942" s="22"/>
      <c r="K942" s="23"/>
    </row>
    <row r="943">
      <c r="F943" s="22"/>
      <c r="K943" s="23"/>
    </row>
    <row r="944">
      <c r="F944" s="22"/>
      <c r="K944" s="23"/>
    </row>
    <row r="945">
      <c r="F945" s="22"/>
      <c r="K945" s="23"/>
    </row>
    <row r="946">
      <c r="F946" s="22"/>
      <c r="K946" s="23"/>
    </row>
    <row r="947">
      <c r="F947" s="22"/>
      <c r="K947" s="23"/>
    </row>
    <row r="948">
      <c r="F948" s="22"/>
      <c r="K948" s="23"/>
    </row>
    <row r="949">
      <c r="F949" s="22"/>
      <c r="K949" s="23"/>
    </row>
    <row r="950">
      <c r="F950" s="22"/>
      <c r="K950" s="23"/>
    </row>
    <row r="951">
      <c r="F951" s="22"/>
      <c r="K951" s="23"/>
    </row>
    <row r="952">
      <c r="F952" s="22"/>
      <c r="K952" s="23"/>
    </row>
    <row r="953">
      <c r="F953" s="22"/>
      <c r="K953" s="23"/>
    </row>
    <row r="954">
      <c r="F954" s="22"/>
      <c r="K954" s="23"/>
    </row>
    <row r="955">
      <c r="F955" s="22"/>
      <c r="K955" s="23"/>
    </row>
    <row r="956">
      <c r="F956" s="22"/>
      <c r="K956" s="23"/>
    </row>
    <row r="957">
      <c r="F957" s="22"/>
      <c r="K957" s="23"/>
    </row>
    <row r="958">
      <c r="F958" s="22"/>
      <c r="K958" s="23"/>
    </row>
    <row r="959">
      <c r="F959" s="22"/>
      <c r="K959" s="23"/>
    </row>
    <row r="960">
      <c r="F960" s="22"/>
      <c r="K960" s="23"/>
    </row>
    <row r="961">
      <c r="F961" s="22"/>
      <c r="K961" s="23"/>
    </row>
    <row r="962">
      <c r="F962" s="22"/>
      <c r="K962" s="23"/>
    </row>
    <row r="963">
      <c r="F963" s="22"/>
      <c r="K963" s="23"/>
    </row>
    <row r="964">
      <c r="F964" s="22"/>
      <c r="K964" s="23"/>
    </row>
    <row r="965">
      <c r="F965" s="22"/>
      <c r="K965" s="23"/>
    </row>
    <row r="966">
      <c r="F966" s="22"/>
      <c r="K966" s="23"/>
    </row>
    <row r="967">
      <c r="F967" s="22"/>
      <c r="K967" s="23"/>
    </row>
    <row r="968">
      <c r="F968" s="22"/>
      <c r="K968" s="23"/>
    </row>
    <row r="969">
      <c r="F969" s="22"/>
      <c r="K969" s="23"/>
    </row>
    <row r="970">
      <c r="F970" s="22"/>
      <c r="K970" s="23"/>
    </row>
    <row r="971">
      <c r="F971" s="22"/>
      <c r="K971" s="23"/>
    </row>
    <row r="972">
      <c r="F972" s="22"/>
      <c r="K972" s="23"/>
    </row>
    <row r="973">
      <c r="F973" s="22"/>
      <c r="K973" s="23"/>
    </row>
    <row r="974">
      <c r="F974" s="22"/>
      <c r="K974" s="23"/>
    </row>
    <row r="975">
      <c r="F975" s="22"/>
      <c r="K975" s="23"/>
    </row>
    <row r="976">
      <c r="F976" s="22"/>
      <c r="K976" s="23"/>
    </row>
    <row r="977">
      <c r="F977" s="22"/>
      <c r="K977" s="23"/>
    </row>
    <row r="978">
      <c r="F978" s="22"/>
      <c r="K978" s="23"/>
    </row>
    <row r="979">
      <c r="F979" s="22"/>
      <c r="K979" s="23"/>
    </row>
    <row r="980">
      <c r="F980" s="22"/>
      <c r="K980" s="23"/>
    </row>
    <row r="981">
      <c r="F981" s="22"/>
      <c r="K981" s="23"/>
    </row>
    <row r="982">
      <c r="F982" s="22"/>
      <c r="K982" s="23"/>
    </row>
  </sheetData>
  <mergeCells count="28">
    <mergeCell ref="A1:C1"/>
    <mergeCell ref="A2:B2"/>
    <mergeCell ref="A10:C10"/>
    <mergeCell ref="A11:B11"/>
    <mergeCell ref="A19:C19"/>
    <mergeCell ref="A20:B20"/>
    <mergeCell ref="A28:C28"/>
    <mergeCell ref="A29:B29"/>
    <mergeCell ref="A37:C37"/>
    <mergeCell ref="A38:B38"/>
    <mergeCell ref="A46:C46"/>
    <mergeCell ref="A47:B47"/>
    <mergeCell ref="A55:C55"/>
    <mergeCell ref="A56:B56"/>
    <mergeCell ref="A92:B92"/>
    <mergeCell ref="A100:C100"/>
    <mergeCell ref="A101:B101"/>
    <mergeCell ref="A109:C109"/>
    <mergeCell ref="A110:B110"/>
    <mergeCell ref="A118:C118"/>
    <mergeCell ref="A119:B119"/>
    <mergeCell ref="A64:C64"/>
    <mergeCell ref="A65:B65"/>
    <mergeCell ref="A73:C73"/>
    <mergeCell ref="A74:B74"/>
    <mergeCell ref="A82:C82"/>
    <mergeCell ref="A83:B83"/>
    <mergeCell ref="A91:C91"/>
  </mergeCells>
  <conditionalFormatting sqref="E1:E982">
    <cfRule type="containsText" dxfId="6" priority="1" operator="containsText" text="RESOLVED">
      <formula>NOT(ISERROR(SEARCH(("RESOLVED"),(E1))))</formula>
    </cfRule>
  </conditionalFormatting>
  <conditionalFormatting sqref="K6">
    <cfRule type="notContainsBlanks" dxfId="6" priority="2">
      <formula>LEN(TRIM(K6))&gt;0</formula>
    </cfRule>
  </conditionalFormatting>
  <conditionalFormatting sqref="E1:E982">
    <cfRule type="containsText" dxfId="7" priority="3" operator="containsText" text="ON GOING ISSUE">
      <formula>NOT(ISERROR(SEARCH(("ON GOING ISSUE"),(E1))))</formula>
    </cfRule>
  </conditionalFormatting>
  <printOptions gridLines="1" horizontalCentered="1"/>
  <pageMargins bottom="0.75" footer="0.0" header="0.0" left="0.7" right="0.7" top="0.75"/>
  <pageSetup fitToHeight="0" paperSize="5" cellComments="atEnd" orientation="landscape" pageOrder="overThenDown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0.14"/>
    <col customWidth="1" min="2" max="2" width="25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conditionalFormatting sqref="A1">
    <cfRule type="notContainsBlanks" dxfId="6" priority="1">
      <formula>LEN(TRIM(A1))&gt;0</formula>
    </cfRule>
  </conditionalFormatting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0.14"/>
    <col customWidth="1" min="2" max="2" width="25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conditionalFormatting sqref="A1">
    <cfRule type="notContainsBlanks" dxfId="6" priority="1">
      <formula>LEN(TRIM(A1))&gt;0</formula>
    </cfRule>
  </conditionalFormatting>
  <drawing r:id="rId2"/>
</worksheet>
</file>