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swin tutor\"/>
    </mc:Choice>
  </mc:AlternateContent>
  <xr:revisionPtr revIDLastSave="0" documentId="13_ncr:1_{FDF8A0A7-A4D3-4407-9CCC-AA7200FE0115}" xr6:coauthVersionLast="47" xr6:coauthVersionMax="47" xr10:uidLastSave="{00000000-0000-0000-0000-000000000000}"/>
  <bookViews>
    <workbookView xWindow="-108" yWindow="-108" windowWidth="23256" windowHeight="12576" xr2:uid="{33785183-DE04-4020-B240-F9265A3E0FE6}"/>
  </bookViews>
  <sheets>
    <sheet name="Data Sheet" sheetId="1" r:id="rId1"/>
    <sheet name="historicalfs" sheetId="3" r:id="rId2"/>
    <sheet name="cashflow data" sheetId="5" r:id="rId3"/>
    <sheet name="Data&gt;" sheetId="6" r:id="rId4"/>
    <sheet name="financials" sheetId="7" r:id="rId5"/>
    <sheet name="FORECASTING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8" l="1"/>
  <c r="T14" i="8"/>
  <c r="T13" i="8"/>
  <c r="T12" i="8"/>
  <c r="T11" i="8"/>
  <c r="T10" i="8"/>
  <c r="T9" i="8"/>
  <c r="T8" i="8"/>
  <c r="T7" i="8"/>
  <c r="T6" i="8"/>
  <c r="L3" i="8"/>
  <c r="B3" i="8"/>
  <c r="G3" i="8"/>
  <c r="O15" i="8"/>
  <c r="O16" i="8"/>
  <c r="O17" i="8"/>
  <c r="O18" i="8"/>
  <c r="O6" i="8"/>
  <c r="N16" i="8"/>
  <c r="N17" i="8" s="1"/>
  <c r="N15" i="8"/>
  <c r="I16" i="8"/>
  <c r="O7" i="8"/>
  <c r="O8" i="8"/>
  <c r="O9" i="8"/>
  <c r="O10" i="8"/>
  <c r="O11" i="8"/>
  <c r="O12" i="8"/>
  <c r="O13" i="8"/>
  <c r="O14" i="8"/>
  <c r="D5" i="8" a="1"/>
  <c r="D6" i="8" s="1"/>
  <c r="O39" i="7"/>
  <c r="O40" i="7"/>
  <c r="N39" i="7"/>
  <c r="N40" i="7"/>
  <c r="O38" i="7"/>
  <c r="N38" i="7"/>
  <c r="N34" i="7"/>
  <c r="O34" i="7"/>
  <c r="N35" i="7"/>
  <c r="O35" i="7"/>
  <c r="N36" i="7"/>
  <c r="O36" i="7"/>
  <c r="O33" i="7"/>
  <c r="N33" i="7"/>
  <c r="N28" i="7"/>
  <c r="O28" i="7"/>
  <c r="N29" i="7"/>
  <c r="O29" i="7"/>
  <c r="N30" i="7"/>
  <c r="O30" i="7"/>
  <c r="N31" i="7"/>
  <c r="O31" i="7"/>
  <c r="O27" i="7"/>
  <c r="O12" i="7"/>
  <c r="O13" i="7"/>
  <c r="O14" i="7"/>
  <c r="O15" i="7"/>
  <c r="O17" i="7"/>
  <c r="O18" i="7"/>
  <c r="O19" i="7"/>
  <c r="O21" i="7"/>
  <c r="O22" i="7"/>
  <c r="O23" i="7"/>
  <c r="O24" i="7"/>
  <c r="O25" i="7"/>
  <c r="N12" i="7"/>
  <c r="N13" i="7"/>
  <c r="N14" i="7"/>
  <c r="N15" i="7"/>
  <c r="N17" i="7"/>
  <c r="N18" i="7"/>
  <c r="N19" i="7"/>
  <c r="N21" i="7"/>
  <c r="N22" i="7"/>
  <c r="N23" i="7"/>
  <c r="N24" i="7"/>
  <c r="N25" i="7"/>
  <c r="N27" i="7"/>
  <c r="O11" i="7"/>
  <c r="N11" i="7"/>
  <c r="O6" i="7"/>
  <c r="O7" i="7"/>
  <c r="O8" i="7"/>
  <c r="O9" i="7"/>
  <c r="O5" i="7"/>
  <c r="N6" i="7"/>
  <c r="N7" i="7"/>
  <c r="N8" i="7"/>
  <c r="N9" i="7"/>
  <c r="N5" i="7"/>
  <c r="D38" i="7"/>
  <c r="E38" i="7"/>
  <c r="F38" i="7"/>
  <c r="G38" i="7"/>
  <c r="H38" i="7"/>
  <c r="I38" i="7"/>
  <c r="J38" i="7"/>
  <c r="K38" i="7"/>
  <c r="L38" i="7"/>
  <c r="D39" i="7"/>
  <c r="E39" i="7"/>
  <c r="F39" i="7"/>
  <c r="G39" i="7"/>
  <c r="H39" i="7"/>
  <c r="I39" i="7"/>
  <c r="J39" i="7"/>
  <c r="K39" i="7"/>
  <c r="L39" i="7"/>
  <c r="D40" i="7"/>
  <c r="E40" i="7"/>
  <c r="F40" i="7"/>
  <c r="G40" i="7"/>
  <c r="H40" i="7"/>
  <c r="I40" i="7"/>
  <c r="J40" i="7"/>
  <c r="K40" i="7"/>
  <c r="L40" i="7"/>
  <c r="C40" i="7"/>
  <c r="C39" i="7"/>
  <c r="C38" i="7"/>
  <c r="D33" i="7"/>
  <c r="E33" i="7"/>
  <c r="E36" i="7" s="1"/>
  <c r="K33" i="7"/>
  <c r="L33" i="7"/>
  <c r="L36" i="7" s="1"/>
  <c r="D34" i="7"/>
  <c r="I34" i="7"/>
  <c r="J34" i="7"/>
  <c r="K34" i="7"/>
  <c r="L34" i="7"/>
  <c r="H35" i="7"/>
  <c r="I35" i="7"/>
  <c r="J35" i="7"/>
  <c r="K35" i="7"/>
  <c r="C35" i="7"/>
  <c r="C34" i="7"/>
  <c r="D30" i="7"/>
  <c r="E30" i="7"/>
  <c r="F30" i="7"/>
  <c r="G30" i="7"/>
  <c r="H30" i="7"/>
  <c r="I30" i="7"/>
  <c r="J30" i="7"/>
  <c r="K30" i="7"/>
  <c r="L30" i="7"/>
  <c r="D31" i="7"/>
  <c r="E31" i="7"/>
  <c r="F31" i="7"/>
  <c r="G31" i="7"/>
  <c r="H31" i="7"/>
  <c r="I31" i="7"/>
  <c r="J31" i="7"/>
  <c r="K31" i="7"/>
  <c r="L31" i="7"/>
  <c r="D28" i="7"/>
  <c r="E28" i="7"/>
  <c r="E34" i="7" s="1"/>
  <c r="F28" i="7"/>
  <c r="F34" i="7" s="1"/>
  <c r="G28" i="7"/>
  <c r="G34" i="7" s="1"/>
  <c r="H28" i="7"/>
  <c r="H34" i="7" s="1"/>
  <c r="I28" i="7"/>
  <c r="J28" i="7"/>
  <c r="K28" i="7"/>
  <c r="L28" i="7"/>
  <c r="D29" i="7"/>
  <c r="D35" i="7" s="1"/>
  <c r="E29" i="7"/>
  <c r="E35" i="7" s="1"/>
  <c r="F29" i="7"/>
  <c r="F35" i="7" s="1"/>
  <c r="G29" i="7"/>
  <c r="G35" i="7" s="1"/>
  <c r="H29" i="7"/>
  <c r="I29" i="7"/>
  <c r="J29" i="7"/>
  <c r="K29" i="7"/>
  <c r="L29" i="7"/>
  <c r="L35" i="7" s="1"/>
  <c r="C28" i="7"/>
  <c r="C31" i="7"/>
  <c r="C30" i="7"/>
  <c r="C29" i="7"/>
  <c r="D27" i="7"/>
  <c r="E27" i="7"/>
  <c r="F27" i="7"/>
  <c r="F33" i="7" s="1"/>
  <c r="G27" i="7"/>
  <c r="G33" i="7" s="1"/>
  <c r="H27" i="7"/>
  <c r="H33" i="7" s="1"/>
  <c r="I27" i="7"/>
  <c r="I33" i="7" s="1"/>
  <c r="J27" i="7"/>
  <c r="J33" i="7" s="1"/>
  <c r="J36" i="7" s="1"/>
  <c r="K27" i="7"/>
  <c r="L27" i="7"/>
  <c r="C27" i="7"/>
  <c r="C33" i="7" s="1"/>
  <c r="C36" i="7" s="1"/>
  <c r="G24" i="7"/>
  <c r="H24" i="7"/>
  <c r="D23" i="7"/>
  <c r="E23" i="7"/>
  <c r="E24" i="7" s="1"/>
  <c r="F23" i="7"/>
  <c r="F24" i="7" s="1"/>
  <c r="G23" i="7"/>
  <c r="H23" i="7"/>
  <c r="I23" i="7"/>
  <c r="J23" i="7"/>
  <c r="K23" i="7"/>
  <c r="L23" i="7"/>
  <c r="C23" i="7"/>
  <c r="C24" i="7" s="1"/>
  <c r="D22" i="7"/>
  <c r="D24" i="7" s="1"/>
  <c r="E22" i="7"/>
  <c r="F22" i="7"/>
  <c r="G22" i="7"/>
  <c r="H22" i="7"/>
  <c r="I22" i="7"/>
  <c r="I24" i="7" s="1"/>
  <c r="J22" i="7"/>
  <c r="J24" i="7" s="1"/>
  <c r="K22" i="7"/>
  <c r="K24" i="7" s="1"/>
  <c r="L22" i="7"/>
  <c r="L24" i="7" s="1"/>
  <c r="C22" i="7"/>
  <c r="D21" i="7"/>
  <c r="E21" i="7"/>
  <c r="F21" i="7"/>
  <c r="G21" i="7"/>
  <c r="H21" i="7"/>
  <c r="I21" i="7"/>
  <c r="J21" i="7"/>
  <c r="K21" i="7"/>
  <c r="L21" i="7"/>
  <c r="C21" i="7"/>
  <c r="C6" i="7"/>
  <c r="D6" i="7"/>
  <c r="E6" i="7"/>
  <c r="F6" i="7"/>
  <c r="G6" i="7"/>
  <c r="H6" i="7"/>
  <c r="I6" i="7"/>
  <c r="J6" i="7"/>
  <c r="K6" i="7"/>
  <c r="L6" i="7"/>
  <c r="C7" i="7"/>
  <c r="D7" i="7"/>
  <c r="E7" i="7"/>
  <c r="F7" i="7"/>
  <c r="G7" i="7"/>
  <c r="H7" i="7"/>
  <c r="I7" i="7"/>
  <c r="J7" i="7"/>
  <c r="K7" i="7"/>
  <c r="L7" i="7"/>
  <c r="C8" i="7"/>
  <c r="D8" i="7"/>
  <c r="E8" i="7"/>
  <c r="F8" i="7"/>
  <c r="G8" i="7"/>
  <c r="H8" i="7"/>
  <c r="I8" i="7"/>
  <c r="J8" i="7"/>
  <c r="K8" i="7"/>
  <c r="L8" i="7"/>
  <c r="C9" i="7"/>
  <c r="D9" i="7"/>
  <c r="E9" i="7"/>
  <c r="F9" i="7"/>
  <c r="G9" i="7"/>
  <c r="H9" i="7"/>
  <c r="I9" i="7"/>
  <c r="J9" i="7"/>
  <c r="K9" i="7"/>
  <c r="L9" i="7"/>
  <c r="C11" i="7"/>
  <c r="D11" i="7"/>
  <c r="E11" i="7"/>
  <c r="F11" i="7"/>
  <c r="G11" i="7"/>
  <c r="H11" i="7"/>
  <c r="I11" i="7"/>
  <c r="J11" i="7"/>
  <c r="K11" i="7"/>
  <c r="L11" i="7"/>
  <c r="C12" i="7"/>
  <c r="D12" i="7"/>
  <c r="E12" i="7"/>
  <c r="F12" i="7"/>
  <c r="G12" i="7"/>
  <c r="H12" i="7"/>
  <c r="I12" i="7"/>
  <c r="J12" i="7"/>
  <c r="K12" i="7"/>
  <c r="L12" i="7"/>
  <c r="C13" i="7"/>
  <c r="C19" i="7" s="1"/>
  <c r="D13" i="7"/>
  <c r="D19" i="7" s="1"/>
  <c r="E13" i="7"/>
  <c r="E19" i="7" s="1"/>
  <c r="F13" i="7"/>
  <c r="F19" i="7" s="1"/>
  <c r="G13" i="7"/>
  <c r="H13" i="7"/>
  <c r="H19" i="7" s="1"/>
  <c r="I13" i="7"/>
  <c r="I19" i="7" s="1"/>
  <c r="J13" i="7"/>
  <c r="J19" i="7" s="1"/>
  <c r="K13" i="7"/>
  <c r="K19" i="7" s="1"/>
  <c r="L13" i="7"/>
  <c r="C14" i="7"/>
  <c r="D14" i="7"/>
  <c r="E14" i="7"/>
  <c r="F14" i="7"/>
  <c r="G14" i="7"/>
  <c r="H14" i="7"/>
  <c r="I14" i="7"/>
  <c r="J14" i="7"/>
  <c r="K14" i="7"/>
  <c r="L14" i="7"/>
  <c r="C15" i="7"/>
  <c r="D15" i="7"/>
  <c r="E15" i="7"/>
  <c r="F15" i="7"/>
  <c r="G15" i="7"/>
  <c r="H15" i="7"/>
  <c r="I15" i="7"/>
  <c r="J15" i="7"/>
  <c r="K15" i="7"/>
  <c r="L15" i="7"/>
  <c r="C17" i="7"/>
  <c r="D17" i="7"/>
  <c r="E17" i="7"/>
  <c r="F17" i="7"/>
  <c r="G17" i="7"/>
  <c r="H17" i="7"/>
  <c r="I17" i="7"/>
  <c r="J17" i="7"/>
  <c r="K17" i="7"/>
  <c r="L17" i="7"/>
  <c r="C18" i="7"/>
  <c r="D18" i="7"/>
  <c r="E18" i="7"/>
  <c r="F18" i="7"/>
  <c r="G18" i="7"/>
  <c r="H18" i="7"/>
  <c r="I18" i="7"/>
  <c r="J18" i="7"/>
  <c r="K18" i="7"/>
  <c r="L18" i="7"/>
  <c r="G19" i="7"/>
  <c r="L19" i="7"/>
  <c r="D5" i="7"/>
  <c r="E5" i="7"/>
  <c r="F5" i="7"/>
  <c r="G5" i="7"/>
  <c r="H5" i="7"/>
  <c r="I5" i="7"/>
  <c r="J5" i="7"/>
  <c r="K5" i="7"/>
  <c r="L5" i="7"/>
  <c r="C5" i="7"/>
  <c r="B2" i="7"/>
  <c r="L3" i="7"/>
  <c r="K3" i="7"/>
  <c r="J3" i="7"/>
  <c r="I3" i="7"/>
  <c r="H3" i="7"/>
  <c r="G3" i="7"/>
  <c r="F3" i="7"/>
  <c r="E3" i="7"/>
  <c r="D3" i="7"/>
  <c r="C3" i="7"/>
  <c r="C13" i="3"/>
  <c r="D13" i="3"/>
  <c r="E13" i="3"/>
  <c r="F13" i="3"/>
  <c r="G13" i="3"/>
  <c r="H13" i="3"/>
  <c r="I13" i="3"/>
  <c r="J13" i="3"/>
  <c r="K13" i="3"/>
  <c r="L13" i="3"/>
  <c r="M13" i="3"/>
  <c r="T15" i="8" l="1"/>
  <c r="S16" i="8"/>
  <c r="T16" i="8" s="1"/>
  <c r="N18" i="8"/>
  <c r="J9" i="8"/>
  <c r="J7" i="8"/>
  <c r="J14" i="8"/>
  <c r="J10" i="8"/>
  <c r="J6" i="8"/>
  <c r="D11" i="8"/>
  <c r="D13" i="8"/>
  <c r="D5" i="8"/>
  <c r="D12" i="8"/>
  <c r="E12" i="8" s="1"/>
  <c r="D10" i="8"/>
  <c r="D9" i="8"/>
  <c r="E9" i="8" s="1"/>
  <c r="D8" i="8"/>
  <c r="E8" i="8" s="1"/>
  <c r="D7" i="8"/>
  <c r="E7" i="8" s="1"/>
  <c r="D14" i="8"/>
  <c r="F36" i="7"/>
  <c r="H36" i="7"/>
  <c r="G36" i="7"/>
  <c r="D36" i="7"/>
  <c r="K36" i="7"/>
  <c r="I36" i="7"/>
  <c r="S17" i="8" l="1"/>
  <c r="T17" i="8" s="1"/>
  <c r="J11" i="8"/>
  <c r="J12" i="8"/>
  <c r="J8" i="8"/>
  <c r="J13" i="8"/>
  <c r="E10" i="8"/>
  <c r="D15" i="8"/>
  <c r="E15" i="8" s="1"/>
  <c r="I18" i="8"/>
  <c r="D16" i="8"/>
  <c r="E16" i="8" s="1"/>
  <c r="J15" i="8"/>
  <c r="D18" i="8"/>
  <c r="E18" i="8" s="1"/>
  <c r="I17" i="8"/>
  <c r="J17" i="8" s="1"/>
  <c r="D17" i="8"/>
  <c r="E13" i="8"/>
  <c r="E11" i="8"/>
  <c r="E14" i="8"/>
  <c r="E6" i="8"/>
  <c r="D99" i="3"/>
  <c r="E99" i="3"/>
  <c r="F99" i="3"/>
  <c r="G99" i="3"/>
  <c r="H99" i="3"/>
  <c r="I99" i="3"/>
  <c r="J99" i="3"/>
  <c r="K99" i="3"/>
  <c r="L99" i="3"/>
  <c r="C99" i="3"/>
  <c r="C94" i="3"/>
  <c r="D94" i="3"/>
  <c r="E94" i="3"/>
  <c r="F94" i="3"/>
  <c r="G94" i="3"/>
  <c r="H94" i="3"/>
  <c r="I94" i="3"/>
  <c r="J94" i="3"/>
  <c r="K94" i="3"/>
  <c r="L94" i="3"/>
  <c r="C95" i="3"/>
  <c r="D95" i="3"/>
  <c r="E95" i="3"/>
  <c r="F95" i="3"/>
  <c r="G95" i="3"/>
  <c r="H95" i="3"/>
  <c r="I95" i="3"/>
  <c r="J95" i="3"/>
  <c r="K95" i="3"/>
  <c r="L95" i="3"/>
  <c r="C96" i="3"/>
  <c r="D96" i="3"/>
  <c r="E96" i="3"/>
  <c r="F96" i="3"/>
  <c r="G96" i="3"/>
  <c r="H96" i="3"/>
  <c r="I96" i="3"/>
  <c r="J96" i="3"/>
  <c r="K96" i="3"/>
  <c r="L96" i="3"/>
  <c r="C97" i="3"/>
  <c r="D97" i="3"/>
  <c r="E97" i="3"/>
  <c r="F97" i="3"/>
  <c r="G97" i="3"/>
  <c r="H97" i="3"/>
  <c r="I97" i="3"/>
  <c r="J97" i="3"/>
  <c r="K97" i="3"/>
  <c r="L97" i="3"/>
  <c r="D93" i="3"/>
  <c r="E93" i="3"/>
  <c r="F93" i="3"/>
  <c r="G93" i="3"/>
  <c r="H93" i="3"/>
  <c r="I93" i="3"/>
  <c r="J93" i="3"/>
  <c r="K93" i="3"/>
  <c r="L93" i="3"/>
  <c r="C90" i="3"/>
  <c r="C93" i="3"/>
  <c r="D90" i="3"/>
  <c r="E90" i="3"/>
  <c r="F90" i="3"/>
  <c r="G90" i="3"/>
  <c r="H90" i="3"/>
  <c r="I90" i="3"/>
  <c r="J90" i="3"/>
  <c r="K90" i="3"/>
  <c r="L90" i="3"/>
  <c r="D81" i="3"/>
  <c r="E81" i="3"/>
  <c r="F81" i="3"/>
  <c r="G81" i="3"/>
  <c r="H81" i="3"/>
  <c r="I81" i="3"/>
  <c r="J81" i="3"/>
  <c r="K81" i="3"/>
  <c r="L81" i="3"/>
  <c r="D82" i="3"/>
  <c r="E82" i="3"/>
  <c r="F82" i="3"/>
  <c r="G82" i="3"/>
  <c r="H82" i="3"/>
  <c r="I82" i="3"/>
  <c r="J82" i="3"/>
  <c r="K82" i="3"/>
  <c r="L82" i="3"/>
  <c r="D83" i="3"/>
  <c r="E83" i="3"/>
  <c r="F83" i="3"/>
  <c r="G83" i="3"/>
  <c r="H83" i="3"/>
  <c r="I83" i="3"/>
  <c r="J83" i="3"/>
  <c r="K83" i="3"/>
  <c r="L83" i="3"/>
  <c r="D84" i="3"/>
  <c r="E84" i="3"/>
  <c r="F84" i="3"/>
  <c r="G84" i="3"/>
  <c r="H84" i="3"/>
  <c r="I84" i="3"/>
  <c r="J84" i="3"/>
  <c r="K84" i="3"/>
  <c r="L84" i="3"/>
  <c r="D85" i="3"/>
  <c r="E85" i="3"/>
  <c r="F85" i="3"/>
  <c r="G85" i="3"/>
  <c r="H85" i="3"/>
  <c r="I85" i="3"/>
  <c r="J85" i="3"/>
  <c r="K85" i="3"/>
  <c r="L85" i="3"/>
  <c r="D86" i="3"/>
  <c r="E86" i="3"/>
  <c r="F86" i="3"/>
  <c r="G86" i="3"/>
  <c r="H86" i="3"/>
  <c r="I86" i="3"/>
  <c r="J86" i="3"/>
  <c r="K86" i="3"/>
  <c r="L86" i="3"/>
  <c r="D87" i="3"/>
  <c r="E87" i="3"/>
  <c r="F87" i="3"/>
  <c r="G87" i="3"/>
  <c r="H87" i="3"/>
  <c r="I87" i="3"/>
  <c r="J87" i="3"/>
  <c r="K87" i="3"/>
  <c r="L87" i="3"/>
  <c r="D88" i="3"/>
  <c r="E88" i="3"/>
  <c r="F88" i="3"/>
  <c r="G88" i="3"/>
  <c r="H88" i="3"/>
  <c r="I88" i="3"/>
  <c r="J88" i="3"/>
  <c r="K88" i="3"/>
  <c r="L88" i="3"/>
  <c r="D89" i="3"/>
  <c r="E89" i="3"/>
  <c r="F89" i="3"/>
  <c r="G89" i="3"/>
  <c r="H89" i="3"/>
  <c r="I89" i="3"/>
  <c r="J89" i="3"/>
  <c r="K89" i="3"/>
  <c r="L89" i="3"/>
  <c r="C82" i="3"/>
  <c r="C83" i="3"/>
  <c r="C84" i="3"/>
  <c r="C85" i="3"/>
  <c r="C86" i="3"/>
  <c r="C87" i="3"/>
  <c r="C88" i="3"/>
  <c r="C89" i="3"/>
  <c r="C81" i="3"/>
  <c r="D78" i="3"/>
  <c r="E78" i="3"/>
  <c r="F78" i="3"/>
  <c r="G78" i="3"/>
  <c r="H78" i="3"/>
  <c r="I78" i="3"/>
  <c r="J78" i="3"/>
  <c r="K78" i="3"/>
  <c r="L78" i="3"/>
  <c r="C78" i="3"/>
  <c r="D71" i="3"/>
  <c r="E71" i="3"/>
  <c r="F71" i="3"/>
  <c r="G71" i="3"/>
  <c r="H71" i="3"/>
  <c r="I71" i="3"/>
  <c r="J71" i="3"/>
  <c r="K71" i="3"/>
  <c r="L71" i="3"/>
  <c r="D72" i="3"/>
  <c r="E72" i="3"/>
  <c r="F72" i="3"/>
  <c r="G72" i="3"/>
  <c r="H72" i="3"/>
  <c r="I72" i="3"/>
  <c r="J72" i="3"/>
  <c r="K72" i="3"/>
  <c r="L72" i="3"/>
  <c r="D73" i="3"/>
  <c r="E73" i="3"/>
  <c r="F73" i="3"/>
  <c r="G73" i="3"/>
  <c r="H73" i="3"/>
  <c r="I73" i="3"/>
  <c r="J73" i="3"/>
  <c r="K73" i="3"/>
  <c r="L73" i="3"/>
  <c r="D74" i="3"/>
  <c r="E74" i="3"/>
  <c r="F74" i="3"/>
  <c r="G74" i="3"/>
  <c r="H74" i="3"/>
  <c r="I74" i="3"/>
  <c r="J74" i="3"/>
  <c r="K74" i="3"/>
  <c r="L74" i="3"/>
  <c r="D75" i="3"/>
  <c r="E75" i="3"/>
  <c r="F75" i="3"/>
  <c r="G75" i="3"/>
  <c r="H75" i="3"/>
  <c r="I75" i="3"/>
  <c r="J75" i="3"/>
  <c r="K75" i="3"/>
  <c r="L75" i="3"/>
  <c r="D76" i="3"/>
  <c r="E76" i="3"/>
  <c r="F76" i="3"/>
  <c r="G76" i="3"/>
  <c r="H76" i="3"/>
  <c r="I76" i="3"/>
  <c r="J76" i="3"/>
  <c r="K76" i="3"/>
  <c r="L76" i="3"/>
  <c r="D77" i="3"/>
  <c r="E77" i="3"/>
  <c r="F77" i="3"/>
  <c r="G77" i="3"/>
  <c r="H77" i="3"/>
  <c r="I77" i="3"/>
  <c r="J77" i="3"/>
  <c r="K77" i="3"/>
  <c r="L77" i="3"/>
  <c r="C72" i="3"/>
  <c r="C73" i="3"/>
  <c r="C74" i="3"/>
  <c r="C75" i="3"/>
  <c r="C76" i="3"/>
  <c r="C77" i="3"/>
  <c r="C71" i="3"/>
  <c r="F67" i="3"/>
  <c r="I67" i="3"/>
  <c r="D56" i="3"/>
  <c r="E56" i="3"/>
  <c r="F56" i="3"/>
  <c r="G56" i="3"/>
  <c r="H56" i="3"/>
  <c r="I56" i="3"/>
  <c r="I57" i="3" s="1"/>
  <c r="I65" i="3" s="1"/>
  <c r="J56" i="3"/>
  <c r="J57" i="3" s="1"/>
  <c r="J65" i="3" s="1"/>
  <c r="J67" i="3" s="1"/>
  <c r="K56" i="3"/>
  <c r="K57" i="3" s="1"/>
  <c r="K65" i="3" s="1"/>
  <c r="K67" i="3" s="1"/>
  <c r="L56" i="3"/>
  <c r="C56" i="3"/>
  <c r="D51" i="3"/>
  <c r="E51" i="3"/>
  <c r="F51" i="3"/>
  <c r="G51" i="3"/>
  <c r="H51" i="3"/>
  <c r="I51" i="3"/>
  <c r="J51" i="3"/>
  <c r="K51" i="3"/>
  <c r="L51" i="3"/>
  <c r="C51" i="3"/>
  <c r="G65" i="3"/>
  <c r="G67" i="3" s="1"/>
  <c r="D57" i="3"/>
  <c r="D65" i="3" s="1"/>
  <c r="D67" i="3" s="1"/>
  <c r="E57" i="3"/>
  <c r="E65" i="3" s="1"/>
  <c r="E67" i="3" s="1"/>
  <c r="F57" i="3"/>
  <c r="F65" i="3" s="1"/>
  <c r="G57" i="3"/>
  <c r="H57" i="3"/>
  <c r="H65" i="3" s="1"/>
  <c r="H67" i="3" s="1"/>
  <c r="L57" i="3"/>
  <c r="L65" i="3" s="1"/>
  <c r="L67" i="3" s="1"/>
  <c r="C57" i="3"/>
  <c r="C65" i="3" s="1"/>
  <c r="C67" i="3" s="1"/>
  <c r="D63" i="3"/>
  <c r="E63" i="3"/>
  <c r="F63" i="3"/>
  <c r="G63" i="3"/>
  <c r="H63" i="3"/>
  <c r="I63" i="3"/>
  <c r="J63" i="3"/>
  <c r="K63" i="3"/>
  <c r="L63" i="3"/>
  <c r="C63" i="3"/>
  <c r="C61" i="3"/>
  <c r="D61" i="3"/>
  <c r="E61" i="3"/>
  <c r="F61" i="3"/>
  <c r="G61" i="3"/>
  <c r="H61" i="3"/>
  <c r="I61" i="3"/>
  <c r="J61" i="3"/>
  <c r="K61" i="3"/>
  <c r="L61" i="3"/>
  <c r="C62" i="3"/>
  <c r="D62" i="3"/>
  <c r="E62" i="3"/>
  <c r="F62" i="3"/>
  <c r="G62" i="3"/>
  <c r="H62" i="3"/>
  <c r="I62" i="3"/>
  <c r="J62" i="3"/>
  <c r="K62" i="3"/>
  <c r="L62" i="3"/>
  <c r="D60" i="3"/>
  <c r="E60" i="3"/>
  <c r="F60" i="3"/>
  <c r="G60" i="3"/>
  <c r="H60" i="3"/>
  <c r="I60" i="3"/>
  <c r="J60" i="3"/>
  <c r="K60" i="3"/>
  <c r="L60" i="3"/>
  <c r="C60" i="3"/>
  <c r="C54" i="3"/>
  <c r="D54" i="3"/>
  <c r="E54" i="3"/>
  <c r="F54" i="3"/>
  <c r="G54" i="3"/>
  <c r="H54" i="3"/>
  <c r="I54" i="3"/>
  <c r="J54" i="3"/>
  <c r="K54" i="3"/>
  <c r="L54" i="3"/>
  <c r="C55" i="3"/>
  <c r="D55" i="3"/>
  <c r="E55" i="3"/>
  <c r="F55" i="3"/>
  <c r="G55" i="3"/>
  <c r="H55" i="3"/>
  <c r="I55" i="3"/>
  <c r="J55" i="3"/>
  <c r="K55" i="3"/>
  <c r="L55" i="3"/>
  <c r="D53" i="3"/>
  <c r="E53" i="3"/>
  <c r="F53" i="3"/>
  <c r="G53" i="3"/>
  <c r="H53" i="3"/>
  <c r="I53" i="3"/>
  <c r="J53" i="3"/>
  <c r="K53" i="3"/>
  <c r="L53" i="3"/>
  <c r="C53" i="3"/>
  <c r="C48" i="3"/>
  <c r="D48" i="3"/>
  <c r="E48" i="3"/>
  <c r="F48" i="3"/>
  <c r="G48" i="3"/>
  <c r="H48" i="3"/>
  <c r="I48" i="3"/>
  <c r="J48" i="3"/>
  <c r="K48" i="3"/>
  <c r="L48" i="3"/>
  <c r="C49" i="3"/>
  <c r="D49" i="3"/>
  <c r="E49" i="3"/>
  <c r="F49" i="3"/>
  <c r="G49" i="3"/>
  <c r="H49" i="3"/>
  <c r="I49" i="3"/>
  <c r="J49" i="3"/>
  <c r="K49" i="3"/>
  <c r="L49" i="3"/>
  <c r="C50" i="3"/>
  <c r="D50" i="3"/>
  <c r="E50" i="3"/>
  <c r="F50" i="3"/>
  <c r="G50" i="3"/>
  <c r="H50" i="3"/>
  <c r="I50" i="3"/>
  <c r="J50" i="3"/>
  <c r="K50" i="3"/>
  <c r="L50" i="3"/>
  <c r="D47" i="3"/>
  <c r="E47" i="3"/>
  <c r="F47" i="3"/>
  <c r="G47" i="3"/>
  <c r="H47" i="3"/>
  <c r="I47" i="3"/>
  <c r="J47" i="3"/>
  <c r="K47" i="3"/>
  <c r="L47" i="3"/>
  <c r="C47" i="3"/>
  <c r="D41" i="3"/>
  <c r="E41" i="3"/>
  <c r="F41" i="3"/>
  <c r="J41" i="3"/>
  <c r="K41" i="3"/>
  <c r="L41" i="3"/>
  <c r="M41" i="3"/>
  <c r="C41" i="3"/>
  <c r="D36" i="3"/>
  <c r="E36" i="3"/>
  <c r="F36" i="3"/>
  <c r="G36" i="3"/>
  <c r="G41" i="3" s="1"/>
  <c r="H36" i="3"/>
  <c r="H41" i="3" s="1"/>
  <c r="I36" i="3"/>
  <c r="I41" i="3" s="1"/>
  <c r="J36" i="3"/>
  <c r="K36" i="3"/>
  <c r="L36" i="3"/>
  <c r="C36" i="3"/>
  <c r="M30" i="3"/>
  <c r="D30" i="3"/>
  <c r="E30" i="3"/>
  <c r="F30" i="3"/>
  <c r="G30" i="3"/>
  <c r="H30" i="3"/>
  <c r="I30" i="3"/>
  <c r="J30" i="3"/>
  <c r="K30" i="3"/>
  <c r="L30" i="3"/>
  <c r="C30" i="3"/>
  <c r="M24" i="3"/>
  <c r="D24" i="3"/>
  <c r="E24" i="3"/>
  <c r="F24" i="3"/>
  <c r="G24" i="3"/>
  <c r="H24" i="3"/>
  <c r="I24" i="3"/>
  <c r="J24" i="3"/>
  <c r="K24" i="3"/>
  <c r="K25" i="3" s="1"/>
  <c r="L24" i="3"/>
  <c r="L25" i="3" s="1"/>
  <c r="C24" i="3"/>
  <c r="M21" i="3"/>
  <c r="M22" i="3" s="1"/>
  <c r="D21" i="3"/>
  <c r="D22" i="3" s="1"/>
  <c r="E21" i="3"/>
  <c r="E22" i="3" s="1"/>
  <c r="F21" i="3"/>
  <c r="F22" i="3" s="1"/>
  <c r="G21" i="3"/>
  <c r="H21" i="3"/>
  <c r="I21" i="3"/>
  <c r="J21" i="3"/>
  <c r="K21" i="3"/>
  <c r="K22" i="3" s="1"/>
  <c r="L21" i="3"/>
  <c r="L22" i="3" s="1"/>
  <c r="C21" i="3"/>
  <c r="C15" i="3"/>
  <c r="D15" i="3"/>
  <c r="E15" i="3"/>
  <c r="F15" i="3"/>
  <c r="G15" i="3"/>
  <c r="H15" i="3"/>
  <c r="I15" i="3"/>
  <c r="J15" i="3"/>
  <c r="J16" i="3" s="1"/>
  <c r="K15" i="3"/>
  <c r="L15" i="3"/>
  <c r="M15" i="3"/>
  <c r="M9" i="3"/>
  <c r="D9" i="3"/>
  <c r="D10" i="3" s="1"/>
  <c r="E9" i="3"/>
  <c r="F9" i="3"/>
  <c r="G9" i="3"/>
  <c r="G10" i="3" s="1"/>
  <c r="H9" i="3"/>
  <c r="I9" i="3"/>
  <c r="J9" i="3"/>
  <c r="J10" i="3" s="1"/>
  <c r="K9" i="3"/>
  <c r="L9" i="3"/>
  <c r="L10" i="3" s="1"/>
  <c r="C9" i="3"/>
  <c r="C10" i="3" s="1"/>
  <c r="B2" i="3"/>
  <c r="M6" i="3"/>
  <c r="D6" i="3"/>
  <c r="E6" i="3"/>
  <c r="E12" i="3" s="1"/>
  <c r="E18" i="3" s="1"/>
  <c r="E19" i="3" s="1"/>
  <c r="F6" i="3"/>
  <c r="G6" i="3"/>
  <c r="G7" i="3" s="1"/>
  <c r="H6" i="3"/>
  <c r="H16" i="3" s="1"/>
  <c r="I6" i="3"/>
  <c r="J6" i="3"/>
  <c r="J25" i="3" s="1"/>
  <c r="K6" i="3"/>
  <c r="K12" i="3" s="1"/>
  <c r="L6" i="3"/>
  <c r="L7" i="3" s="1"/>
  <c r="C6" i="3"/>
  <c r="C12" i="3" s="1"/>
  <c r="C18" i="3" s="1"/>
  <c r="C19" i="3" s="1"/>
  <c r="L3" i="3"/>
  <c r="D3" i="3"/>
  <c r="E3" i="3"/>
  <c r="F3" i="3"/>
  <c r="G3" i="3"/>
  <c r="H3" i="3"/>
  <c r="I3" i="3"/>
  <c r="J3" i="3"/>
  <c r="K3" i="3"/>
  <c r="C3" i="3"/>
  <c r="S18" i="8" l="1"/>
  <c r="T18" i="8" s="1"/>
  <c r="J18" i="8"/>
  <c r="J16" i="8"/>
  <c r="E17" i="8"/>
  <c r="K18" i="3"/>
  <c r="J12" i="3"/>
  <c r="C25" i="3"/>
  <c r="E25" i="3"/>
  <c r="C27" i="3"/>
  <c r="J7" i="3"/>
  <c r="M12" i="3"/>
  <c r="F16" i="3"/>
  <c r="J22" i="3"/>
  <c r="C22" i="3"/>
  <c r="D25" i="3"/>
  <c r="E27" i="3"/>
  <c r="L12" i="3"/>
  <c r="D12" i="3"/>
  <c r="M7" i="3"/>
  <c r="K7" i="3"/>
  <c r="M16" i="3"/>
  <c r="E16" i="3"/>
  <c r="I22" i="3"/>
  <c r="M25" i="3"/>
  <c r="L16" i="3"/>
  <c r="D16" i="3"/>
  <c r="H22" i="3"/>
  <c r="E7" i="3"/>
  <c r="F7" i="3"/>
  <c r="F10" i="3"/>
  <c r="K16" i="3"/>
  <c r="C16" i="3"/>
  <c r="G22" i="3"/>
  <c r="I25" i="3"/>
  <c r="E10" i="3"/>
  <c r="H25" i="3"/>
  <c r="G25" i="3"/>
  <c r="K10" i="3"/>
  <c r="F25" i="3"/>
  <c r="G12" i="3"/>
  <c r="H12" i="3"/>
  <c r="G16" i="3"/>
  <c r="H7" i="3"/>
  <c r="F12" i="3"/>
  <c r="I10" i="3"/>
  <c r="I16" i="3"/>
  <c r="I12" i="3"/>
  <c r="I7" i="3"/>
  <c r="H10" i="3"/>
  <c r="D7" i="3"/>
  <c r="M10" i="3"/>
  <c r="C33" i="3" l="1"/>
  <c r="C28" i="3"/>
  <c r="C31" i="3"/>
  <c r="F18" i="3"/>
  <c r="G18" i="3"/>
  <c r="D18" i="3"/>
  <c r="E33" i="3"/>
  <c r="E28" i="3"/>
  <c r="E31" i="3"/>
  <c r="K19" i="3"/>
  <c r="K27" i="3"/>
  <c r="J18" i="3"/>
  <c r="I18" i="3"/>
  <c r="L18" i="3"/>
  <c r="H18" i="3"/>
  <c r="M18" i="3"/>
  <c r="K33" i="3" l="1"/>
  <c r="K28" i="3"/>
  <c r="K31" i="3"/>
  <c r="E38" i="3"/>
  <c r="E34" i="3"/>
  <c r="J19" i="3"/>
  <c r="J27" i="3"/>
  <c r="D19" i="3"/>
  <c r="D27" i="3"/>
  <c r="M19" i="3"/>
  <c r="M27" i="3"/>
  <c r="G19" i="3"/>
  <c r="G27" i="3"/>
  <c r="H19" i="3"/>
  <c r="H27" i="3"/>
  <c r="F19" i="3"/>
  <c r="F27" i="3"/>
  <c r="L19" i="3"/>
  <c r="L27" i="3"/>
  <c r="I19" i="3"/>
  <c r="I27" i="3"/>
  <c r="C34" i="3"/>
  <c r="C38" i="3"/>
  <c r="J28" i="3" l="1"/>
  <c r="J33" i="3"/>
  <c r="J31" i="3"/>
  <c r="C42" i="3"/>
  <c r="C44" i="3" s="1"/>
  <c r="H31" i="3"/>
  <c r="H33" i="3"/>
  <c r="H28" i="3"/>
  <c r="I33" i="3"/>
  <c r="I28" i="3"/>
  <c r="I31" i="3"/>
  <c r="G33" i="3"/>
  <c r="G28" i="3"/>
  <c r="G31" i="3"/>
  <c r="E42" i="3"/>
  <c r="E44" i="3" s="1"/>
  <c r="L33" i="3"/>
  <c r="L28" i="3"/>
  <c r="L31" i="3"/>
  <c r="M33" i="3"/>
  <c r="M28" i="3"/>
  <c r="M31" i="3"/>
  <c r="F33" i="3"/>
  <c r="F28" i="3"/>
  <c r="F31" i="3"/>
  <c r="D33" i="3"/>
  <c r="D28" i="3"/>
  <c r="D31" i="3"/>
  <c r="K38" i="3"/>
  <c r="K34" i="3"/>
  <c r="H34" i="3" l="1"/>
  <c r="H38" i="3"/>
  <c r="K42" i="3"/>
  <c r="K44" i="3" s="1"/>
  <c r="F34" i="3"/>
  <c r="F38" i="3"/>
  <c r="M38" i="3"/>
  <c r="M34" i="3"/>
  <c r="G34" i="3"/>
  <c r="G38" i="3"/>
  <c r="D38" i="3"/>
  <c r="D34" i="3"/>
  <c r="L38" i="3"/>
  <c r="L34" i="3"/>
  <c r="J34" i="3"/>
  <c r="J38" i="3"/>
  <c r="J39" i="3" s="1"/>
  <c r="I34" i="3"/>
  <c r="I38" i="3"/>
  <c r="E39" i="3" l="1"/>
  <c r="F42" i="3"/>
  <c r="F44" i="3" s="1"/>
  <c r="L39" i="3"/>
  <c r="M42" i="3"/>
  <c r="M44" i="3" s="1"/>
  <c r="C39" i="3"/>
  <c r="D42" i="3"/>
  <c r="D44" i="3" s="1"/>
  <c r="D39" i="3"/>
  <c r="K39" i="3"/>
  <c r="L42" i="3"/>
  <c r="L44" i="3" s="1"/>
  <c r="H39" i="3"/>
  <c r="I42" i="3"/>
  <c r="I44" i="3" s="1"/>
  <c r="F39" i="3"/>
  <c r="G42" i="3"/>
  <c r="G44" i="3" s="1"/>
  <c r="G39" i="3"/>
  <c r="H42" i="3"/>
  <c r="H44" i="3" s="1"/>
  <c r="I39" i="3"/>
  <c r="J42" i="3"/>
  <c r="J44" i="3" s="1"/>
</calcChain>
</file>

<file path=xl/sharedStrings.xml><?xml version="1.0" encoding="utf-8"?>
<sst xmlns="http://schemas.openxmlformats.org/spreadsheetml/2006/main" count="219" uniqueCount="156">
  <si>
    <t>COMPANY NAME</t>
  </si>
  <si>
    <t>INFOSYS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</si>
  <si>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</si>
  <si>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</si>
  <si>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</si>
  <si>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</si>
  <si>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</si>
  <si>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</si>
  <si>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</si>
  <si>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</si>
  <si>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</si>
  <si>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</si>
  <si>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</si>
  <si>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</si>
  <si>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</si>
  <si>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</si>
  <si>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</si>
  <si>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</si>
  <si>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</si>
  <si>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</si>
  <si>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</si>
  <si>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</si>
  <si>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</si>
  <si>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</si>
  <si>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</si>
  <si>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</si>
  <si>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</si>
  <si>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</si>
  <si>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</si>
  <si>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</si>
  <si>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</si>
  <si>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</si>
  <si>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</si>
  <si>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</si>
  <si>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</si>
  <si>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</si>
  <si>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</si>
  <si>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</si>
  <si>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</si>
  <si>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</si>
  <si>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</si>
  <si>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</si>
  <si>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</si>
  <si>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</si>
  <si>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</si>
  <si>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</si>
  <si>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</si>
  <si>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</si>
  <si>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</si>
  <si>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</si>
  <si>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</si>
  <si>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</si>
  <si>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</si>
  <si>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</si>
  <si>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/>
  </si>
  <si>
    <t>Year</t>
  </si>
  <si>
    <t>LTM</t>
  </si>
  <si>
    <t>#</t>
  </si>
  <si>
    <t>Incomestatement</t>
  </si>
  <si>
    <t>Sales growth</t>
  </si>
  <si>
    <t>-</t>
  </si>
  <si>
    <t>Cost of good sold</t>
  </si>
  <si>
    <t>Cogs % of sales</t>
  </si>
  <si>
    <t>Gross profit</t>
  </si>
  <si>
    <t>Selling&amp;general expns</t>
  </si>
  <si>
    <t>S&amp;g exp % of sales</t>
  </si>
  <si>
    <t>EBITDA</t>
  </si>
  <si>
    <t>EBITDA margins</t>
  </si>
  <si>
    <t>Interest % sales</t>
  </si>
  <si>
    <t>Depreciation% sales</t>
  </si>
  <si>
    <t>Gross profit %sales</t>
  </si>
  <si>
    <t>Earning before tax</t>
  </si>
  <si>
    <t>EBT % sales</t>
  </si>
  <si>
    <t>Effective tax rate</t>
  </si>
  <si>
    <t>Net margins</t>
  </si>
  <si>
    <t>No of equity shares</t>
  </si>
  <si>
    <t>Earning per share</t>
  </si>
  <si>
    <t>Divident per share</t>
  </si>
  <si>
    <t>Eps growth %</t>
  </si>
  <si>
    <t>Divident payout ratio</t>
  </si>
  <si>
    <t>Retained earnings</t>
  </si>
  <si>
    <t>Balancesheet</t>
  </si>
  <si>
    <t>Total liabilities</t>
  </si>
  <si>
    <t>Fixed asset net block</t>
  </si>
  <si>
    <t>Total non current asset</t>
  </si>
  <si>
    <t>Total current asset</t>
  </si>
  <si>
    <t>Total asset</t>
  </si>
  <si>
    <t>check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</si>
  <si>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</si>
  <si>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</si>
  <si>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</si>
  <si>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</si>
  <si>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</si>
  <si>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</si>
  <si>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</si>
  <si>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</si>
  <si>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</si>
  <si>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</si>
  <si>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</si>
  <si>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</si>
  <si>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</si>
  <si>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</si>
  <si>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</si>
  <si>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</si>
  <si>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</si>
  <si>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</si>
  <si>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</si>
  <si>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Dividends paid</t>
  </si>
  <si>
    <t>Financial liabilities</t>
  </si>
  <si>
    <t>Other financing items</t>
  </si>
  <si>
    <t>Cashflow statement</t>
  </si>
  <si>
    <t>opreating activity</t>
  </si>
  <si>
    <t>Cash from opreating activity</t>
  </si>
  <si>
    <t>Investing activity</t>
  </si>
  <si>
    <t>Cash from investing activity</t>
  </si>
  <si>
    <t>Financing activity</t>
  </si>
  <si>
    <t>cash from financing activity</t>
  </si>
  <si>
    <t>Net cashflow</t>
  </si>
  <si>
    <t xml:space="preserve"> #</t>
  </si>
  <si>
    <t>Ebitda margin</t>
  </si>
  <si>
    <t>Gross margin</t>
  </si>
  <si>
    <t>Ebit growth</t>
  </si>
  <si>
    <t>Net profit growth</t>
  </si>
  <si>
    <t>Divident growth</t>
  </si>
  <si>
    <t>EBT margin</t>
  </si>
  <si>
    <t>Net profit margin</t>
  </si>
  <si>
    <t>Sales expenses% sales</t>
  </si>
  <si>
    <t>Depreciation % sales</t>
  </si>
  <si>
    <t>Opreating income%sales</t>
  </si>
  <si>
    <t>Return on capital employed</t>
  </si>
  <si>
    <t>Retained earning %</t>
  </si>
  <si>
    <t>Return on equity %</t>
  </si>
  <si>
    <t>Self susteined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</si>
  <si>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</si>
  <si>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</si>
  <si>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</si>
  <si>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</si>
  <si>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</si>
  <si>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</si>
  <si>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 xml:space="preserve">Debtor days </t>
  </si>
  <si>
    <t xml:space="preserve">Payable days </t>
  </si>
  <si>
    <t>Inventory days</t>
  </si>
  <si>
    <t>Cash conversion cycle</t>
  </si>
  <si>
    <t>CFO/sales</t>
  </si>
  <si>
    <t>CFO/total asset</t>
  </si>
  <si>
    <t>CFO/total debt</t>
  </si>
  <si>
    <t>Ebitda growth</t>
  </si>
  <si>
    <t>Ebit margin</t>
  </si>
  <si>
    <t>Mean</t>
  </si>
  <si>
    <t>Median</t>
  </si>
  <si>
    <t>Trend</t>
  </si>
  <si>
    <t>year weight</t>
  </si>
  <si>
    <t>year</t>
  </si>
  <si>
    <t>sales</t>
  </si>
  <si>
    <t>sales growth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</si>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</sst>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\-#,##0.0\);\-"/>
    <numFmt numFmtId="167" formatCode="&quot;₹&quot;\ #,##0.0;&quot;₹&quot;\ \-#,##0.0"/>
    <numFmt numFmtId="168" formatCode="0.0%"/>
    <numFmt numFmtId="169" formatCode="0.00&quot;x&quot;"/>
    <numFmt numFmtId="170" formatCode="0&quot;days&quot;"/>
    <numFmt numFmtId="172" formatCode="0&quot;E&quot;"/>
    <numFmt numFmtId="174" formatCode="yyyy&quot;A&quot;"/>
    <numFmt numFmtId="175" formatCode="#,##0.0"/>
    <numFmt numFmtId="176" formatCode="#,##0.0;\-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FF8119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3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7D3C4A"/>
        <bgColor rgb="FFFFFFFF"/>
      </patternFill>
    </fill>
    <fill>
      <patternFill patternType="solid">
        <fgColor rgb="FF0275D8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43" fontId="6" fillId="0" borderId="0" xfId="1" applyFont="1" applyFill="1" applyBorder="1"/>
    <xf numFmtId="43" fontId="7" fillId="0" borderId="0" xfId="3" applyNumberFormat="1" applyFont="1" applyFill="1" applyBorder="1" applyAlignment="1" applyProtection="1">
      <alignment horizontal="center"/>
    </xf>
    <xf numFmtId="43" fontId="8" fillId="0" borderId="0" xfId="1" applyFont="1" applyFill="1" applyBorder="1"/>
    <xf numFmtId="43" fontId="9" fillId="3" borderId="0" xfId="2" applyNumberFormat="1" applyFont="1" applyFill="1" applyBorder="1" applyAlignment="1">
      <alignment horizontal="center"/>
    </xf>
    <xf numFmtId="0" fontId="8" fillId="0" borderId="0" xfId="0" applyFont="1"/>
    <xf numFmtId="164" fontId="9" fillId="4" borderId="0" xfId="1" applyNumberFormat="1" applyFont="1" applyFill="1" applyBorder="1"/>
    <xf numFmtId="164" fontId="9" fillId="4" borderId="0" xfId="0" applyNumberFormat="1" applyFont="1" applyFill="1" applyAlignment="1">
      <alignment horizontal="center"/>
    </xf>
    <xf numFmtId="43" fontId="5" fillId="0" borderId="0" xfId="1" applyFont="1" applyFill="1" applyBorder="1"/>
    <xf numFmtId="165" fontId="8" fillId="0" borderId="0" xfId="1" applyNumberFormat="1" applyFont="1" applyFill="1" applyBorder="1"/>
    <xf numFmtId="0" fontId="3" fillId="5" borderId="0" xfId="0" applyFont="1" applyFill="1"/>
    <xf numFmtId="17" fontId="3" fillId="5" borderId="0" xfId="0" applyNumberFormat="1" applyFont="1" applyFill="1"/>
    <xf numFmtId="17" fontId="3" fillId="5" borderId="0" xfId="0" applyNumberFormat="1" applyFont="1" applyFill="1" applyAlignment="1">
      <alignment horizontal="right" indent="1"/>
    </xf>
    <xf numFmtId="166" fontId="0" fillId="0" borderId="0" xfId="0" applyNumberFormat="1"/>
    <xf numFmtId="9" fontId="0" fillId="0" borderId="0" xfId="4" applyFont="1"/>
    <xf numFmtId="0" fontId="11" fillId="7" borderId="0" xfId="0" applyFont="1" applyFill="1"/>
    <xf numFmtId="0" fontId="11" fillId="7" borderId="0" xfId="0" applyFont="1" applyFill="1" applyAlignment="1">
      <alignment horizontal="right"/>
    </xf>
    <xf numFmtId="10" fontId="11" fillId="7" borderId="0" xfId="4" applyNumberFormat="1" applyFont="1" applyFill="1"/>
    <xf numFmtId="167" fontId="0" fillId="0" borderId="0" xfId="0" applyNumberFormat="1"/>
    <xf numFmtId="0" fontId="5" fillId="0" borderId="0" xfId="1" applyNumberFormat="1" applyFont="1" applyFill="1" applyBorder="1"/>
    <xf numFmtId="9" fontId="11" fillId="7" borderId="0" xfId="4" applyFont="1" applyFill="1" applyAlignment="1">
      <alignment horizontal="right"/>
    </xf>
    <xf numFmtId="0" fontId="10" fillId="0" borderId="0" xfId="0" applyFont="1"/>
    <xf numFmtId="0" fontId="10" fillId="8" borderId="0" xfId="0" applyFont="1" applyFill="1"/>
    <xf numFmtId="0" fontId="0" fillId="8" borderId="0" xfId="0" applyFill="1"/>
    <xf numFmtId="0" fontId="12" fillId="7" borderId="0" xfId="0" applyFont="1" applyFill="1"/>
    <xf numFmtId="17" fontId="0" fillId="0" borderId="0" xfId="0" applyNumberFormat="1"/>
    <xf numFmtId="3" fontId="0" fillId="0" borderId="0" xfId="0" applyNumberFormat="1"/>
    <xf numFmtId="0" fontId="2" fillId="6" borderId="0" xfId="0" applyFont="1" applyFill="1" applyAlignment="1">
      <alignment horizontal="center" vertical="top"/>
    </xf>
    <xf numFmtId="0" fontId="10" fillId="0" borderId="1" xfId="0" applyFont="1" applyBorder="1"/>
    <xf numFmtId="167" fontId="10" fillId="0" borderId="1" xfId="0" applyNumberFormat="1" applyFont="1" applyBorder="1"/>
    <xf numFmtId="0" fontId="0" fillId="0" borderId="2" xfId="0" applyBorder="1"/>
    <xf numFmtId="168" fontId="0" fillId="0" borderId="2" xfId="4" applyNumberFormat="1" applyFont="1" applyBorder="1"/>
    <xf numFmtId="9" fontId="0" fillId="0" borderId="2" xfId="4" applyFont="1" applyBorder="1"/>
    <xf numFmtId="9" fontId="0" fillId="0" borderId="0" xfId="4" applyFont="1" applyBorder="1"/>
    <xf numFmtId="0" fontId="0" fillId="0" borderId="3" xfId="0" applyBorder="1"/>
    <xf numFmtId="9" fontId="0" fillId="0" borderId="3" xfId="4" applyFont="1" applyBorder="1"/>
    <xf numFmtId="169" fontId="0" fillId="0" borderId="2" xfId="0" applyNumberFormat="1" applyBorder="1"/>
    <xf numFmtId="169" fontId="0" fillId="0" borderId="0" xfId="0" applyNumberFormat="1"/>
    <xf numFmtId="169" fontId="0" fillId="0" borderId="3" xfId="0" applyNumberFormat="1" applyBorder="1"/>
    <xf numFmtId="170" fontId="0" fillId="0" borderId="2" xfId="0" applyNumberFormat="1" applyBorder="1"/>
    <xf numFmtId="170" fontId="0" fillId="0" borderId="0" xfId="0" applyNumberFormat="1"/>
    <xf numFmtId="170" fontId="0" fillId="0" borderId="3" xfId="0" applyNumberFormat="1" applyBorder="1"/>
    <xf numFmtId="9" fontId="0" fillId="0" borderId="0" xfId="4" applyFont="1" applyFill="1" applyBorder="1"/>
    <xf numFmtId="0" fontId="2" fillId="6" borderId="0" xfId="0" applyFont="1" applyFill="1" applyAlignment="1">
      <alignment horizontal="center" vertical="top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right"/>
    </xf>
    <xf numFmtId="0" fontId="13" fillId="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right" vertical="center"/>
    </xf>
    <xf numFmtId="0" fontId="10" fillId="9" borderId="0" xfId="0" applyFont="1" applyFill="1" applyAlignment="1">
      <alignment horizontal="center"/>
    </xf>
    <xf numFmtId="174" fontId="0" fillId="0" borderId="0" xfId="0" applyNumberFormat="1"/>
    <xf numFmtId="175" fontId="0" fillId="0" borderId="0" xfId="0" applyNumberFormat="1"/>
    <xf numFmtId="43" fontId="10" fillId="9" borderId="0" xfId="0" applyNumberFormat="1" applyFont="1" applyFill="1" applyAlignment="1">
      <alignment horizontal="center"/>
    </xf>
    <xf numFmtId="176" fontId="0" fillId="0" borderId="1" xfId="0" applyNumberFormat="1" applyFont="1" applyBorder="1"/>
  </cellXfs>
  <cellStyles count="5">
    <cellStyle name="Accent6" xfId="2" builtinId="49"/>
    <cellStyle name="Comma" xfId="1" builtinId="3"/>
    <cellStyle name="Hyperlink" xfId="3" builtinId="8"/>
    <cellStyle name="Normal" xfId="0" builtinId="0"/>
    <cellStyle name="Percent" xfId="4" builtinId="5"/>
  </cellStyles>
  <dxfs count="1">
    <dxf>
      <font>
        <b/>
        <i val="0"/>
        <color rgb="FFFFFFFF"/>
      </font>
      <fill>
        <patternFill>
          <bgColor rgb="FFDA1F2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D540-E201-43A2-9832-5E09095DF95F}">
  <dimension ref="A1:K93"/>
  <sheetViews>
    <sheetView tabSelected="1" workbookViewId="0">
      <selection activeCell="B30" sqref="B30:K30"/>
    </sheetView>
  </sheetViews>
  <sheetFormatPr defaultRowHeight="14.4" x14ac:dyDescent="0.3"/>
  <cols>
    <col min="1" max="1" width="27.6640625" style="3" bestFit="1" customWidth="1"/>
    <col min="2" max="11" width="13.44140625" style="3" bestFit="1" customWidth="1"/>
  </cols>
  <sheetData>
    <row r="1" spans="1:11" x14ac:dyDescent="0.3">
      <c r="A1" s="1" t="s">
        <v>0</v>
      </c>
      <c r="B1" s="1" t="s">
        <v>1</v>
      </c>
      <c r="C1" s="1"/>
      <c r="D1" s="1"/>
      <c r="E1" s="2" t="s">
        <v>54</v>
      </c>
      <c r="F1" s="2"/>
      <c r="G1" s="2"/>
      <c r="H1" s="2"/>
      <c r="I1" s="2"/>
      <c r="J1" s="2"/>
      <c r="K1" s="2"/>
    </row>
    <row r="2" spans="1:11" x14ac:dyDescent="0.3">
      <c r="A2" s="1" t="s">
        <v>2</v>
      </c>
      <c r="B2" s="3">
        <v>2.1</v>
      </c>
      <c r="E2" s="4" t="s">
        <v>3</v>
      </c>
      <c r="F2" s="4"/>
      <c r="G2" s="4"/>
      <c r="H2" s="4"/>
      <c r="I2" s="4"/>
      <c r="J2" s="4"/>
      <c r="K2" s="4"/>
    </row>
    <row r="3" spans="1:11" x14ac:dyDescent="0.3">
      <c r="A3" s="1" t="s">
        <v>4</v>
      </c>
      <c r="B3" s="3">
        <v>2.1</v>
      </c>
    </row>
    <row r="4" spans="1:11" x14ac:dyDescent="0.3">
      <c r="A4" s="1"/>
    </row>
    <row r="5" spans="1:11" x14ac:dyDescent="0.3">
      <c r="A5" s="1" t="s">
        <v>5</v>
      </c>
    </row>
    <row r="6" spans="1:11" x14ac:dyDescent="0.3">
      <c r="A6" s="3" t="s">
        <v>6</v>
      </c>
      <c r="B6" s="3">
        <v>415.25707643572451</v>
      </c>
    </row>
    <row r="7" spans="1:11" x14ac:dyDescent="0.3">
      <c r="A7" s="3" t="s">
        <v>7</v>
      </c>
      <c r="B7" s="5">
        <v>5</v>
      </c>
    </row>
    <row r="8" spans="1:11" x14ac:dyDescent="0.3">
      <c r="A8" s="3" t="s">
        <v>8</v>
      </c>
      <c r="B8" s="5">
        <v>1957.2</v>
      </c>
    </row>
    <row r="9" spans="1:11" x14ac:dyDescent="0.3">
      <c r="A9" s="3" t="s">
        <v>9</v>
      </c>
      <c r="B9" s="5">
        <v>812741.15</v>
      </c>
    </row>
    <row r="15" spans="1:11" x14ac:dyDescent="0.3">
      <c r="A15" s="1" t="s">
        <v>10</v>
      </c>
    </row>
    <row r="16" spans="1:11" x14ac:dyDescent="0.3">
      <c r="A16" s="6" t="s">
        <v>11</v>
      </c>
      <c r="B16" s="7">
        <v>42094</v>
      </c>
      <c r="C16" s="7">
        <v>42460</v>
      </c>
      <c r="D16" s="7">
        <v>42825</v>
      </c>
      <c r="E16" s="7">
        <v>43190</v>
      </c>
      <c r="F16" s="7">
        <v>43555</v>
      </c>
      <c r="G16" s="7">
        <v>43921</v>
      </c>
      <c r="H16" s="7">
        <v>44286</v>
      </c>
      <c r="I16" s="7">
        <v>44651</v>
      </c>
      <c r="J16" s="7">
        <v>45016</v>
      </c>
      <c r="K16" s="7">
        <v>45382</v>
      </c>
    </row>
    <row r="17" spans="1:11" x14ac:dyDescent="0.3">
      <c r="A17" s="8" t="s">
        <v>12</v>
      </c>
      <c r="B17" s="5">
        <v>53319</v>
      </c>
      <c r="C17" s="5">
        <v>62441</v>
      </c>
      <c r="D17" s="5">
        <v>68484</v>
      </c>
      <c r="E17" s="5">
        <v>70522</v>
      </c>
      <c r="F17" s="5">
        <v>82675</v>
      </c>
      <c r="G17" s="5">
        <v>90791</v>
      </c>
      <c r="H17" s="5">
        <v>100472</v>
      </c>
      <c r="I17" s="5">
        <v>121641</v>
      </c>
      <c r="J17" s="5">
        <v>146767</v>
      </c>
      <c r="K17" s="5">
        <v>153670</v>
      </c>
    </row>
    <row r="18" spans="1:11" x14ac:dyDescent="0.3">
      <c r="A18" s="3" t="s">
        <v>13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3">
      <c r="A19" s="3" t="s">
        <v>14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3">
      <c r="A20" s="3" t="s">
        <v>15</v>
      </c>
      <c r="B20" s="5">
        <v>219</v>
      </c>
      <c r="C20" s="5">
        <v>217</v>
      </c>
      <c r="D20" s="5">
        <v>228</v>
      </c>
      <c r="E20" s="5">
        <v>207</v>
      </c>
      <c r="F20" s="5">
        <v>221</v>
      </c>
      <c r="G20" s="5">
        <v>229</v>
      </c>
      <c r="H20" s="5">
        <v>143</v>
      </c>
      <c r="I20" s="5">
        <v>132</v>
      </c>
      <c r="J20" s="5">
        <v>176</v>
      </c>
      <c r="K20" s="5">
        <v>199</v>
      </c>
    </row>
    <row r="21" spans="1:11" x14ac:dyDescent="0.3">
      <c r="A21" s="3" t="s">
        <v>16</v>
      </c>
      <c r="B21" s="5">
        <v>3979</v>
      </c>
      <c r="C21" s="5">
        <v>5860</v>
      </c>
      <c r="D21" s="5">
        <v>6712</v>
      </c>
      <c r="E21" s="5">
        <v>7286</v>
      </c>
      <c r="F21" s="5">
        <v>9902</v>
      </c>
      <c r="G21" s="5">
        <v>11086</v>
      </c>
      <c r="H21" s="5">
        <v>12800</v>
      </c>
      <c r="I21" s="5">
        <v>20690</v>
      </c>
      <c r="J21" s="5">
        <v>26330</v>
      </c>
      <c r="K21" s="5">
        <v>27195</v>
      </c>
    </row>
    <row r="22" spans="1:11" x14ac:dyDescent="0.3">
      <c r="A22" s="3" t="s">
        <v>17</v>
      </c>
      <c r="B22" s="5">
        <v>29811</v>
      </c>
      <c r="C22" s="5">
        <v>34415</v>
      </c>
      <c r="D22" s="5">
        <v>37669</v>
      </c>
      <c r="E22" s="5">
        <v>38902</v>
      </c>
      <c r="F22" s="5">
        <v>45323</v>
      </c>
      <c r="G22" s="5">
        <v>50895</v>
      </c>
      <c r="H22" s="5">
        <v>55547</v>
      </c>
      <c r="I22" s="5">
        <v>63997</v>
      </c>
      <c r="J22" s="5">
        <v>78374</v>
      </c>
      <c r="K22" s="5">
        <v>82636</v>
      </c>
    </row>
    <row r="23" spans="1:11" x14ac:dyDescent="0.3">
      <c r="A23" s="3" t="s">
        <v>18</v>
      </c>
      <c r="B23" s="5">
        <v>3385</v>
      </c>
      <c r="C23" s="5">
        <v>4441</v>
      </c>
      <c r="D23" s="5">
        <v>4584</v>
      </c>
      <c r="E23" s="5">
        <v>4585</v>
      </c>
      <c r="F23" s="5">
        <v>5553</v>
      </c>
      <c r="G23" s="5">
        <v>5375</v>
      </c>
      <c r="H23" s="5">
        <v>3194</v>
      </c>
      <c r="I23" s="5">
        <v>4305</v>
      </c>
      <c r="J23" s="5">
        <v>5300</v>
      </c>
      <c r="K23" s="5">
        <v>5705</v>
      </c>
    </row>
    <row r="24" spans="1:11" x14ac:dyDescent="0.3">
      <c r="A24" s="3" t="s">
        <v>19</v>
      </c>
      <c r="B24" s="5">
        <v>1042</v>
      </c>
      <c r="C24" s="5">
        <v>429</v>
      </c>
      <c r="D24" s="5">
        <v>687</v>
      </c>
      <c r="E24" s="5">
        <v>720</v>
      </c>
      <c r="F24" s="5">
        <v>1506</v>
      </c>
      <c r="G24" s="5">
        <v>939</v>
      </c>
      <c r="H24" s="5">
        <v>899</v>
      </c>
      <c r="I24" s="5">
        <v>1026</v>
      </c>
      <c r="J24" s="5">
        <v>1457</v>
      </c>
      <c r="K24" s="5">
        <v>1510</v>
      </c>
    </row>
    <row r="25" spans="1:11" x14ac:dyDescent="0.3">
      <c r="A25" s="8" t="s">
        <v>20</v>
      </c>
      <c r="B25" s="5">
        <v>3430</v>
      </c>
      <c r="C25" s="5">
        <v>3120</v>
      </c>
      <c r="D25" s="5">
        <v>3050</v>
      </c>
      <c r="E25" s="5">
        <v>3311</v>
      </c>
      <c r="F25" s="5">
        <v>2882</v>
      </c>
      <c r="G25" s="5">
        <v>2803</v>
      </c>
      <c r="H25" s="5">
        <v>2201</v>
      </c>
      <c r="I25" s="5">
        <v>2295</v>
      </c>
      <c r="J25" s="5">
        <v>2701</v>
      </c>
      <c r="K25" s="5">
        <v>4711</v>
      </c>
    </row>
    <row r="26" spans="1:11" x14ac:dyDescent="0.3">
      <c r="A26" s="8" t="s">
        <v>21</v>
      </c>
      <c r="B26" s="5">
        <v>1017</v>
      </c>
      <c r="C26" s="5">
        <v>1459</v>
      </c>
      <c r="D26" s="5">
        <v>1703</v>
      </c>
      <c r="E26" s="5">
        <v>1863</v>
      </c>
      <c r="F26" s="5">
        <v>2011</v>
      </c>
      <c r="G26" s="5">
        <v>2893</v>
      </c>
      <c r="H26" s="5">
        <v>3267</v>
      </c>
      <c r="I26" s="5">
        <v>3476</v>
      </c>
      <c r="J26" s="5">
        <v>4225</v>
      </c>
      <c r="K26" s="5">
        <v>4678</v>
      </c>
    </row>
    <row r="27" spans="1:11" x14ac:dyDescent="0.3">
      <c r="A27" s="8" t="s">
        <v>22</v>
      </c>
      <c r="B27" s="5">
        <v>12</v>
      </c>
      <c r="C27" s="19">
        <v>70</v>
      </c>
      <c r="D27" s="19">
        <v>110</v>
      </c>
      <c r="E27" s="19">
        <v>150</v>
      </c>
      <c r="F27" s="19">
        <v>160</v>
      </c>
      <c r="G27" s="5">
        <v>170</v>
      </c>
      <c r="H27" s="5">
        <v>195</v>
      </c>
      <c r="I27" s="5">
        <v>200</v>
      </c>
      <c r="J27" s="5">
        <v>284</v>
      </c>
      <c r="K27" s="5">
        <v>470</v>
      </c>
    </row>
    <row r="28" spans="1:11" x14ac:dyDescent="0.3">
      <c r="A28" s="8" t="s">
        <v>23</v>
      </c>
      <c r="B28" s="5">
        <v>17284</v>
      </c>
      <c r="C28" s="5">
        <v>18740</v>
      </c>
      <c r="D28" s="5">
        <v>19951</v>
      </c>
      <c r="E28" s="5">
        <v>20270</v>
      </c>
      <c r="F28" s="5">
        <v>21041</v>
      </c>
      <c r="G28" s="5">
        <v>22007</v>
      </c>
      <c r="H28" s="5">
        <v>26628</v>
      </c>
      <c r="I28" s="5">
        <v>30110</v>
      </c>
      <c r="J28" s="5">
        <v>33322</v>
      </c>
      <c r="K28" s="5">
        <v>35988</v>
      </c>
    </row>
    <row r="29" spans="1:11" x14ac:dyDescent="0.3">
      <c r="A29" s="8" t="s">
        <v>24</v>
      </c>
      <c r="B29" s="5">
        <v>4911</v>
      </c>
      <c r="C29" s="5">
        <v>5251</v>
      </c>
      <c r="D29" s="5">
        <v>5598</v>
      </c>
      <c r="E29" s="5">
        <v>4241</v>
      </c>
      <c r="F29" s="5">
        <v>5631</v>
      </c>
      <c r="G29" s="5">
        <v>5368</v>
      </c>
      <c r="H29" s="5">
        <v>7205</v>
      </c>
      <c r="I29" s="5">
        <v>7964</v>
      </c>
      <c r="J29" s="5">
        <v>9214</v>
      </c>
      <c r="K29" s="5">
        <v>9740</v>
      </c>
    </row>
    <row r="30" spans="1:11" x14ac:dyDescent="0.3">
      <c r="A30" s="8" t="s">
        <v>25</v>
      </c>
      <c r="B30" s="5">
        <v>12372</v>
      </c>
      <c r="C30" s="5">
        <v>13489</v>
      </c>
      <c r="D30" s="5">
        <v>14353</v>
      </c>
      <c r="E30" s="5">
        <v>16029</v>
      </c>
      <c r="F30" s="5">
        <v>15404</v>
      </c>
      <c r="G30" s="5">
        <v>16594</v>
      </c>
      <c r="H30" s="5">
        <v>19351</v>
      </c>
      <c r="I30" s="5">
        <v>22110</v>
      </c>
      <c r="J30" s="5">
        <v>24095</v>
      </c>
      <c r="K30" s="5">
        <v>26233</v>
      </c>
    </row>
    <row r="31" spans="1:11" x14ac:dyDescent="0.3">
      <c r="A31" s="8" t="s">
        <v>26</v>
      </c>
      <c r="B31" s="5">
        <v>6806.8</v>
      </c>
      <c r="C31" s="5">
        <v>5548.4</v>
      </c>
      <c r="D31" s="5">
        <v>5891.6</v>
      </c>
      <c r="E31" s="5">
        <v>9465.6</v>
      </c>
      <c r="F31" s="5">
        <v>9222.5</v>
      </c>
      <c r="G31" s="5">
        <v>7427</v>
      </c>
      <c r="H31" s="5">
        <v>11469.6</v>
      </c>
      <c r="I31" s="5">
        <v>13007.6</v>
      </c>
      <c r="J31" s="5">
        <v>14069.2</v>
      </c>
      <c r="K31" s="5">
        <v>19053.2</v>
      </c>
    </row>
    <row r="32" spans="1:1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3">
      <c r="A33" s="8"/>
    </row>
    <row r="34" spans="1:11" x14ac:dyDescent="0.3">
      <c r="A34" s="8"/>
    </row>
    <row r="35" spans="1:11" x14ac:dyDescent="0.3">
      <c r="A35" s="8"/>
    </row>
    <row r="36" spans="1:11" x14ac:dyDescent="0.3">
      <c r="A36" s="8"/>
    </row>
    <row r="37" spans="1:11" x14ac:dyDescent="0.3">
      <c r="A37" s="8"/>
    </row>
    <row r="38" spans="1:11" x14ac:dyDescent="0.3">
      <c r="A38" s="8"/>
    </row>
    <row r="39" spans="1:11" x14ac:dyDescent="0.3">
      <c r="A39" s="8"/>
    </row>
    <row r="40" spans="1:11" x14ac:dyDescent="0.3">
      <c r="A40" s="1" t="s">
        <v>27</v>
      </c>
    </row>
    <row r="41" spans="1:11" x14ac:dyDescent="0.3">
      <c r="A41" s="6" t="s">
        <v>11</v>
      </c>
      <c r="B41" s="7">
        <v>44651</v>
      </c>
      <c r="C41" s="7">
        <v>44742</v>
      </c>
      <c r="D41" s="7">
        <v>44834</v>
      </c>
      <c r="E41" s="7">
        <v>44926</v>
      </c>
      <c r="F41" s="7">
        <v>45016</v>
      </c>
      <c r="G41" s="7">
        <v>45107</v>
      </c>
      <c r="H41" s="7">
        <v>45199</v>
      </c>
      <c r="I41" s="7">
        <v>45291</v>
      </c>
      <c r="J41" s="7">
        <v>45382</v>
      </c>
      <c r="K41" s="7">
        <v>45473</v>
      </c>
    </row>
    <row r="42" spans="1:11" x14ac:dyDescent="0.3">
      <c r="A42" s="8" t="s">
        <v>12</v>
      </c>
      <c r="B42" s="5">
        <v>32276</v>
      </c>
      <c r="C42" s="5">
        <v>34470</v>
      </c>
      <c r="D42" s="5">
        <v>36538</v>
      </c>
      <c r="E42" s="5">
        <v>38318</v>
      </c>
      <c r="F42" s="5">
        <v>37441</v>
      </c>
      <c r="G42" s="5">
        <v>37933</v>
      </c>
      <c r="H42" s="5">
        <v>38994</v>
      </c>
      <c r="I42" s="5">
        <v>38821</v>
      </c>
      <c r="J42" s="5">
        <v>37923</v>
      </c>
      <c r="K42" s="5">
        <v>39315</v>
      </c>
    </row>
    <row r="43" spans="1:11" x14ac:dyDescent="0.3">
      <c r="A43" s="8" t="s">
        <v>28</v>
      </c>
      <c r="B43" s="5">
        <v>24430</v>
      </c>
      <c r="C43" s="5">
        <v>26606</v>
      </c>
      <c r="D43" s="5">
        <v>27636</v>
      </c>
      <c r="E43" s="5">
        <v>28951</v>
      </c>
      <c r="F43" s="5">
        <v>28443</v>
      </c>
      <c r="G43" s="5">
        <v>28869</v>
      </c>
      <c r="H43" s="5">
        <v>29554</v>
      </c>
      <c r="I43" s="5">
        <v>29684</v>
      </c>
      <c r="J43" s="5">
        <v>29139</v>
      </c>
      <c r="K43" s="5">
        <v>29878</v>
      </c>
    </row>
    <row r="44" spans="1:11" x14ac:dyDescent="0.3">
      <c r="A44" s="8" t="s">
        <v>20</v>
      </c>
      <c r="B44" s="5">
        <v>637</v>
      </c>
      <c r="C44" s="5">
        <v>676</v>
      </c>
      <c r="D44" s="5">
        <v>584</v>
      </c>
      <c r="E44" s="5">
        <v>769</v>
      </c>
      <c r="F44" s="5">
        <v>671</v>
      </c>
      <c r="G44" s="5">
        <v>561</v>
      </c>
      <c r="H44" s="5">
        <v>632</v>
      </c>
      <c r="I44" s="5">
        <v>789</v>
      </c>
      <c r="J44" s="5">
        <v>2729</v>
      </c>
      <c r="K44" s="5">
        <v>838</v>
      </c>
    </row>
    <row r="45" spans="1:11" x14ac:dyDescent="0.3">
      <c r="A45" s="8" t="s">
        <v>21</v>
      </c>
      <c r="B45" s="5">
        <v>890</v>
      </c>
      <c r="C45" s="5">
        <v>950</v>
      </c>
      <c r="D45" s="5">
        <v>1029</v>
      </c>
      <c r="E45" s="5">
        <v>1125</v>
      </c>
      <c r="F45" s="5">
        <v>1121</v>
      </c>
      <c r="G45" s="5">
        <v>1173</v>
      </c>
      <c r="H45" s="5">
        <v>1166</v>
      </c>
      <c r="I45" s="5">
        <v>1176</v>
      </c>
      <c r="J45" s="5">
        <v>1163</v>
      </c>
      <c r="K45" s="5">
        <v>1149</v>
      </c>
    </row>
    <row r="46" spans="1:11" x14ac:dyDescent="0.3">
      <c r="A46" s="8" t="s">
        <v>22</v>
      </c>
      <c r="B46" s="5">
        <v>50</v>
      </c>
      <c r="C46" s="5">
        <v>56</v>
      </c>
      <c r="D46" s="5">
        <v>66</v>
      </c>
      <c r="E46" s="5">
        <v>80</v>
      </c>
      <c r="F46" s="5">
        <v>82</v>
      </c>
      <c r="G46" s="5">
        <v>90</v>
      </c>
      <c r="H46" s="5">
        <v>138</v>
      </c>
      <c r="I46" s="5">
        <v>131</v>
      </c>
      <c r="J46" s="5">
        <v>110</v>
      </c>
      <c r="K46" s="5">
        <v>105</v>
      </c>
    </row>
    <row r="47" spans="1:11" x14ac:dyDescent="0.3">
      <c r="A47" s="8" t="s">
        <v>23</v>
      </c>
      <c r="B47" s="5">
        <v>7543</v>
      </c>
      <c r="C47" s="5">
        <v>7534</v>
      </c>
      <c r="D47" s="5">
        <v>8391</v>
      </c>
      <c r="E47" s="5">
        <v>8931</v>
      </c>
      <c r="F47" s="5">
        <v>8466</v>
      </c>
      <c r="G47" s="5">
        <v>8362</v>
      </c>
      <c r="H47" s="5">
        <v>8768</v>
      </c>
      <c r="I47" s="5">
        <v>8619</v>
      </c>
      <c r="J47" s="5">
        <v>10240</v>
      </c>
      <c r="K47" s="5">
        <v>9021</v>
      </c>
    </row>
    <row r="48" spans="1:11" x14ac:dyDescent="0.3">
      <c r="A48" s="8" t="s">
        <v>24</v>
      </c>
      <c r="B48" s="5">
        <v>1848</v>
      </c>
      <c r="C48" s="5">
        <v>2172</v>
      </c>
      <c r="D48" s="5">
        <v>2365</v>
      </c>
      <c r="E48" s="5">
        <v>2345</v>
      </c>
      <c r="F48" s="5">
        <v>2332</v>
      </c>
      <c r="G48" s="5">
        <v>2417</v>
      </c>
      <c r="H48" s="5">
        <v>2553</v>
      </c>
      <c r="I48" s="5">
        <v>2506</v>
      </c>
      <c r="J48" s="5">
        <v>2265</v>
      </c>
      <c r="K48" s="5">
        <v>2647</v>
      </c>
    </row>
    <row r="49" spans="1:11" x14ac:dyDescent="0.3">
      <c r="A49" s="8" t="s">
        <v>25</v>
      </c>
      <c r="B49" s="5">
        <v>5686</v>
      </c>
      <c r="C49" s="5">
        <v>5360</v>
      </c>
      <c r="D49" s="5">
        <v>6021</v>
      </c>
      <c r="E49" s="5">
        <v>6586</v>
      </c>
      <c r="F49" s="5">
        <v>6128</v>
      </c>
      <c r="G49" s="5">
        <v>5945</v>
      </c>
      <c r="H49" s="5">
        <v>6212</v>
      </c>
      <c r="I49" s="5">
        <v>6106</v>
      </c>
      <c r="J49" s="5">
        <v>7969</v>
      </c>
      <c r="K49" s="5">
        <v>6368</v>
      </c>
    </row>
    <row r="50" spans="1:11" x14ac:dyDescent="0.3">
      <c r="A50" s="8" t="s">
        <v>29</v>
      </c>
      <c r="B50" s="5">
        <v>7846</v>
      </c>
      <c r="C50" s="5">
        <v>7864</v>
      </c>
      <c r="D50" s="5">
        <v>8902</v>
      </c>
      <c r="E50" s="5">
        <v>9367</v>
      </c>
      <c r="F50" s="5">
        <v>8998</v>
      </c>
      <c r="G50" s="5">
        <v>9064</v>
      </c>
      <c r="H50" s="5">
        <v>9440</v>
      </c>
      <c r="I50" s="5">
        <v>9137</v>
      </c>
      <c r="J50" s="5">
        <v>8784</v>
      </c>
      <c r="K50" s="5">
        <v>9437</v>
      </c>
    </row>
    <row r="51" spans="1:11" x14ac:dyDescent="0.3">
      <c r="A51" s="8"/>
    </row>
    <row r="52" spans="1:11" x14ac:dyDescent="0.3">
      <c r="A52" s="8"/>
    </row>
    <row r="53" spans="1:11" x14ac:dyDescent="0.3">
      <c r="A53" s="8"/>
    </row>
    <row r="54" spans="1:11" x14ac:dyDescent="0.3">
      <c r="A54" s="8"/>
    </row>
    <row r="55" spans="1:11" x14ac:dyDescent="0.3">
      <c r="A55" s="1" t="s">
        <v>30</v>
      </c>
    </row>
    <row r="56" spans="1:11" x14ac:dyDescent="0.3">
      <c r="A56" s="6" t="s">
        <v>11</v>
      </c>
      <c r="B56" s="7">
        <v>42094</v>
      </c>
      <c r="C56" s="7">
        <v>42460</v>
      </c>
      <c r="D56" s="7">
        <v>42825</v>
      </c>
      <c r="E56" s="7">
        <v>43190</v>
      </c>
      <c r="F56" s="7">
        <v>43555</v>
      </c>
      <c r="G56" s="7">
        <v>43921</v>
      </c>
      <c r="H56" s="7">
        <v>44286</v>
      </c>
      <c r="I56" s="7">
        <v>44651</v>
      </c>
      <c r="J56" s="7">
        <v>45016</v>
      </c>
      <c r="K56" s="7">
        <v>45382</v>
      </c>
    </row>
    <row r="57" spans="1:11" x14ac:dyDescent="0.3">
      <c r="A57" s="8" t="s">
        <v>31</v>
      </c>
      <c r="B57" s="5">
        <v>572</v>
      </c>
      <c r="C57" s="5">
        <v>1144</v>
      </c>
      <c r="D57" s="5">
        <v>1144</v>
      </c>
      <c r="E57" s="5">
        <v>1088</v>
      </c>
      <c r="F57" s="5">
        <v>2170</v>
      </c>
      <c r="G57" s="5">
        <v>2122</v>
      </c>
      <c r="H57" s="5">
        <v>2124</v>
      </c>
      <c r="I57" s="5">
        <v>2098</v>
      </c>
      <c r="J57" s="5">
        <v>2069</v>
      </c>
      <c r="K57" s="5">
        <v>2071</v>
      </c>
    </row>
    <row r="58" spans="1:11" x14ac:dyDescent="0.3">
      <c r="A58" s="8" t="s">
        <v>32</v>
      </c>
      <c r="B58" s="5">
        <v>50164</v>
      </c>
      <c r="C58" s="5">
        <v>60600</v>
      </c>
      <c r="D58" s="5">
        <v>67838</v>
      </c>
      <c r="E58" s="5">
        <v>63835</v>
      </c>
      <c r="F58" s="5">
        <v>62778</v>
      </c>
      <c r="G58" s="5">
        <v>63328</v>
      </c>
      <c r="H58" s="5">
        <v>74227</v>
      </c>
      <c r="I58" s="5">
        <v>73252</v>
      </c>
      <c r="J58" s="5">
        <v>73338</v>
      </c>
      <c r="K58" s="5">
        <v>86045</v>
      </c>
    </row>
    <row r="59" spans="1:11" x14ac:dyDescent="0.3">
      <c r="A59" s="8" t="s">
        <v>33</v>
      </c>
      <c r="G59" s="5">
        <v>4633</v>
      </c>
      <c r="H59" s="5">
        <v>5325</v>
      </c>
      <c r="I59" s="5">
        <v>5474</v>
      </c>
      <c r="J59" s="5">
        <v>8299</v>
      </c>
      <c r="K59" s="5">
        <v>8359</v>
      </c>
    </row>
    <row r="60" spans="1:11" x14ac:dyDescent="0.3">
      <c r="A60" s="8" t="s">
        <v>34</v>
      </c>
      <c r="B60" s="5">
        <v>15553</v>
      </c>
      <c r="C60" s="5">
        <v>13354</v>
      </c>
      <c r="D60" s="5">
        <v>14166</v>
      </c>
      <c r="E60" s="5">
        <v>14426</v>
      </c>
      <c r="F60" s="5">
        <v>19118</v>
      </c>
      <c r="G60" s="5">
        <v>21717</v>
      </c>
      <c r="H60" s="5">
        <v>25835</v>
      </c>
      <c r="I60" s="5">
        <v>35905</v>
      </c>
      <c r="J60" s="5">
        <v>40890</v>
      </c>
      <c r="K60" s="5">
        <v>39545</v>
      </c>
    </row>
    <row r="61" spans="1:11" x14ac:dyDescent="0.3">
      <c r="A61" s="1" t="s">
        <v>35</v>
      </c>
      <c r="B61" s="5">
        <v>66289</v>
      </c>
      <c r="C61" s="5">
        <v>75098</v>
      </c>
      <c r="D61" s="5">
        <v>83148</v>
      </c>
      <c r="E61" s="5">
        <v>79349</v>
      </c>
      <c r="F61" s="5">
        <v>84066</v>
      </c>
      <c r="G61" s="5">
        <v>91800</v>
      </c>
      <c r="H61" s="5">
        <v>107511</v>
      </c>
      <c r="I61" s="5">
        <v>116729</v>
      </c>
      <c r="J61" s="5">
        <v>124596</v>
      </c>
      <c r="K61" s="5">
        <v>136020</v>
      </c>
    </row>
    <row r="62" spans="1:11" x14ac:dyDescent="0.3">
      <c r="A62" s="8" t="s">
        <v>36</v>
      </c>
      <c r="B62" s="5">
        <v>11346</v>
      </c>
      <c r="C62" s="5">
        <v>13386</v>
      </c>
      <c r="D62" s="5">
        <v>14179</v>
      </c>
      <c r="E62" s="5">
        <v>12574</v>
      </c>
      <c r="F62" s="5">
        <v>15710</v>
      </c>
      <c r="G62" s="5">
        <v>23789</v>
      </c>
      <c r="H62" s="5">
        <v>25505</v>
      </c>
      <c r="I62" s="5">
        <v>25800</v>
      </c>
      <c r="J62" s="5">
        <v>29225</v>
      </c>
      <c r="K62" s="5">
        <v>27622</v>
      </c>
    </row>
    <row r="63" spans="1:11" x14ac:dyDescent="0.3">
      <c r="A63" s="8" t="s">
        <v>37</v>
      </c>
      <c r="B63" s="5">
        <v>776</v>
      </c>
      <c r="C63" s="5">
        <v>960</v>
      </c>
      <c r="D63" s="5">
        <v>1365</v>
      </c>
      <c r="E63" s="5">
        <v>1606</v>
      </c>
      <c r="F63" s="5">
        <v>1388</v>
      </c>
      <c r="G63" s="5">
        <v>954</v>
      </c>
      <c r="H63" s="5">
        <v>922</v>
      </c>
      <c r="I63" s="5">
        <v>416</v>
      </c>
      <c r="J63" s="5">
        <v>288</v>
      </c>
      <c r="K63" s="5">
        <v>293</v>
      </c>
    </row>
    <row r="64" spans="1:11" x14ac:dyDescent="0.3">
      <c r="A64" s="8" t="s">
        <v>38</v>
      </c>
      <c r="B64" s="5">
        <v>2270</v>
      </c>
      <c r="C64" s="5">
        <v>1892</v>
      </c>
      <c r="D64" s="5">
        <v>16423</v>
      </c>
      <c r="E64" s="5">
        <v>12163</v>
      </c>
      <c r="F64" s="5">
        <v>11261</v>
      </c>
      <c r="G64" s="5">
        <v>8792</v>
      </c>
      <c r="H64" s="5">
        <v>14205</v>
      </c>
      <c r="I64" s="5">
        <v>20324</v>
      </c>
      <c r="J64" s="5">
        <v>19478</v>
      </c>
      <c r="K64" s="5">
        <v>24623</v>
      </c>
    </row>
    <row r="65" spans="1:11" x14ac:dyDescent="0.3">
      <c r="A65" s="8" t="s">
        <v>39</v>
      </c>
      <c r="B65" s="5">
        <v>51897</v>
      </c>
      <c r="C65" s="5">
        <v>58860</v>
      </c>
      <c r="D65" s="5">
        <v>51181</v>
      </c>
      <c r="E65" s="5">
        <v>53006</v>
      </c>
      <c r="F65" s="5">
        <v>55707</v>
      </c>
      <c r="G65" s="5">
        <v>58265</v>
      </c>
      <c r="H65" s="5">
        <v>66879</v>
      </c>
      <c r="I65" s="5">
        <v>70189</v>
      </c>
      <c r="J65" s="5">
        <v>75605</v>
      </c>
      <c r="K65" s="5">
        <v>83482</v>
      </c>
    </row>
    <row r="66" spans="1:11" x14ac:dyDescent="0.3">
      <c r="A66" s="1" t="s">
        <v>35</v>
      </c>
      <c r="B66" s="5">
        <v>66289</v>
      </c>
      <c r="C66" s="5">
        <v>75098</v>
      </c>
      <c r="D66" s="5">
        <v>83148</v>
      </c>
      <c r="E66" s="5">
        <v>79349</v>
      </c>
      <c r="F66" s="5">
        <v>84066</v>
      </c>
      <c r="G66" s="5">
        <v>91800</v>
      </c>
      <c r="H66" s="5">
        <v>107511</v>
      </c>
      <c r="I66" s="5">
        <v>116729</v>
      </c>
      <c r="J66" s="5">
        <v>124596</v>
      </c>
      <c r="K66" s="5">
        <v>136020</v>
      </c>
    </row>
    <row r="67" spans="1:11" x14ac:dyDescent="0.3">
      <c r="A67" s="8" t="s">
        <v>40</v>
      </c>
      <c r="B67" s="5">
        <v>9713</v>
      </c>
      <c r="C67" s="5">
        <v>11330</v>
      </c>
      <c r="D67" s="5">
        <v>12322</v>
      </c>
      <c r="E67" s="5">
        <v>13142</v>
      </c>
      <c r="F67" s="5">
        <v>14827</v>
      </c>
      <c r="G67" s="5">
        <v>18487</v>
      </c>
      <c r="H67" s="5">
        <v>19294</v>
      </c>
      <c r="I67" s="5">
        <v>22698</v>
      </c>
      <c r="J67" s="5">
        <v>25424</v>
      </c>
      <c r="K67" s="5">
        <v>30193</v>
      </c>
    </row>
    <row r="68" spans="1:11" x14ac:dyDescent="0.3">
      <c r="A68" s="8" t="s">
        <v>41</v>
      </c>
    </row>
    <row r="69" spans="1:11" x14ac:dyDescent="0.3">
      <c r="A69" s="3" t="s">
        <v>42</v>
      </c>
      <c r="B69" s="5">
        <v>30367</v>
      </c>
      <c r="C69" s="5">
        <v>32697</v>
      </c>
      <c r="D69" s="5">
        <v>22625</v>
      </c>
      <c r="E69" s="5">
        <v>19818</v>
      </c>
      <c r="F69" s="5">
        <v>19568</v>
      </c>
      <c r="G69" s="5">
        <v>18649</v>
      </c>
      <c r="H69" s="5">
        <v>24714</v>
      </c>
      <c r="I69" s="5">
        <v>17472</v>
      </c>
      <c r="J69" s="5">
        <v>12173</v>
      </c>
      <c r="K69" s="5">
        <v>14786</v>
      </c>
    </row>
    <row r="70" spans="1:11" x14ac:dyDescent="0.3">
      <c r="A70" s="3" t="s">
        <v>43</v>
      </c>
      <c r="B70" s="5">
        <v>1142805132</v>
      </c>
      <c r="C70" s="5">
        <v>2285621088</v>
      </c>
      <c r="D70" s="5">
        <v>2285655150</v>
      </c>
      <c r="E70" s="5">
        <v>2173312301</v>
      </c>
      <c r="F70" s="5">
        <v>4335954462</v>
      </c>
      <c r="G70" s="5">
        <v>4240753210</v>
      </c>
      <c r="H70" s="5">
        <v>4245146114</v>
      </c>
      <c r="I70" s="5">
        <v>4193012929</v>
      </c>
      <c r="J70" s="5">
        <v>4136387925</v>
      </c>
      <c r="K70" s="5">
        <v>4139950635</v>
      </c>
    </row>
    <row r="71" spans="1:11" x14ac:dyDescent="0.3">
      <c r="A71" s="3" t="s">
        <v>44</v>
      </c>
      <c r="B71" s="5">
        <v>574236166</v>
      </c>
      <c r="C71" s="5">
        <v>1148472332</v>
      </c>
      <c r="F71" s="5">
        <v>2184191490</v>
      </c>
    </row>
    <row r="72" spans="1:11" x14ac:dyDescent="0.3">
      <c r="A72" s="3" t="s">
        <v>45</v>
      </c>
      <c r="B72" s="5">
        <v>5</v>
      </c>
      <c r="C72" s="5">
        <v>5</v>
      </c>
      <c r="D72" s="5">
        <v>5</v>
      </c>
      <c r="E72" s="5">
        <v>5</v>
      </c>
      <c r="F72" s="5">
        <v>5</v>
      </c>
      <c r="G72" s="5">
        <v>5</v>
      </c>
      <c r="H72" s="5">
        <v>5</v>
      </c>
      <c r="I72" s="5">
        <v>5</v>
      </c>
      <c r="J72" s="5">
        <v>5</v>
      </c>
      <c r="K72" s="5">
        <v>5</v>
      </c>
    </row>
    <row r="74" spans="1:11" x14ac:dyDescent="0.3">
      <c r="A74" s="8"/>
    </row>
    <row r="75" spans="1:11" x14ac:dyDescent="0.3">
      <c r="A75" s="8"/>
    </row>
    <row r="76" spans="1:11" x14ac:dyDescent="0.3">
      <c r="A76" s="8"/>
    </row>
    <row r="77" spans="1:11" x14ac:dyDescent="0.3">
      <c r="A77" s="8"/>
    </row>
    <row r="78" spans="1:11" x14ac:dyDescent="0.3">
      <c r="A78" s="8"/>
    </row>
    <row r="79" spans="1:11" x14ac:dyDescent="0.3">
      <c r="A79" s="8"/>
    </row>
    <row r="80" spans="1:11" x14ac:dyDescent="0.3">
      <c r="A80" s="1" t="s">
        <v>46</v>
      </c>
    </row>
    <row r="81" spans="1:11" x14ac:dyDescent="0.3">
      <c r="A81" s="6" t="s">
        <v>11</v>
      </c>
      <c r="B81" s="7">
        <v>42094</v>
      </c>
      <c r="C81" s="7">
        <v>42460</v>
      </c>
      <c r="D81" s="7">
        <v>42825</v>
      </c>
      <c r="E81" s="7">
        <v>43190</v>
      </c>
      <c r="F81" s="7">
        <v>43555</v>
      </c>
      <c r="G81" s="7">
        <v>43921</v>
      </c>
      <c r="H81" s="7">
        <v>44286</v>
      </c>
      <c r="I81" s="7">
        <v>44651</v>
      </c>
      <c r="J81" s="7">
        <v>45016</v>
      </c>
      <c r="K81" s="7">
        <v>45382</v>
      </c>
    </row>
    <row r="82" spans="1:11" x14ac:dyDescent="0.3">
      <c r="A82" s="8" t="s">
        <v>47</v>
      </c>
      <c r="B82" s="5">
        <v>8353</v>
      </c>
      <c r="C82" s="5">
        <v>10028</v>
      </c>
      <c r="D82" s="5">
        <v>11531</v>
      </c>
      <c r="E82" s="5">
        <v>13218</v>
      </c>
      <c r="F82" s="5">
        <v>14841</v>
      </c>
      <c r="G82" s="5">
        <v>17003</v>
      </c>
      <c r="H82" s="5">
        <v>23224</v>
      </c>
      <c r="I82" s="5">
        <v>23885</v>
      </c>
      <c r="J82" s="5">
        <v>22467</v>
      </c>
      <c r="K82" s="5">
        <v>25210</v>
      </c>
    </row>
    <row r="83" spans="1:11" x14ac:dyDescent="0.3">
      <c r="A83" s="8" t="s">
        <v>48</v>
      </c>
      <c r="B83" s="5">
        <v>999</v>
      </c>
      <c r="C83" s="5">
        <v>-885</v>
      </c>
      <c r="D83" s="5">
        <v>-14664</v>
      </c>
      <c r="E83" s="5">
        <v>4533</v>
      </c>
      <c r="F83" s="5">
        <v>-632</v>
      </c>
      <c r="G83" s="5">
        <v>-331</v>
      </c>
      <c r="H83" s="5">
        <v>-7373</v>
      </c>
      <c r="I83" s="5">
        <v>-6485</v>
      </c>
      <c r="J83" s="5">
        <v>-1071</v>
      </c>
      <c r="K83" s="5">
        <v>-5093</v>
      </c>
    </row>
    <row r="84" spans="1:11" x14ac:dyDescent="0.3">
      <c r="A84" s="8" t="s">
        <v>49</v>
      </c>
      <c r="B84" s="5">
        <v>-4935</v>
      </c>
      <c r="C84" s="5">
        <v>-6813</v>
      </c>
      <c r="D84" s="5">
        <v>-6939</v>
      </c>
      <c r="E84" s="5">
        <v>-20505</v>
      </c>
      <c r="F84" s="5">
        <v>-14512</v>
      </c>
      <c r="G84" s="5">
        <v>-17591</v>
      </c>
      <c r="H84" s="5">
        <v>-9786</v>
      </c>
      <c r="I84" s="5">
        <v>-24642</v>
      </c>
      <c r="J84" s="5">
        <v>-26695</v>
      </c>
      <c r="K84" s="5">
        <v>-17504</v>
      </c>
    </row>
    <row r="85" spans="1:11" x14ac:dyDescent="0.3">
      <c r="A85" s="8" t="s">
        <v>50</v>
      </c>
      <c r="B85" s="5">
        <v>4417</v>
      </c>
      <c r="C85" s="5">
        <v>2330</v>
      </c>
      <c r="D85" s="5">
        <v>-10072</v>
      </c>
      <c r="E85" s="5">
        <v>-2754</v>
      </c>
      <c r="F85" s="5">
        <v>-303</v>
      </c>
      <c r="G85" s="5">
        <v>-919</v>
      </c>
      <c r="H85" s="5">
        <v>6065</v>
      </c>
      <c r="I85" s="5">
        <v>-7242</v>
      </c>
      <c r="J85" s="5">
        <v>-5299</v>
      </c>
      <c r="K85" s="5">
        <v>2613</v>
      </c>
    </row>
    <row r="86" spans="1:11" x14ac:dyDescent="0.3">
      <c r="A86" s="8"/>
    </row>
    <row r="87" spans="1:11" x14ac:dyDescent="0.3">
      <c r="A87" s="8"/>
    </row>
    <row r="88" spans="1:11" x14ac:dyDescent="0.3">
      <c r="A88" s="8"/>
    </row>
    <row r="89" spans="1:11" x14ac:dyDescent="0.3">
      <c r="A89" s="8"/>
    </row>
    <row r="90" spans="1:11" x14ac:dyDescent="0.3">
      <c r="A90" s="1" t="s">
        <v>51</v>
      </c>
      <c r="B90" s="5">
        <v>554.59</v>
      </c>
      <c r="C90" s="5">
        <v>609.15</v>
      </c>
      <c r="D90" s="5">
        <v>511.13</v>
      </c>
      <c r="E90" s="5">
        <v>565.9</v>
      </c>
      <c r="F90" s="5">
        <v>743.85</v>
      </c>
      <c r="G90" s="5">
        <v>641.5</v>
      </c>
      <c r="H90" s="5">
        <v>1368.05</v>
      </c>
      <c r="I90" s="5">
        <v>1906.85</v>
      </c>
      <c r="J90" s="5">
        <v>1427.95</v>
      </c>
      <c r="K90" s="5">
        <v>1498.05</v>
      </c>
    </row>
    <row r="92" spans="1:11" x14ac:dyDescent="0.3">
      <c r="A92" s="1" t="s">
        <v>52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3" t="s">
        <v>53</v>
      </c>
      <c r="B93" s="9">
        <v>459.38</v>
      </c>
      <c r="C93" s="9">
        <v>459.39</v>
      </c>
      <c r="D93" s="9">
        <v>459.39</v>
      </c>
      <c r="E93" s="9">
        <v>436.82</v>
      </c>
      <c r="F93" s="9">
        <v>436.89</v>
      </c>
      <c r="G93" s="9">
        <v>425.9</v>
      </c>
      <c r="H93" s="9">
        <v>426.07</v>
      </c>
      <c r="I93" s="9">
        <v>420.67</v>
      </c>
      <c r="J93" s="9">
        <v>414.86</v>
      </c>
      <c r="K93" s="9">
        <v>415.09</v>
      </c>
    </row>
  </sheetData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13ECACA4-66FF-4D1C-8045-E3B9F8ECFD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1938-CBB1-4F2B-8CC8-DFAC6A460EAD}">
  <dimension ref="A2:M99"/>
  <sheetViews>
    <sheetView showGridLines="0" topLeftCell="A29" workbookViewId="0">
      <selection activeCell="C38" sqref="C38:M38"/>
    </sheetView>
  </sheetViews>
  <sheetFormatPr defaultRowHeight="14.4" x14ac:dyDescent="0.3"/>
  <cols>
    <col min="1" max="1" width="3.33203125" customWidth="1"/>
    <col min="2" max="2" width="24.33203125" customWidth="1"/>
    <col min="3" max="3" width="13" customWidth="1"/>
    <col min="4" max="4" width="13.33203125" customWidth="1"/>
    <col min="5" max="5" width="14.33203125" customWidth="1"/>
    <col min="6" max="6" width="13.44140625" customWidth="1"/>
    <col min="7" max="7" width="13.5546875" customWidth="1"/>
    <col min="8" max="8" width="14.88671875" customWidth="1"/>
    <col min="9" max="9" width="11.88671875" bestFit="1" customWidth="1"/>
    <col min="10" max="10" width="13.44140625" customWidth="1"/>
    <col min="11" max="11" width="11.88671875" bestFit="1" customWidth="1"/>
    <col min="12" max="12" width="13.88671875" customWidth="1"/>
    <col min="13" max="13" width="13.77734375" customWidth="1"/>
  </cols>
  <sheetData>
    <row r="2" spans="1:13" x14ac:dyDescent="0.3">
      <c r="B2" s="43" t="str">
        <f>"Historical financial statement- "&amp;'Data Sheet'!B1</f>
        <v>Historical financial statement- INFOSYS LTD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x14ac:dyDescent="0.3">
      <c r="B3" s="10" t="s">
        <v>55</v>
      </c>
      <c r="C3" s="11">
        <f>'Data Sheet'!B16</f>
        <v>42094</v>
      </c>
      <c r="D3" s="11">
        <f>'Data Sheet'!C16</f>
        <v>42460</v>
      </c>
      <c r="E3" s="11">
        <f>'Data Sheet'!D16</f>
        <v>42825</v>
      </c>
      <c r="F3" s="11">
        <f>'Data Sheet'!E16</f>
        <v>43190</v>
      </c>
      <c r="G3" s="11">
        <f>'Data Sheet'!F16</f>
        <v>43555</v>
      </c>
      <c r="H3" s="11">
        <f>'Data Sheet'!G16</f>
        <v>43921</v>
      </c>
      <c r="I3" s="11">
        <f>'Data Sheet'!H16</f>
        <v>44286</v>
      </c>
      <c r="J3" s="11">
        <f>'Data Sheet'!I16</f>
        <v>44651</v>
      </c>
      <c r="K3" s="11">
        <f>'Data Sheet'!J16</f>
        <v>45016</v>
      </c>
      <c r="L3" s="11">
        <f>'Data Sheet'!K16</f>
        <v>45382</v>
      </c>
      <c r="M3" s="12" t="s">
        <v>56</v>
      </c>
    </row>
    <row r="5" spans="1:13" x14ac:dyDescent="0.3">
      <c r="A5" t="s">
        <v>118</v>
      </c>
      <c r="B5" s="22" t="s">
        <v>58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3">
      <c r="B6" t="s">
        <v>12</v>
      </c>
      <c r="C6" s="13">
        <f>IFERROR('Data Sheet'!B17,0)</f>
        <v>53319</v>
      </c>
      <c r="D6" s="13">
        <f>IFERROR('Data Sheet'!C17,0)</f>
        <v>62441</v>
      </c>
      <c r="E6" s="13">
        <f>IFERROR('Data Sheet'!D17,0)</f>
        <v>68484</v>
      </c>
      <c r="F6" s="13">
        <f>IFERROR('Data Sheet'!E17,0)</f>
        <v>70522</v>
      </c>
      <c r="G6" s="13">
        <f>IFERROR('Data Sheet'!F17,0)</f>
        <v>82675</v>
      </c>
      <c r="H6" s="13">
        <f>IFERROR('Data Sheet'!G17,0)</f>
        <v>90791</v>
      </c>
      <c r="I6" s="13">
        <f>IFERROR('Data Sheet'!H17,0)</f>
        <v>100472</v>
      </c>
      <c r="J6" s="13">
        <f>IFERROR('Data Sheet'!I17,0)</f>
        <v>121641</v>
      </c>
      <c r="K6" s="13">
        <f>IFERROR('Data Sheet'!J17,0)</f>
        <v>146767</v>
      </c>
      <c r="L6" s="13">
        <f>IFERROR('Data Sheet'!K17,0)</f>
        <v>153670</v>
      </c>
      <c r="M6" s="13">
        <f>IFERROR(SUM('Data Sheet'!H42:K42),0)</f>
        <v>155053</v>
      </c>
    </row>
    <row r="7" spans="1:13" x14ac:dyDescent="0.3">
      <c r="B7" s="15" t="s">
        <v>59</v>
      </c>
      <c r="C7" s="16" t="s">
        <v>60</v>
      </c>
      <c r="D7" s="17">
        <f>D6/C6-1</f>
        <v>0.17108347868489648</v>
      </c>
      <c r="E7" s="17">
        <f t="shared" ref="E7:M7" si="0">E6/D6-1</f>
        <v>9.67793597155715E-2</v>
      </c>
      <c r="F7" s="17">
        <f t="shared" si="0"/>
        <v>2.9758775772443125E-2</v>
      </c>
      <c r="G7" s="17">
        <f t="shared" si="0"/>
        <v>0.17232920223476356</v>
      </c>
      <c r="H7" s="17">
        <f t="shared" si="0"/>
        <v>9.8167523435137571E-2</v>
      </c>
      <c r="I7" s="17">
        <f t="shared" si="0"/>
        <v>0.10662951173574475</v>
      </c>
      <c r="J7" s="17">
        <f t="shared" si="0"/>
        <v>0.21069551715900947</v>
      </c>
      <c r="K7" s="17">
        <f t="shared" si="0"/>
        <v>0.20655864387829759</v>
      </c>
      <c r="L7" s="17">
        <f t="shared" si="0"/>
        <v>4.7033733741236095E-2</v>
      </c>
      <c r="M7" s="17">
        <f t="shared" si="0"/>
        <v>8.9998047764690003E-3</v>
      </c>
    </row>
    <row r="9" spans="1:13" x14ac:dyDescent="0.3">
      <c r="B9" t="s">
        <v>61</v>
      </c>
      <c r="C9" s="13">
        <f>IFERROR(SUM('Data Sheet'!B24,'Data Sheet'!B20:B22)-1*'Data Sheet'!B24,0)</f>
        <v>34009</v>
      </c>
      <c r="D9" s="13">
        <f>IFERROR(SUM('Data Sheet'!C24,'Data Sheet'!C20:C22)-1*'Data Sheet'!C24,0)</f>
        <v>40492</v>
      </c>
      <c r="E9" s="13">
        <f>IFERROR(SUM('Data Sheet'!D24,'Data Sheet'!D20:D22)-1*'Data Sheet'!D24,0)</f>
        <v>44609</v>
      </c>
      <c r="F9" s="13">
        <f>IFERROR(SUM('Data Sheet'!E24,'Data Sheet'!E20:E22)-1*'Data Sheet'!E24,0)</f>
        <v>46395</v>
      </c>
      <c r="G9" s="13">
        <f>IFERROR(SUM('Data Sheet'!F24,'Data Sheet'!F20:F22)-1*'Data Sheet'!F24,0)</f>
        <v>55446</v>
      </c>
      <c r="H9" s="13">
        <f>IFERROR(SUM('Data Sheet'!G24,'Data Sheet'!G20:G22)-1*'Data Sheet'!G24,0)</f>
        <v>62210</v>
      </c>
      <c r="I9" s="13">
        <f>IFERROR(SUM('Data Sheet'!H24,'Data Sheet'!H20:H22)-1*'Data Sheet'!H24,0)</f>
        <v>68490</v>
      </c>
      <c r="J9" s="13">
        <f>IFERROR(SUM('Data Sheet'!I24,'Data Sheet'!I20:I22)-1*'Data Sheet'!I24,0)</f>
        <v>84819</v>
      </c>
      <c r="K9" s="13">
        <f>IFERROR(SUM('Data Sheet'!J24,'Data Sheet'!J20:J22)-1*'Data Sheet'!J24,0)</f>
        <v>104880</v>
      </c>
      <c r="L9" s="13">
        <f>IFERROR(SUM('Data Sheet'!K24,'Data Sheet'!K20:K22)-1*'Data Sheet'!K24,0)</f>
        <v>110030</v>
      </c>
      <c r="M9" s="13">
        <f>IFERROR(SUM('Data Sheet'!H43:K43),0)</f>
        <v>118255</v>
      </c>
    </row>
    <row r="10" spans="1:13" x14ac:dyDescent="0.3">
      <c r="B10" s="15" t="s">
        <v>62</v>
      </c>
      <c r="C10" s="20">
        <f>C9/C6</f>
        <v>0.63784016954556533</v>
      </c>
      <c r="D10" s="17">
        <f t="shared" ref="D10:M10" si="1">D9/D6</f>
        <v>0.64848416905558848</v>
      </c>
      <c r="E10" s="17">
        <f t="shared" si="1"/>
        <v>0.65137842415746738</v>
      </c>
      <c r="F10" s="17">
        <f t="shared" si="1"/>
        <v>0.65787981055557132</v>
      </c>
      <c r="G10" s="17">
        <f t="shared" si="1"/>
        <v>0.67065013607499246</v>
      </c>
      <c r="H10" s="17">
        <f t="shared" si="1"/>
        <v>0.68520007489729162</v>
      </c>
      <c r="I10" s="17">
        <f t="shared" si="1"/>
        <v>0.68168245879448996</v>
      </c>
      <c r="J10" s="17">
        <f t="shared" si="1"/>
        <v>0.69728956519594543</v>
      </c>
      <c r="K10" s="17">
        <f t="shared" si="1"/>
        <v>0.71460205632056251</v>
      </c>
      <c r="L10" s="17">
        <f t="shared" si="1"/>
        <v>0.71601483698835167</v>
      </c>
      <c r="M10" s="17">
        <f t="shared" si="1"/>
        <v>0.76267469832895851</v>
      </c>
    </row>
    <row r="12" spans="1:13" x14ac:dyDescent="0.3">
      <c r="B12" s="28" t="s">
        <v>63</v>
      </c>
      <c r="C12" s="29">
        <f>C6-C9</f>
        <v>19310</v>
      </c>
      <c r="D12" s="29">
        <f t="shared" ref="D12:M12" si="2">D6-D9</f>
        <v>21949</v>
      </c>
      <c r="E12" s="29">
        <f t="shared" si="2"/>
        <v>23875</v>
      </c>
      <c r="F12" s="29">
        <f t="shared" si="2"/>
        <v>24127</v>
      </c>
      <c r="G12" s="29">
        <f t="shared" si="2"/>
        <v>27229</v>
      </c>
      <c r="H12" s="29">
        <f t="shared" si="2"/>
        <v>28581</v>
      </c>
      <c r="I12" s="29">
        <f t="shared" si="2"/>
        <v>31982</v>
      </c>
      <c r="J12" s="29">
        <f t="shared" si="2"/>
        <v>36822</v>
      </c>
      <c r="K12" s="29">
        <f t="shared" si="2"/>
        <v>41887</v>
      </c>
      <c r="L12" s="29">
        <f t="shared" si="2"/>
        <v>43640</v>
      </c>
      <c r="M12" s="29">
        <f t="shared" si="2"/>
        <v>36798</v>
      </c>
    </row>
    <row r="13" spans="1:13" x14ac:dyDescent="0.3">
      <c r="B13" s="15" t="s">
        <v>70</v>
      </c>
      <c r="C13" s="20">
        <f>C12/C6</f>
        <v>0.36215983045443462</v>
      </c>
      <c r="D13" s="17">
        <f t="shared" ref="D13:M13" si="3">D12/D6</f>
        <v>0.35151583094441152</v>
      </c>
      <c r="E13" s="17">
        <f t="shared" si="3"/>
        <v>0.34862157584253256</v>
      </c>
      <c r="F13" s="17">
        <f t="shared" si="3"/>
        <v>0.34212018944442868</v>
      </c>
      <c r="G13" s="17">
        <f t="shared" si="3"/>
        <v>0.32934986392500754</v>
      </c>
      <c r="H13" s="17">
        <f t="shared" si="3"/>
        <v>0.31479992510270843</v>
      </c>
      <c r="I13" s="17">
        <f t="shared" si="3"/>
        <v>0.31831754120550998</v>
      </c>
      <c r="J13" s="17">
        <f t="shared" si="3"/>
        <v>0.30271043480405457</v>
      </c>
      <c r="K13" s="17">
        <f t="shared" si="3"/>
        <v>0.28539794367943749</v>
      </c>
      <c r="L13" s="17">
        <f t="shared" si="3"/>
        <v>0.28398516301164833</v>
      </c>
      <c r="M13" s="17">
        <f t="shared" si="3"/>
        <v>0.23732530167104152</v>
      </c>
    </row>
    <row r="15" spans="1:13" x14ac:dyDescent="0.3">
      <c r="B15" t="s">
        <v>64</v>
      </c>
      <c r="C15" s="18">
        <f>IFERROR(SUM('Data Sheet'!B23:B24),0)</f>
        <v>4427</v>
      </c>
      <c r="D15" s="18">
        <f>IFERROR(SUM('Data Sheet'!C23:C24),0)</f>
        <v>4870</v>
      </c>
      <c r="E15" s="18">
        <f>IFERROR(SUM('Data Sheet'!D23:D24),0)</f>
        <v>5271</v>
      </c>
      <c r="F15" s="18">
        <f>IFERROR(SUM('Data Sheet'!E23:E24),0)</f>
        <v>5305</v>
      </c>
      <c r="G15" s="18">
        <f>IFERROR(SUM('Data Sheet'!F23:F24),0)</f>
        <v>7059</v>
      </c>
      <c r="H15" s="18">
        <f>IFERROR(SUM('Data Sheet'!G23:G24),0)</f>
        <v>6314</v>
      </c>
      <c r="I15" s="18">
        <f>IFERROR(SUM('Data Sheet'!H23:H24),0)</f>
        <v>4093</v>
      </c>
      <c r="J15" s="18">
        <f>IFERROR(SUM('Data Sheet'!I23:I24),0)</f>
        <v>5331</v>
      </c>
      <c r="K15" s="18">
        <f>IFERROR(SUM('Data Sheet'!J23:J24),0)</f>
        <v>6757</v>
      </c>
      <c r="L15" s="18">
        <f>IFERROR(SUM('Data Sheet'!K23:K24),0)</f>
        <v>7215</v>
      </c>
      <c r="M15" s="18">
        <f>IFERROR(SUM('Data Sheet'!L23:L24),0)</f>
        <v>0</v>
      </c>
    </row>
    <row r="16" spans="1:13" x14ac:dyDescent="0.3">
      <c r="B16" s="15" t="s">
        <v>65</v>
      </c>
      <c r="C16" s="20">
        <f t="shared" ref="C16:M16" si="4">C15/C6</f>
        <v>8.3028563926555263E-2</v>
      </c>
      <c r="D16" s="17">
        <f t="shared" si="4"/>
        <v>7.7993625982927889E-2</v>
      </c>
      <c r="E16" s="17">
        <f t="shared" si="4"/>
        <v>7.6966882775538814E-2</v>
      </c>
      <c r="F16" s="17">
        <f t="shared" si="4"/>
        <v>7.5224752559484978E-2</v>
      </c>
      <c r="G16" s="17">
        <f t="shared" si="4"/>
        <v>8.5382521923193233E-2</v>
      </c>
      <c r="H16" s="17">
        <f t="shared" si="4"/>
        <v>6.9544338095185648E-2</v>
      </c>
      <c r="I16" s="17">
        <f t="shared" si="4"/>
        <v>4.0737717971176049E-2</v>
      </c>
      <c r="J16" s="17">
        <f t="shared" si="4"/>
        <v>4.3825683774385282E-2</v>
      </c>
      <c r="K16" s="17">
        <f t="shared" si="4"/>
        <v>4.6038959711651804E-2</v>
      </c>
      <c r="L16" s="17">
        <f t="shared" si="4"/>
        <v>4.6951259191774584E-2</v>
      </c>
      <c r="M16" s="17">
        <f t="shared" si="4"/>
        <v>0</v>
      </c>
    </row>
    <row r="18" spans="2:13" x14ac:dyDescent="0.3">
      <c r="B18" s="28" t="s">
        <v>66</v>
      </c>
      <c r="C18" s="29">
        <f t="shared" ref="C18:M18" si="5">C12-C15</f>
        <v>14883</v>
      </c>
      <c r="D18" s="29">
        <f t="shared" si="5"/>
        <v>17079</v>
      </c>
      <c r="E18" s="29">
        <f t="shared" si="5"/>
        <v>18604</v>
      </c>
      <c r="F18" s="29">
        <f t="shared" si="5"/>
        <v>18822</v>
      </c>
      <c r="G18" s="29">
        <f t="shared" si="5"/>
        <v>20170</v>
      </c>
      <c r="H18" s="29">
        <f t="shared" si="5"/>
        <v>22267</v>
      </c>
      <c r="I18" s="29">
        <f t="shared" si="5"/>
        <v>27889</v>
      </c>
      <c r="J18" s="29">
        <f t="shared" si="5"/>
        <v>31491</v>
      </c>
      <c r="K18" s="29">
        <f t="shared" si="5"/>
        <v>35130</v>
      </c>
      <c r="L18" s="29">
        <f t="shared" si="5"/>
        <v>36425</v>
      </c>
      <c r="M18" s="29">
        <f t="shared" si="5"/>
        <v>36798</v>
      </c>
    </row>
    <row r="19" spans="2:13" x14ac:dyDescent="0.3">
      <c r="B19" s="15" t="s">
        <v>67</v>
      </c>
      <c r="C19" s="20">
        <f t="shared" ref="C19:M19" si="6">C18/C6</f>
        <v>0.27913126652787934</v>
      </c>
      <c r="D19" s="17">
        <f t="shared" si="6"/>
        <v>0.27352220496148366</v>
      </c>
      <c r="E19" s="17">
        <f t="shared" si="6"/>
        <v>0.27165469306699375</v>
      </c>
      <c r="F19" s="17">
        <f t="shared" si="6"/>
        <v>0.26689543688494372</v>
      </c>
      <c r="G19" s="17">
        <f t="shared" si="6"/>
        <v>0.24396734200181433</v>
      </c>
      <c r="H19" s="17">
        <f t="shared" si="6"/>
        <v>0.24525558700752279</v>
      </c>
      <c r="I19" s="17">
        <f t="shared" si="6"/>
        <v>0.27757982323433394</v>
      </c>
      <c r="J19" s="17">
        <f t="shared" si="6"/>
        <v>0.25888475102966929</v>
      </c>
      <c r="K19" s="17">
        <f t="shared" si="6"/>
        <v>0.23935898396778568</v>
      </c>
      <c r="L19" s="17">
        <f t="shared" si="6"/>
        <v>0.23703390381987374</v>
      </c>
      <c r="M19" s="17">
        <f t="shared" si="6"/>
        <v>0.23732530167104152</v>
      </c>
    </row>
    <row r="21" spans="2:13" x14ac:dyDescent="0.3">
      <c r="B21" t="s">
        <v>22</v>
      </c>
      <c r="C21" s="18">
        <f>IFERROR('Data Sheet'!B27,0)</f>
        <v>12</v>
      </c>
      <c r="D21" s="18">
        <f>IFERROR('Data Sheet'!C27,0)</f>
        <v>70</v>
      </c>
      <c r="E21" s="18">
        <f>IFERROR('Data Sheet'!D27,0)</f>
        <v>110</v>
      </c>
      <c r="F21" s="18">
        <f>IFERROR('Data Sheet'!E27,0)</f>
        <v>150</v>
      </c>
      <c r="G21" s="18">
        <f>IFERROR('Data Sheet'!F27,0)</f>
        <v>160</v>
      </c>
      <c r="H21" s="18">
        <f>IFERROR('Data Sheet'!G27,0)</f>
        <v>170</v>
      </c>
      <c r="I21" s="18">
        <f>IFERROR('Data Sheet'!H27,0)</f>
        <v>195</v>
      </c>
      <c r="J21" s="18">
        <f>IFERROR('Data Sheet'!I27,0)</f>
        <v>200</v>
      </c>
      <c r="K21" s="18">
        <f>IFERROR('Data Sheet'!J27,0)</f>
        <v>284</v>
      </c>
      <c r="L21" s="18">
        <f>IFERROR('Data Sheet'!K27,0)</f>
        <v>470</v>
      </c>
      <c r="M21" s="18">
        <f>IFERROR(SUM('Data Sheet'!H46:K46),0)</f>
        <v>484</v>
      </c>
    </row>
    <row r="22" spans="2:13" x14ac:dyDescent="0.3">
      <c r="B22" s="15" t="s">
        <v>68</v>
      </c>
      <c r="C22" s="20">
        <f t="shared" ref="C22:M22" si="7">C21/C6</f>
        <v>2.2506048500534517E-4</v>
      </c>
      <c r="D22" s="17">
        <f t="shared" si="7"/>
        <v>1.1210582790153905E-3</v>
      </c>
      <c r="E22" s="17">
        <f t="shared" si="7"/>
        <v>1.60621459026926E-3</v>
      </c>
      <c r="F22" s="17">
        <f t="shared" si="7"/>
        <v>2.126995831088171E-3</v>
      </c>
      <c r="G22" s="17">
        <f t="shared" si="7"/>
        <v>1.9352887813728454E-3</v>
      </c>
      <c r="H22" s="17">
        <f t="shared" si="7"/>
        <v>1.8724322895441179E-3</v>
      </c>
      <c r="I22" s="17">
        <f t="shared" si="7"/>
        <v>1.9408392387928975E-3</v>
      </c>
      <c r="J22" s="17">
        <f t="shared" si="7"/>
        <v>1.6441824713706726E-3</v>
      </c>
      <c r="K22" s="17">
        <f t="shared" si="7"/>
        <v>1.9350398931639945E-3</v>
      </c>
      <c r="L22" s="17">
        <f t="shared" si="7"/>
        <v>3.0585019847725646E-3</v>
      </c>
      <c r="M22" s="17">
        <f t="shared" si="7"/>
        <v>3.1215132890044048E-3</v>
      </c>
    </row>
    <row r="24" spans="2:13" x14ac:dyDescent="0.3">
      <c r="B24" t="s">
        <v>21</v>
      </c>
      <c r="C24" s="18">
        <f>IFERROR('Data Sheet'!B26,0)</f>
        <v>1017</v>
      </c>
      <c r="D24" s="18">
        <f>IFERROR('Data Sheet'!C26,0)</f>
        <v>1459</v>
      </c>
      <c r="E24" s="18">
        <f>IFERROR('Data Sheet'!D26,0)</f>
        <v>1703</v>
      </c>
      <c r="F24" s="18">
        <f>IFERROR('Data Sheet'!E26,0)</f>
        <v>1863</v>
      </c>
      <c r="G24" s="18">
        <f>IFERROR('Data Sheet'!F26,0)</f>
        <v>2011</v>
      </c>
      <c r="H24" s="18">
        <f>IFERROR('Data Sheet'!G26,0)</f>
        <v>2893</v>
      </c>
      <c r="I24" s="18">
        <f>IFERROR('Data Sheet'!H26,0)</f>
        <v>3267</v>
      </c>
      <c r="J24" s="18">
        <f>IFERROR('Data Sheet'!I26,0)</f>
        <v>3476</v>
      </c>
      <c r="K24" s="18">
        <f>IFERROR('Data Sheet'!J26,0)</f>
        <v>4225</v>
      </c>
      <c r="L24" s="18">
        <f>IFERROR('Data Sheet'!K26,0)</f>
        <v>4678</v>
      </c>
      <c r="M24" s="18">
        <f>IFERROR(SUM('Data Sheet'!H46:K46),0)</f>
        <v>484</v>
      </c>
    </row>
    <row r="25" spans="2:13" x14ac:dyDescent="0.3">
      <c r="B25" s="15" t="s">
        <v>69</v>
      </c>
      <c r="C25" s="20">
        <f t="shared" ref="C25:M25" si="8">C24/C6</f>
        <v>1.9073876104203004E-2</v>
      </c>
      <c r="D25" s="17">
        <f t="shared" si="8"/>
        <v>2.3366057558335068E-2</v>
      </c>
      <c r="E25" s="17">
        <f t="shared" si="8"/>
        <v>2.4867122247532271E-2</v>
      </c>
      <c r="F25" s="17">
        <f t="shared" si="8"/>
        <v>2.6417288222115084E-2</v>
      </c>
      <c r="G25" s="17">
        <f t="shared" si="8"/>
        <v>2.4324160870879952E-2</v>
      </c>
      <c r="H25" s="17">
        <f t="shared" si="8"/>
        <v>3.1864391845006661E-2</v>
      </c>
      <c r="I25" s="17">
        <f t="shared" si="8"/>
        <v>3.2516522016084085E-2</v>
      </c>
      <c r="J25" s="17">
        <f t="shared" si="8"/>
        <v>2.8575891352422292E-2</v>
      </c>
      <c r="K25" s="17">
        <f t="shared" si="8"/>
        <v>2.8787125171189708E-2</v>
      </c>
      <c r="L25" s="17">
        <f t="shared" si="8"/>
        <v>3.0441855925034164E-2</v>
      </c>
      <c r="M25" s="17">
        <f t="shared" si="8"/>
        <v>3.1215132890044048E-3</v>
      </c>
    </row>
    <row r="27" spans="2:13" x14ac:dyDescent="0.3">
      <c r="B27" s="28" t="s">
        <v>71</v>
      </c>
      <c r="C27" s="29">
        <f>IFERROR(C18-SUMIF(C24,C21),0)</f>
        <v>14883</v>
      </c>
      <c r="D27" s="29">
        <f t="shared" ref="D27:M27" si="9">IFERROR(D18-SUMIF(D24,D21),0)</f>
        <v>17079</v>
      </c>
      <c r="E27" s="29">
        <f t="shared" si="9"/>
        <v>18604</v>
      </c>
      <c r="F27" s="29">
        <f t="shared" si="9"/>
        <v>18822</v>
      </c>
      <c r="G27" s="29">
        <f t="shared" si="9"/>
        <v>20170</v>
      </c>
      <c r="H27" s="29">
        <f t="shared" si="9"/>
        <v>22267</v>
      </c>
      <c r="I27" s="29">
        <f t="shared" si="9"/>
        <v>27889</v>
      </c>
      <c r="J27" s="29">
        <f t="shared" si="9"/>
        <v>31491</v>
      </c>
      <c r="K27" s="29">
        <f t="shared" si="9"/>
        <v>35130</v>
      </c>
      <c r="L27" s="29">
        <f t="shared" si="9"/>
        <v>36425</v>
      </c>
      <c r="M27" s="29">
        <f t="shared" si="9"/>
        <v>36314</v>
      </c>
    </row>
    <row r="28" spans="2:13" x14ac:dyDescent="0.3">
      <c r="B28" t="s">
        <v>72</v>
      </c>
      <c r="C28" s="14">
        <f>C27/C6</f>
        <v>0.27913126652787934</v>
      </c>
      <c r="D28" s="14">
        <f t="shared" ref="D28:M28" si="10">D27/D6</f>
        <v>0.27352220496148366</v>
      </c>
      <c r="E28" s="14">
        <f t="shared" si="10"/>
        <v>0.27165469306699375</v>
      </c>
      <c r="F28" s="14">
        <f t="shared" si="10"/>
        <v>0.26689543688494372</v>
      </c>
      <c r="G28" s="14">
        <f t="shared" si="10"/>
        <v>0.24396734200181433</v>
      </c>
      <c r="H28" s="14">
        <f t="shared" si="10"/>
        <v>0.24525558700752279</v>
      </c>
      <c r="I28" s="14">
        <f t="shared" si="10"/>
        <v>0.27757982323433394</v>
      </c>
      <c r="J28" s="14">
        <f t="shared" si="10"/>
        <v>0.25888475102966929</v>
      </c>
      <c r="K28" s="14">
        <f t="shared" si="10"/>
        <v>0.23935898396778568</v>
      </c>
      <c r="L28" s="14">
        <f t="shared" si="10"/>
        <v>0.23703390381987374</v>
      </c>
      <c r="M28" s="14">
        <f t="shared" si="10"/>
        <v>0.23420378838203712</v>
      </c>
    </row>
    <row r="30" spans="2:13" x14ac:dyDescent="0.3">
      <c r="B30" t="s">
        <v>24</v>
      </c>
      <c r="C30" s="18">
        <f>IFERROR('Data Sheet'!B29,0)</f>
        <v>4911</v>
      </c>
      <c r="D30" s="18">
        <f>IFERROR('Data Sheet'!C29,0)</f>
        <v>5251</v>
      </c>
      <c r="E30" s="18">
        <f>IFERROR('Data Sheet'!D29,0)</f>
        <v>5598</v>
      </c>
      <c r="F30" s="18">
        <f>IFERROR('Data Sheet'!E29,0)</f>
        <v>4241</v>
      </c>
      <c r="G30" s="18">
        <f>IFERROR('Data Sheet'!F29,0)</f>
        <v>5631</v>
      </c>
      <c r="H30" s="18">
        <f>IFERROR('Data Sheet'!G29,0)</f>
        <v>5368</v>
      </c>
      <c r="I30" s="18">
        <f>IFERROR('Data Sheet'!H29,0)</f>
        <v>7205</v>
      </c>
      <c r="J30" s="18">
        <f>IFERROR('Data Sheet'!I29,0)</f>
        <v>7964</v>
      </c>
      <c r="K30" s="18">
        <f>IFERROR('Data Sheet'!J29,0)</f>
        <v>9214</v>
      </c>
      <c r="L30" s="18">
        <f>IFERROR('Data Sheet'!K29,0)</f>
        <v>9740</v>
      </c>
      <c r="M30" s="18">
        <f>IFERROR(SUM('Data Sheet'!H48:K48),0)</f>
        <v>9971</v>
      </c>
    </row>
    <row r="31" spans="2:13" x14ac:dyDescent="0.3">
      <c r="B31" s="15" t="s">
        <v>73</v>
      </c>
      <c r="C31" s="20">
        <f>C30/C27</f>
        <v>0.32997379560572465</v>
      </c>
      <c r="D31" s="17">
        <f t="shared" ref="D31:M31" si="11">D30/D27</f>
        <v>0.30745359798583055</v>
      </c>
      <c r="E31" s="17">
        <f t="shared" si="11"/>
        <v>0.30090303160610621</v>
      </c>
      <c r="F31" s="17">
        <f t="shared" si="11"/>
        <v>0.22532143236637978</v>
      </c>
      <c r="G31" s="17">
        <f t="shared" si="11"/>
        <v>0.27917699553792763</v>
      </c>
      <c r="H31" s="17">
        <f t="shared" si="11"/>
        <v>0.24107423541563749</v>
      </c>
      <c r="I31" s="17">
        <f t="shared" si="11"/>
        <v>0.25834558428054072</v>
      </c>
      <c r="J31" s="17">
        <f t="shared" si="11"/>
        <v>0.25289765329776759</v>
      </c>
      <c r="K31" s="17">
        <f t="shared" si="11"/>
        <v>0.26228294904639909</v>
      </c>
      <c r="L31" s="17">
        <f t="shared" si="11"/>
        <v>0.26739876458476319</v>
      </c>
      <c r="M31" s="17">
        <f t="shared" si="11"/>
        <v>0.2745772980117861</v>
      </c>
    </row>
    <row r="33" spans="1:13" x14ac:dyDescent="0.3">
      <c r="B33" s="28" t="s">
        <v>25</v>
      </c>
      <c r="C33" s="29">
        <f>IFERROR(C27-C30,0)</f>
        <v>9972</v>
      </c>
      <c r="D33" s="29">
        <f t="shared" ref="D33:M33" si="12">IFERROR(D27-D30,0)</f>
        <v>11828</v>
      </c>
      <c r="E33" s="29">
        <f t="shared" si="12"/>
        <v>13006</v>
      </c>
      <c r="F33" s="29">
        <f t="shared" si="12"/>
        <v>14581</v>
      </c>
      <c r="G33" s="29">
        <f t="shared" si="12"/>
        <v>14539</v>
      </c>
      <c r="H33" s="29">
        <f t="shared" si="12"/>
        <v>16899</v>
      </c>
      <c r="I33" s="29">
        <f t="shared" si="12"/>
        <v>20684</v>
      </c>
      <c r="J33" s="29">
        <f t="shared" si="12"/>
        <v>23527</v>
      </c>
      <c r="K33" s="29">
        <f t="shared" si="12"/>
        <v>25916</v>
      </c>
      <c r="L33" s="29">
        <f t="shared" si="12"/>
        <v>26685</v>
      </c>
      <c r="M33" s="29">
        <f t="shared" si="12"/>
        <v>26343</v>
      </c>
    </row>
    <row r="34" spans="1:13" x14ac:dyDescent="0.3">
      <c r="B34" s="15" t="s">
        <v>74</v>
      </c>
      <c r="C34" s="20">
        <f>C33/C6</f>
        <v>0.18702526303944186</v>
      </c>
      <c r="D34" s="17">
        <f t="shared" ref="D34:M34" si="13">D33/D6</f>
        <v>0.1894268189170577</v>
      </c>
      <c r="E34" s="17">
        <f t="shared" si="13"/>
        <v>0.18991297237310906</v>
      </c>
      <c r="F34" s="17">
        <f t="shared" si="13"/>
        <v>0.20675817475397748</v>
      </c>
      <c r="G34" s="17">
        <f t="shared" si="13"/>
        <v>0.17585727245237376</v>
      </c>
      <c r="H34" s="17">
        <f t="shared" si="13"/>
        <v>0.18613078388827087</v>
      </c>
      <c r="I34" s="17">
        <f t="shared" si="13"/>
        <v>0.20586830161637074</v>
      </c>
      <c r="J34" s="17">
        <f t="shared" si="13"/>
        <v>0.19341340501968909</v>
      </c>
      <c r="K34" s="17">
        <f t="shared" si="13"/>
        <v>0.17657920377196509</v>
      </c>
      <c r="L34" s="17">
        <f t="shared" si="13"/>
        <v>0.17365133077373593</v>
      </c>
      <c r="M34" s="17">
        <f t="shared" si="13"/>
        <v>0.16989674498397322</v>
      </c>
    </row>
    <row r="36" spans="1:13" x14ac:dyDescent="0.3">
      <c r="B36" t="s">
        <v>75</v>
      </c>
      <c r="C36" s="18">
        <f>IFERROR('Data Sheet'!B93,0)</f>
        <v>459.38</v>
      </c>
      <c r="D36" s="18">
        <f>IFERROR('Data Sheet'!C93,0)</f>
        <v>459.39</v>
      </c>
      <c r="E36" s="18">
        <f>IFERROR('Data Sheet'!D93,0)</f>
        <v>459.39</v>
      </c>
      <c r="F36" s="18">
        <f>IFERROR('Data Sheet'!E93,0)</f>
        <v>436.82</v>
      </c>
      <c r="G36" s="18">
        <f>IFERROR('Data Sheet'!F93,0)</f>
        <v>436.89</v>
      </c>
      <c r="H36" s="18">
        <f>IFERROR('Data Sheet'!G93,0)</f>
        <v>425.9</v>
      </c>
      <c r="I36" s="18">
        <f>IFERROR('Data Sheet'!H93,0)</f>
        <v>426.07</v>
      </c>
      <c r="J36" s="18">
        <f>IFERROR('Data Sheet'!I93,0)</f>
        <v>420.67</v>
      </c>
      <c r="K36" s="18">
        <f>IFERROR('Data Sheet'!J93,0)</f>
        <v>414.86</v>
      </c>
      <c r="L36" s="18">
        <f>IFERROR('Data Sheet'!K93,0)</f>
        <v>415.09</v>
      </c>
      <c r="M36" s="18">
        <v>415</v>
      </c>
    </row>
    <row r="38" spans="1:13" x14ac:dyDescent="0.3">
      <c r="B38" t="s">
        <v>76</v>
      </c>
      <c r="C38" s="18">
        <f>IFERROR(C33/C36,0)</f>
        <v>21.707518829727025</v>
      </c>
      <c r="D38" s="18">
        <f t="shared" ref="D38:M38" si="14">IFERROR(D33/D36,0)</f>
        <v>25.747186486427655</v>
      </c>
      <c r="E38" s="18">
        <f t="shared" si="14"/>
        <v>28.311456496658614</v>
      </c>
      <c r="F38" s="18">
        <f t="shared" si="14"/>
        <v>33.37988187354059</v>
      </c>
      <c r="G38" s="18">
        <f t="shared" si="14"/>
        <v>33.2783995971526</v>
      </c>
      <c r="H38" s="18">
        <f t="shared" si="14"/>
        <v>39.678328246067153</v>
      </c>
      <c r="I38" s="18">
        <f t="shared" si="14"/>
        <v>48.546013565845989</v>
      </c>
      <c r="J38" s="18">
        <f t="shared" si="14"/>
        <v>55.927449069341762</v>
      </c>
      <c r="K38" s="18">
        <f t="shared" si="14"/>
        <v>62.469266740587187</v>
      </c>
      <c r="L38" s="18">
        <f t="shared" si="14"/>
        <v>64.287263003204131</v>
      </c>
      <c r="M38" s="18">
        <f t="shared" si="14"/>
        <v>63.477108433734941</v>
      </c>
    </row>
    <row r="39" spans="1:13" x14ac:dyDescent="0.3">
      <c r="B39" s="15" t="s">
        <v>78</v>
      </c>
      <c r="C39" s="20">
        <f t="shared" ref="C39:L39" si="15">D38/C38-1</f>
        <v>0.18609531970869786</v>
      </c>
      <c r="D39" s="20">
        <f t="shared" si="15"/>
        <v>9.9594183293878924E-2</v>
      </c>
      <c r="E39" s="20">
        <f t="shared" si="15"/>
        <v>0.17902383006964562</v>
      </c>
      <c r="F39" s="20">
        <f t="shared" si="15"/>
        <v>-3.040222753706967E-3</v>
      </c>
      <c r="G39" s="20">
        <f t="shared" si="15"/>
        <v>0.19231479657640005</v>
      </c>
      <c r="H39" s="20">
        <f t="shared" si="15"/>
        <v>0.22348938858475687</v>
      </c>
      <c r="I39" s="20">
        <f t="shared" si="15"/>
        <v>0.15205029128671654</v>
      </c>
      <c r="J39" s="20">
        <f t="shared" si="15"/>
        <v>0.11696971308551074</v>
      </c>
      <c r="K39" s="20">
        <f t="shared" si="15"/>
        <v>2.9102250714202249E-2</v>
      </c>
      <c r="L39" s="20">
        <f t="shared" si="15"/>
        <v>-1.2602100814726125E-2</v>
      </c>
      <c r="M39" s="20">
        <v>0</v>
      </c>
    </row>
    <row r="41" spans="1:13" x14ac:dyDescent="0.3">
      <c r="B41" t="s">
        <v>77</v>
      </c>
      <c r="C41" s="18">
        <f>IFERROR('Data Sheet'!B31/historicalfs!C36,0)</f>
        <v>14.817362532108495</v>
      </c>
      <c r="D41" s="18">
        <f>IFERROR('Data Sheet'!C31/historicalfs!D36,0)</f>
        <v>12.077755284181196</v>
      </c>
      <c r="E41" s="18">
        <f>IFERROR('Data Sheet'!D31/historicalfs!E36,0)</f>
        <v>12.824832930625396</v>
      </c>
      <c r="F41" s="18">
        <f>IFERROR('Data Sheet'!E31/historicalfs!F36,0)</f>
        <v>21.669337484547412</v>
      </c>
      <c r="G41" s="18">
        <f>IFERROR('Data Sheet'!F31/historicalfs!G36,0)</f>
        <v>21.109432580283368</v>
      </c>
      <c r="H41" s="18">
        <f>IFERROR('Data Sheet'!G31/historicalfs!H36,0)</f>
        <v>17.438365813571263</v>
      </c>
      <c r="I41" s="18">
        <f>IFERROR('Data Sheet'!H31/historicalfs!I36,0)</f>
        <v>26.919520266622857</v>
      </c>
      <c r="J41" s="18">
        <f>IFERROR('Data Sheet'!I31/historicalfs!J36,0)</f>
        <v>30.921149594694178</v>
      </c>
      <c r="K41" s="18">
        <f>IFERROR('Data Sheet'!J31/historicalfs!K36,0)</f>
        <v>33.913127320059779</v>
      </c>
      <c r="L41" s="18">
        <f>IFERROR('Data Sheet'!K31/historicalfs!L36,0)</f>
        <v>45.901370787058234</v>
      </c>
      <c r="M41" s="18">
        <f>IFERROR('Data Sheet'!L31/historicalfs!M36,0)</f>
        <v>0</v>
      </c>
    </row>
    <row r="42" spans="1:13" x14ac:dyDescent="0.3">
      <c r="B42" s="15" t="s">
        <v>79</v>
      </c>
      <c r="C42" s="20">
        <f>IFERROR(C41/C38,0)</f>
        <v>0.6825912555154432</v>
      </c>
      <c r="D42" s="20">
        <f t="shared" ref="D42:M42" si="16">IFERROR(D41/D38,0)</f>
        <v>0.4690902942171119</v>
      </c>
      <c r="E42" s="20">
        <f t="shared" si="16"/>
        <v>0.45299092726433954</v>
      </c>
      <c r="F42" s="20">
        <f t="shared" si="16"/>
        <v>0.64917358205884368</v>
      </c>
      <c r="G42" s="20">
        <f t="shared" si="16"/>
        <v>0.63432835820895528</v>
      </c>
      <c r="H42" s="20">
        <f t="shared" si="16"/>
        <v>0.43949346115154747</v>
      </c>
      <c r="I42" s="20">
        <f t="shared" si="16"/>
        <v>0.5545155675884742</v>
      </c>
      <c r="J42" s="20">
        <f t="shared" si="16"/>
        <v>0.55287967016619211</v>
      </c>
      <c r="K42" s="20">
        <f t="shared" si="16"/>
        <v>0.54287698718938104</v>
      </c>
      <c r="L42" s="20">
        <f t="shared" si="16"/>
        <v>0.71400412216601084</v>
      </c>
      <c r="M42" s="20">
        <f t="shared" si="16"/>
        <v>0</v>
      </c>
    </row>
    <row r="44" spans="1:13" x14ac:dyDescent="0.3">
      <c r="B44" t="s">
        <v>80</v>
      </c>
      <c r="C44" s="14">
        <f>IFERROR(IF(C38&gt;C41,1-C42,0),0)</f>
        <v>0.3174087444845568</v>
      </c>
      <c r="D44" s="14">
        <f t="shared" ref="D44:M44" si="17">IFERROR(IF(D38&gt;D41,1-D42,0),0)</f>
        <v>0.5309097057828881</v>
      </c>
      <c r="E44" s="14">
        <f t="shared" si="17"/>
        <v>0.54700907273566046</v>
      </c>
      <c r="F44" s="14">
        <f t="shared" si="17"/>
        <v>0.35082641794115632</v>
      </c>
      <c r="G44" s="14">
        <f t="shared" si="17"/>
        <v>0.36567164179104472</v>
      </c>
      <c r="H44" s="14">
        <f t="shared" si="17"/>
        <v>0.56050653884845247</v>
      </c>
      <c r="I44" s="14">
        <f t="shared" si="17"/>
        <v>0.4454844324115258</v>
      </c>
      <c r="J44" s="14">
        <f t="shared" si="17"/>
        <v>0.44712032983380789</v>
      </c>
      <c r="K44" s="14">
        <f t="shared" si="17"/>
        <v>0.45712301281061896</v>
      </c>
      <c r="L44" s="14">
        <f t="shared" si="17"/>
        <v>0.28599587783398916</v>
      </c>
      <c r="M44" s="14">
        <f t="shared" si="17"/>
        <v>1</v>
      </c>
    </row>
    <row r="46" spans="1:13" x14ac:dyDescent="0.3">
      <c r="A46" t="s">
        <v>57</v>
      </c>
      <c r="B46" s="22" t="s">
        <v>81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3" x14ac:dyDescent="0.3">
      <c r="B47" s="8" t="s">
        <v>31</v>
      </c>
      <c r="C47" s="18">
        <f>IFERROR('Data Sheet'!B57,0)</f>
        <v>572</v>
      </c>
      <c r="D47" s="18">
        <f>IFERROR('Data Sheet'!C57,0)</f>
        <v>1144</v>
      </c>
      <c r="E47" s="18">
        <f>IFERROR('Data Sheet'!D57,0)</f>
        <v>1144</v>
      </c>
      <c r="F47" s="18">
        <f>IFERROR('Data Sheet'!E57,0)</f>
        <v>1088</v>
      </c>
      <c r="G47" s="18">
        <f>IFERROR('Data Sheet'!F57,0)</f>
        <v>2170</v>
      </c>
      <c r="H47" s="18">
        <f>IFERROR('Data Sheet'!G57,0)</f>
        <v>2122</v>
      </c>
      <c r="I47" s="18">
        <f>IFERROR('Data Sheet'!H57,0)</f>
        <v>2124</v>
      </c>
      <c r="J47" s="18">
        <f>IFERROR('Data Sheet'!I57,0)</f>
        <v>2098</v>
      </c>
      <c r="K47" s="18">
        <f>IFERROR('Data Sheet'!J57,0)</f>
        <v>2069</v>
      </c>
      <c r="L47" s="18">
        <f>IFERROR('Data Sheet'!K57,0)</f>
        <v>2071</v>
      </c>
      <c r="M47" s="18"/>
    </row>
    <row r="48" spans="1:13" x14ac:dyDescent="0.3">
      <c r="B48" s="8" t="s">
        <v>32</v>
      </c>
      <c r="C48" s="18">
        <f>IFERROR('Data Sheet'!B58,0)</f>
        <v>50164</v>
      </c>
      <c r="D48" s="18">
        <f>IFERROR('Data Sheet'!C58,0)</f>
        <v>60600</v>
      </c>
      <c r="E48" s="18">
        <f>IFERROR('Data Sheet'!D58,0)</f>
        <v>67838</v>
      </c>
      <c r="F48" s="18">
        <f>IFERROR('Data Sheet'!E58,0)</f>
        <v>63835</v>
      </c>
      <c r="G48" s="18">
        <f>IFERROR('Data Sheet'!F58,0)</f>
        <v>62778</v>
      </c>
      <c r="H48" s="18">
        <f>IFERROR('Data Sheet'!G58,0)</f>
        <v>63328</v>
      </c>
      <c r="I48" s="18">
        <f>IFERROR('Data Sheet'!H58,0)</f>
        <v>74227</v>
      </c>
      <c r="J48" s="18">
        <f>IFERROR('Data Sheet'!I58,0)</f>
        <v>73252</v>
      </c>
      <c r="K48" s="18">
        <f>IFERROR('Data Sheet'!J58,0)</f>
        <v>73338</v>
      </c>
      <c r="L48" s="18">
        <f>IFERROR('Data Sheet'!K58,0)</f>
        <v>86045</v>
      </c>
      <c r="M48" s="18"/>
    </row>
    <row r="49" spans="2:13" x14ac:dyDescent="0.3">
      <c r="B49" s="8" t="s">
        <v>33</v>
      </c>
      <c r="C49" s="18">
        <f>IFERROR('Data Sheet'!B59,0)</f>
        <v>0</v>
      </c>
      <c r="D49" s="18">
        <f>IFERROR('Data Sheet'!C59,0)</f>
        <v>0</v>
      </c>
      <c r="E49" s="18">
        <f>IFERROR('Data Sheet'!D59,0)</f>
        <v>0</v>
      </c>
      <c r="F49" s="18">
        <f>IFERROR('Data Sheet'!E59,0)</f>
        <v>0</v>
      </c>
      <c r="G49" s="18">
        <f>IFERROR('Data Sheet'!F59,0)</f>
        <v>0</v>
      </c>
      <c r="H49" s="18">
        <f>IFERROR('Data Sheet'!G59,0)</f>
        <v>4633</v>
      </c>
      <c r="I49" s="18">
        <f>IFERROR('Data Sheet'!H59,0)</f>
        <v>5325</v>
      </c>
      <c r="J49" s="18">
        <f>IFERROR('Data Sheet'!I59,0)</f>
        <v>5474</v>
      </c>
      <c r="K49" s="18">
        <f>IFERROR('Data Sheet'!J59,0)</f>
        <v>8299</v>
      </c>
      <c r="L49" s="18">
        <f>IFERROR('Data Sheet'!K59,0)</f>
        <v>8359</v>
      </c>
      <c r="M49" s="18"/>
    </row>
    <row r="50" spans="2:13" x14ac:dyDescent="0.3">
      <c r="B50" s="8" t="s">
        <v>34</v>
      </c>
      <c r="C50" s="18">
        <f>IFERROR('Data Sheet'!B60,0)</f>
        <v>15553</v>
      </c>
      <c r="D50" s="18">
        <f>IFERROR('Data Sheet'!C60,0)</f>
        <v>13354</v>
      </c>
      <c r="E50" s="18">
        <f>IFERROR('Data Sheet'!D60,0)</f>
        <v>14166</v>
      </c>
      <c r="F50" s="18">
        <f>IFERROR('Data Sheet'!E60,0)</f>
        <v>14426</v>
      </c>
      <c r="G50" s="18">
        <f>IFERROR('Data Sheet'!F60,0)</f>
        <v>19118</v>
      </c>
      <c r="H50" s="18">
        <f>IFERROR('Data Sheet'!G60,0)</f>
        <v>21717</v>
      </c>
      <c r="I50" s="18">
        <f>IFERROR('Data Sheet'!H60,0)</f>
        <v>25835</v>
      </c>
      <c r="J50" s="18">
        <f>IFERROR('Data Sheet'!I60,0)</f>
        <v>35905</v>
      </c>
      <c r="K50" s="18">
        <f>IFERROR('Data Sheet'!J60,0)</f>
        <v>40890</v>
      </c>
      <c r="L50" s="18">
        <f>IFERROR('Data Sheet'!K60,0)</f>
        <v>39545</v>
      </c>
      <c r="M50" s="18"/>
    </row>
    <row r="51" spans="2:13" x14ac:dyDescent="0.3">
      <c r="B51" s="28" t="s">
        <v>82</v>
      </c>
      <c r="C51" s="29">
        <f>IFERROR(SUM(C47:C50),0)</f>
        <v>66289</v>
      </c>
      <c r="D51" s="29">
        <f t="shared" ref="D51:L51" si="18">IFERROR(SUM(D47:D50),0)</f>
        <v>75098</v>
      </c>
      <c r="E51" s="29">
        <f t="shared" si="18"/>
        <v>83148</v>
      </c>
      <c r="F51" s="29">
        <f t="shared" si="18"/>
        <v>79349</v>
      </c>
      <c r="G51" s="29">
        <f t="shared" si="18"/>
        <v>84066</v>
      </c>
      <c r="H51" s="29">
        <f t="shared" si="18"/>
        <v>91800</v>
      </c>
      <c r="I51" s="29">
        <f t="shared" si="18"/>
        <v>107511</v>
      </c>
      <c r="J51" s="29">
        <f t="shared" si="18"/>
        <v>116729</v>
      </c>
      <c r="K51" s="29">
        <f t="shared" si="18"/>
        <v>124596</v>
      </c>
      <c r="L51" s="29">
        <f t="shared" si="18"/>
        <v>136020</v>
      </c>
      <c r="M51" s="29"/>
    </row>
    <row r="52" spans="2:13" x14ac:dyDescent="0.3">
      <c r="M52" s="18"/>
    </row>
    <row r="53" spans="2:13" x14ac:dyDescent="0.3">
      <c r="B53" s="8" t="s">
        <v>83</v>
      </c>
      <c r="C53" s="18">
        <f>IFERROR('Data Sheet'!B62,0)</f>
        <v>11346</v>
      </c>
      <c r="D53" s="18">
        <f>IFERROR('Data Sheet'!C62,0)</f>
        <v>13386</v>
      </c>
      <c r="E53" s="18">
        <f>IFERROR('Data Sheet'!D62,0)</f>
        <v>14179</v>
      </c>
      <c r="F53" s="18">
        <f>IFERROR('Data Sheet'!E62,0)</f>
        <v>12574</v>
      </c>
      <c r="G53" s="18">
        <f>IFERROR('Data Sheet'!F62,0)</f>
        <v>15710</v>
      </c>
      <c r="H53" s="18">
        <f>IFERROR('Data Sheet'!G62,0)</f>
        <v>23789</v>
      </c>
      <c r="I53" s="18">
        <f>IFERROR('Data Sheet'!H62,0)</f>
        <v>25505</v>
      </c>
      <c r="J53" s="18">
        <f>IFERROR('Data Sheet'!I62,0)</f>
        <v>25800</v>
      </c>
      <c r="K53" s="18">
        <f>IFERROR('Data Sheet'!J62,0)</f>
        <v>29225</v>
      </c>
      <c r="L53" s="18">
        <f>IFERROR('Data Sheet'!K62,0)</f>
        <v>27622</v>
      </c>
      <c r="M53" s="18"/>
    </row>
    <row r="54" spans="2:13" x14ac:dyDescent="0.3">
      <c r="B54" s="8" t="s">
        <v>37</v>
      </c>
      <c r="C54" s="18">
        <f>IFERROR('Data Sheet'!B63,0)</f>
        <v>776</v>
      </c>
      <c r="D54" s="18">
        <f>IFERROR('Data Sheet'!C63,0)</f>
        <v>960</v>
      </c>
      <c r="E54" s="18">
        <f>IFERROR('Data Sheet'!D63,0)</f>
        <v>1365</v>
      </c>
      <c r="F54" s="18">
        <f>IFERROR('Data Sheet'!E63,0)</f>
        <v>1606</v>
      </c>
      <c r="G54" s="18">
        <f>IFERROR('Data Sheet'!F63,0)</f>
        <v>1388</v>
      </c>
      <c r="H54" s="18">
        <f>IFERROR('Data Sheet'!G63,0)</f>
        <v>954</v>
      </c>
      <c r="I54" s="18">
        <f>IFERROR('Data Sheet'!H63,0)</f>
        <v>922</v>
      </c>
      <c r="J54" s="18">
        <f>IFERROR('Data Sheet'!I63,0)</f>
        <v>416</v>
      </c>
      <c r="K54" s="18">
        <f>IFERROR('Data Sheet'!J63,0)</f>
        <v>288</v>
      </c>
      <c r="L54" s="18">
        <f>IFERROR('Data Sheet'!K63,0)</f>
        <v>293</v>
      </c>
      <c r="M54" s="18"/>
    </row>
    <row r="55" spans="2:13" x14ac:dyDescent="0.3">
      <c r="B55" s="8" t="s">
        <v>38</v>
      </c>
      <c r="C55" s="18">
        <f>IFERROR('Data Sheet'!B64,0)</f>
        <v>2270</v>
      </c>
      <c r="D55" s="18">
        <f>IFERROR('Data Sheet'!C64,0)</f>
        <v>1892</v>
      </c>
      <c r="E55" s="18">
        <f>IFERROR('Data Sheet'!D64,0)</f>
        <v>16423</v>
      </c>
      <c r="F55" s="18">
        <f>IFERROR('Data Sheet'!E64,0)</f>
        <v>12163</v>
      </c>
      <c r="G55" s="18">
        <f>IFERROR('Data Sheet'!F64,0)</f>
        <v>11261</v>
      </c>
      <c r="H55" s="18">
        <f>IFERROR('Data Sheet'!G64,0)</f>
        <v>8792</v>
      </c>
      <c r="I55" s="18">
        <f>IFERROR('Data Sheet'!H64,0)</f>
        <v>14205</v>
      </c>
      <c r="J55" s="18">
        <f>IFERROR('Data Sheet'!I64,0)</f>
        <v>20324</v>
      </c>
      <c r="K55" s="18">
        <f>IFERROR('Data Sheet'!J64,0)</f>
        <v>19478</v>
      </c>
      <c r="L55" s="18">
        <f>IFERROR('Data Sheet'!K64,0)</f>
        <v>24623</v>
      </c>
      <c r="M55" s="18"/>
    </row>
    <row r="56" spans="2:13" x14ac:dyDescent="0.3">
      <c r="B56" s="8" t="s">
        <v>39</v>
      </c>
      <c r="C56" s="18">
        <f>IFERROR('Data Sheet'!B65-SUM('Data Sheet'!B67:B69),0)</f>
        <v>11817</v>
      </c>
      <c r="D56" s="18">
        <f>IFERROR('Data Sheet'!C65-SUM('Data Sheet'!C67:C69),0)</f>
        <v>14833</v>
      </c>
      <c r="E56" s="18">
        <f>IFERROR('Data Sheet'!D65-SUM('Data Sheet'!D67:D69),0)</f>
        <v>16234</v>
      </c>
      <c r="F56" s="18">
        <f>IFERROR('Data Sheet'!E65-SUM('Data Sheet'!E67:E69),0)</f>
        <v>20046</v>
      </c>
      <c r="G56" s="18">
        <f>IFERROR('Data Sheet'!F65-SUM('Data Sheet'!F67:F69),0)</f>
        <v>21312</v>
      </c>
      <c r="H56" s="18">
        <f>IFERROR('Data Sheet'!G65-SUM('Data Sheet'!G67:G69),0)</f>
        <v>21129</v>
      </c>
      <c r="I56" s="18">
        <f>IFERROR('Data Sheet'!H65-SUM('Data Sheet'!H67:H69),0)</f>
        <v>22871</v>
      </c>
      <c r="J56" s="18">
        <f>IFERROR('Data Sheet'!I65-SUM('Data Sheet'!I67:I69),0)</f>
        <v>30019</v>
      </c>
      <c r="K56" s="18">
        <f>IFERROR('Data Sheet'!J65-SUM('Data Sheet'!J67:J69),0)</f>
        <v>38008</v>
      </c>
      <c r="L56" s="18">
        <f>IFERROR('Data Sheet'!K65-SUM('Data Sheet'!K67:K69),0)</f>
        <v>38503</v>
      </c>
      <c r="M56" s="18"/>
    </row>
    <row r="57" spans="2:13" x14ac:dyDescent="0.3">
      <c r="B57" s="28" t="s">
        <v>84</v>
      </c>
      <c r="C57" s="29">
        <f>IFERROR(SUM(C53:C56),0)</f>
        <v>26209</v>
      </c>
      <c r="D57" s="29">
        <f t="shared" ref="D57:L57" si="19">IFERROR(SUM(D53:D56),0)</f>
        <v>31071</v>
      </c>
      <c r="E57" s="29">
        <f t="shared" si="19"/>
        <v>48201</v>
      </c>
      <c r="F57" s="29">
        <f t="shared" si="19"/>
        <v>46389</v>
      </c>
      <c r="G57" s="29">
        <f t="shared" si="19"/>
        <v>49671</v>
      </c>
      <c r="H57" s="29">
        <f t="shared" si="19"/>
        <v>54664</v>
      </c>
      <c r="I57" s="29">
        <f t="shared" si="19"/>
        <v>63503</v>
      </c>
      <c r="J57" s="29">
        <f t="shared" si="19"/>
        <v>76559</v>
      </c>
      <c r="K57" s="29">
        <f t="shared" si="19"/>
        <v>86999</v>
      </c>
      <c r="L57" s="29">
        <f t="shared" si="19"/>
        <v>91041</v>
      </c>
      <c r="M57" s="29"/>
    </row>
    <row r="60" spans="2:13" x14ac:dyDescent="0.3">
      <c r="B60" s="8" t="s">
        <v>40</v>
      </c>
      <c r="C60" s="18">
        <f>IFERROR('Data Sheet'!B67,0)</f>
        <v>9713</v>
      </c>
      <c r="D60" s="18">
        <f>IFERROR('Data Sheet'!C67,0)</f>
        <v>11330</v>
      </c>
      <c r="E60" s="18">
        <f>IFERROR('Data Sheet'!D67,0)</f>
        <v>12322</v>
      </c>
      <c r="F60" s="18">
        <f>IFERROR('Data Sheet'!E67,0)</f>
        <v>13142</v>
      </c>
      <c r="G60" s="18">
        <f>IFERROR('Data Sheet'!F67,0)</f>
        <v>14827</v>
      </c>
      <c r="H60" s="18">
        <f>IFERROR('Data Sheet'!G67,0)</f>
        <v>18487</v>
      </c>
      <c r="I60" s="18">
        <f>IFERROR('Data Sheet'!H67,0)</f>
        <v>19294</v>
      </c>
      <c r="J60" s="18">
        <f>IFERROR('Data Sheet'!I67,0)</f>
        <v>22698</v>
      </c>
      <c r="K60" s="18">
        <f>IFERROR('Data Sheet'!J67,0)</f>
        <v>25424</v>
      </c>
      <c r="L60" s="18">
        <f>IFERROR('Data Sheet'!K67,0)</f>
        <v>30193</v>
      </c>
    </row>
    <row r="61" spans="2:13" x14ac:dyDescent="0.3">
      <c r="B61" s="8" t="s">
        <v>41</v>
      </c>
      <c r="C61" s="18">
        <f>IFERROR('Data Sheet'!B68,0)</f>
        <v>0</v>
      </c>
      <c r="D61" s="18">
        <f>IFERROR('Data Sheet'!C68,0)</f>
        <v>0</v>
      </c>
      <c r="E61" s="18">
        <f>IFERROR('Data Sheet'!D68,0)</f>
        <v>0</v>
      </c>
      <c r="F61" s="18">
        <f>IFERROR('Data Sheet'!E68,0)</f>
        <v>0</v>
      </c>
      <c r="G61" s="18">
        <f>IFERROR('Data Sheet'!F68,0)</f>
        <v>0</v>
      </c>
      <c r="H61" s="18">
        <f>IFERROR('Data Sheet'!G68,0)</f>
        <v>0</v>
      </c>
      <c r="I61" s="18">
        <f>IFERROR('Data Sheet'!H68,0)</f>
        <v>0</v>
      </c>
      <c r="J61" s="18">
        <f>IFERROR('Data Sheet'!I68,0)</f>
        <v>0</v>
      </c>
      <c r="K61" s="18">
        <f>IFERROR('Data Sheet'!J68,0)</f>
        <v>0</v>
      </c>
      <c r="L61" s="18">
        <f>IFERROR('Data Sheet'!K68,0)</f>
        <v>0</v>
      </c>
    </row>
    <row r="62" spans="2:13" x14ac:dyDescent="0.3">
      <c r="B62" s="3" t="s">
        <v>42</v>
      </c>
      <c r="C62" s="18">
        <f>IFERROR('Data Sheet'!B69,0)</f>
        <v>30367</v>
      </c>
      <c r="D62" s="18">
        <f>IFERROR('Data Sheet'!C69,0)</f>
        <v>32697</v>
      </c>
      <c r="E62" s="18">
        <f>IFERROR('Data Sheet'!D69,0)</f>
        <v>22625</v>
      </c>
      <c r="F62" s="18">
        <f>IFERROR('Data Sheet'!E69,0)</f>
        <v>19818</v>
      </c>
      <c r="G62" s="18">
        <f>IFERROR('Data Sheet'!F69,0)</f>
        <v>19568</v>
      </c>
      <c r="H62" s="18">
        <f>IFERROR('Data Sheet'!G69,0)</f>
        <v>18649</v>
      </c>
      <c r="I62" s="18">
        <f>IFERROR('Data Sheet'!H69,0)</f>
        <v>24714</v>
      </c>
      <c r="J62" s="18">
        <f>IFERROR('Data Sheet'!I69,0)</f>
        <v>17472</v>
      </c>
      <c r="K62" s="18">
        <f>IFERROR('Data Sheet'!J69,0)</f>
        <v>12173</v>
      </c>
      <c r="L62" s="18">
        <f>IFERROR('Data Sheet'!K69,0)</f>
        <v>14786</v>
      </c>
    </row>
    <row r="63" spans="2:13" x14ac:dyDescent="0.3">
      <c r="B63" s="28" t="s">
        <v>85</v>
      </c>
      <c r="C63" s="29">
        <f>IFERROR(SUM(C60:C62),0)</f>
        <v>40080</v>
      </c>
      <c r="D63" s="29">
        <f t="shared" ref="D63:L63" si="20">IFERROR(SUM(D60:D62),0)</f>
        <v>44027</v>
      </c>
      <c r="E63" s="29">
        <f t="shared" si="20"/>
        <v>34947</v>
      </c>
      <c r="F63" s="29">
        <f t="shared" si="20"/>
        <v>32960</v>
      </c>
      <c r="G63" s="29">
        <f t="shared" si="20"/>
        <v>34395</v>
      </c>
      <c r="H63" s="29">
        <f t="shared" si="20"/>
        <v>37136</v>
      </c>
      <c r="I63" s="29">
        <f t="shared" si="20"/>
        <v>44008</v>
      </c>
      <c r="J63" s="29">
        <f t="shared" si="20"/>
        <v>40170</v>
      </c>
      <c r="K63" s="29">
        <f t="shared" si="20"/>
        <v>37597</v>
      </c>
      <c r="L63" s="29">
        <f t="shared" si="20"/>
        <v>44979</v>
      </c>
      <c r="M63" s="29"/>
    </row>
    <row r="65" spans="1:13" x14ac:dyDescent="0.3">
      <c r="B65" s="21" t="s">
        <v>86</v>
      </c>
      <c r="C65" s="18">
        <f>IFERROR(SUM(C63,C57),0)</f>
        <v>66289</v>
      </c>
      <c r="D65" s="18">
        <f t="shared" ref="D65:L65" si="21">IFERROR(SUM(D63,D57),0)</f>
        <v>75098</v>
      </c>
      <c r="E65" s="18">
        <f t="shared" si="21"/>
        <v>83148</v>
      </c>
      <c r="F65" s="18">
        <f t="shared" si="21"/>
        <v>79349</v>
      </c>
      <c r="G65" s="18">
        <f t="shared" si="21"/>
        <v>84066</v>
      </c>
      <c r="H65" s="18">
        <f t="shared" si="21"/>
        <v>91800</v>
      </c>
      <c r="I65" s="18">
        <f t="shared" si="21"/>
        <v>107511</v>
      </c>
      <c r="J65" s="18">
        <f t="shared" si="21"/>
        <v>116729</v>
      </c>
      <c r="K65" s="18">
        <f t="shared" si="21"/>
        <v>124596</v>
      </c>
      <c r="L65" s="18">
        <f t="shared" si="21"/>
        <v>136020</v>
      </c>
    </row>
    <row r="67" spans="1:13" x14ac:dyDescent="0.3">
      <c r="B67" s="24" t="s">
        <v>87</v>
      </c>
      <c r="C67" s="20" t="b">
        <f>C65=C51</f>
        <v>1</v>
      </c>
      <c r="D67" s="20" t="b">
        <f t="shared" ref="D67:L67" si="22">D65=D51</f>
        <v>1</v>
      </c>
      <c r="E67" s="20" t="b">
        <f t="shared" si="22"/>
        <v>1</v>
      </c>
      <c r="F67" s="20" t="b">
        <f t="shared" si="22"/>
        <v>1</v>
      </c>
      <c r="G67" s="20" t="b">
        <f t="shared" si="22"/>
        <v>1</v>
      </c>
      <c r="H67" s="20" t="b">
        <f t="shared" si="22"/>
        <v>1</v>
      </c>
      <c r="I67" s="20" t="b">
        <f t="shared" si="22"/>
        <v>1</v>
      </c>
      <c r="J67" s="20" t="b">
        <f t="shared" si="22"/>
        <v>1</v>
      </c>
      <c r="K67" s="20" t="b">
        <f t="shared" si="22"/>
        <v>1</v>
      </c>
      <c r="L67" s="20" t="b">
        <f t="shared" si="22"/>
        <v>1</v>
      </c>
    </row>
    <row r="69" spans="1:13" x14ac:dyDescent="0.3">
      <c r="A69" t="s">
        <v>57</v>
      </c>
      <c r="B69" s="22" t="s">
        <v>110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</row>
    <row r="70" spans="1:13" x14ac:dyDescent="0.3">
      <c r="B70" s="21" t="s">
        <v>111</v>
      </c>
    </row>
    <row r="71" spans="1:13" x14ac:dyDescent="0.3">
      <c r="B71" t="s">
        <v>89</v>
      </c>
      <c r="C71" s="18">
        <f>IFERROR('cashflow data'!E4,0)</f>
        <v>15946</v>
      </c>
      <c r="D71" s="18">
        <f>IFERROR('cashflow data'!F4,0)</f>
        <v>17839</v>
      </c>
      <c r="E71" s="18">
        <f>IFERROR('cashflow data'!G4,0)</f>
        <v>19340</v>
      </c>
      <c r="F71" s="18">
        <f>IFERROR('cashflow data'!H4,0)</f>
        <v>19963</v>
      </c>
      <c r="G71" s="18">
        <f>IFERROR('cashflow data'!I4,0)</f>
        <v>22126</v>
      </c>
      <c r="H71" s="18">
        <f>IFERROR('cashflow data'!J4,0)</f>
        <v>23920</v>
      </c>
      <c r="I71" s="18">
        <f>IFERROR('cashflow data'!K4,0)</f>
        <v>28845</v>
      </c>
      <c r="J71" s="18">
        <f>IFERROR('cashflow data'!L4,0)</f>
        <v>32921</v>
      </c>
      <c r="K71" s="18">
        <f>IFERROR('cashflow data'!M4,0)</f>
        <v>37605</v>
      </c>
      <c r="L71" s="18">
        <f>IFERROR('cashflow data'!N4,0)</f>
        <v>39523</v>
      </c>
      <c r="M71" s="18"/>
    </row>
    <row r="72" spans="1:13" x14ac:dyDescent="0.3">
      <c r="B72" t="s">
        <v>40</v>
      </c>
      <c r="C72" s="18">
        <f>IFERROR('cashflow data'!E5,0)</f>
        <v>-1475</v>
      </c>
      <c r="D72" s="18">
        <f>IFERROR('cashflow data'!F5,0)</f>
        <v>-1654</v>
      </c>
      <c r="E72" s="18">
        <f>IFERROR('cashflow data'!G5,0)</f>
        <v>-1743</v>
      </c>
      <c r="F72" s="18">
        <f>IFERROR('cashflow data'!H5,0)</f>
        <v>-1523</v>
      </c>
      <c r="G72" s="18">
        <f>IFERROR('cashflow data'!I5,0)</f>
        <v>-2881</v>
      </c>
      <c r="H72" s="18">
        <f>IFERROR('cashflow data'!J5,0)</f>
        <v>-3861</v>
      </c>
      <c r="I72" s="18">
        <f>IFERROR('cashflow data'!K5,0)</f>
        <v>-1835</v>
      </c>
      <c r="J72" s="18">
        <f>IFERROR('cashflow data'!L5,0)</f>
        <v>-7937</v>
      </c>
      <c r="K72" s="18">
        <f>IFERROR('cashflow data'!M5,0)</f>
        <v>-7076</v>
      </c>
      <c r="L72" s="18">
        <f>IFERROR('cashflow data'!N5,0)</f>
        <v>-2667</v>
      </c>
      <c r="M72" s="18"/>
    </row>
    <row r="73" spans="1:13" x14ac:dyDescent="0.3">
      <c r="B73" t="s">
        <v>90</v>
      </c>
      <c r="C73" s="18">
        <f>IFERROR('cashflow data'!E6,0)</f>
        <v>0</v>
      </c>
      <c r="D73" s="18">
        <f>IFERROR('cashflow data'!F6,0)</f>
        <v>242</v>
      </c>
      <c r="E73" s="18">
        <f>IFERROR('cashflow data'!G6,0)</f>
        <v>-19</v>
      </c>
      <c r="F73" s="18">
        <f>IFERROR('cashflow data'!H6,0)</f>
        <v>328</v>
      </c>
      <c r="G73" s="18">
        <f>IFERROR('cashflow data'!I6,0)</f>
        <v>916</v>
      </c>
      <c r="H73" s="18">
        <f>IFERROR('cashflow data'!J6,0)</f>
        <v>-373</v>
      </c>
      <c r="I73" s="18">
        <f>IFERROR('cashflow data'!K6,0)</f>
        <v>-245</v>
      </c>
      <c r="J73" s="18">
        <f>IFERROR('cashflow data'!L6,0)</f>
        <v>1489</v>
      </c>
      <c r="K73" s="18">
        <f>IFERROR('cashflow data'!M6,0)</f>
        <v>-279</v>
      </c>
      <c r="L73" s="18">
        <f>IFERROR('cashflow data'!N6,0)</f>
        <v>91</v>
      </c>
      <c r="M73" s="18"/>
    </row>
    <row r="74" spans="1:13" x14ac:dyDescent="0.3">
      <c r="B74" t="s">
        <v>91</v>
      </c>
      <c r="C74" s="18">
        <f>IFERROR('cashflow data'!E7,0)</f>
        <v>-221</v>
      </c>
      <c r="D74" s="18">
        <f>IFERROR('cashflow data'!F7,0)</f>
        <v>-1134</v>
      </c>
      <c r="E74" s="18">
        <f>IFERROR('cashflow data'!G7,0)</f>
        <v>0</v>
      </c>
      <c r="F74" s="18">
        <f>IFERROR('cashflow data'!H7,0)</f>
        <v>0</v>
      </c>
      <c r="G74" s="18">
        <f>IFERROR('cashflow data'!I7,0)</f>
        <v>0</v>
      </c>
      <c r="H74" s="18">
        <f>IFERROR('cashflow data'!J7,0)</f>
        <v>0</v>
      </c>
      <c r="I74" s="18">
        <f>IFERROR('cashflow data'!K7,0)</f>
        <v>0</v>
      </c>
      <c r="J74" s="18">
        <f>IFERROR('cashflow data'!L7,0)</f>
        <v>-1914</v>
      </c>
      <c r="K74" s="18">
        <f>IFERROR('cashflow data'!M7,0)</f>
        <v>-3108</v>
      </c>
      <c r="L74" s="18">
        <f>IFERROR('cashflow data'!N7,0)</f>
        <v>-1172</v>
      </c>
      <c r="M74" s="18"/>
    </row>
    <row r="75" spans="1:13" x14ac:dyDescent="0.3">
      <c r="B75" t="s">
        <v>92</v>
      </c>
      <c r="C75" s="18">
        <f>IFERROR('cashflow data'!E8,0)</f>
        <v>854</v>
      </c>
      <c r="D75" s="18">
        <f>IFERROR('cashflow data'!F8,0)</f>
        <v>600</v>
      </c>
      <c r="E75" s="18">
        <f>IFERROR('cashflow data'!G8,0)</f>
        <v>-394</v>
      </c>
      <c r="F75" s="18">
        <f>IFERROR('cashflow data'!H8,0)</f>
        <v>1279</v>
      </c>
      <c r="G75" s="18">
        <f>IFERROR('cashflow data'!I8,0)</f>
        <v>1512</v>
      </c>
      <c r="H75" s="18">
        <f>IFERROR('cashflow data'!J8,0)</f>
        <v>1867</v>
      </c>
      <c r="I75" s="18">
        <f>IFERROR('cashflow data'!K8,0)</f>
        <v>2848</v>
      </c>
      <c r="J75" s="18">
        <f>IFERROR('cashflow data'!L8,0)</f>
        <v>6938</v>
      </c>
      <c r="K75" s="18">
        <f>IFERROR('cashflow data'!M8,0)</f>
        <v>4119</v>
      </c>
      <c r="L75" s="18">
        <f>IFERROR('cashflow data'!N8,0)</f>
        <v>-1334</v>
      </c>
      <c r="M75" s="18"/>
    </row>
    <row r="76" spans="1:13" x14ac:dyDescent="0.3">
      <c r="B76" t="s">
        <v>93</v>
      </c>
      <c r="C76" s="18">
        <f>IFERROR('cashflow data'!E9,0)</f>
        <v>-842</v>
      </c>
      <c r="D76" s="18">
        <f>IFERROR('cashflow data'!F9,0)</f>
        <v>-1946</v>
      </c>
      <c r="E76" s="18">
        <f>IFERROR('cashflow data'!G9,0)</f>
        <v>-2156</v>
      </c>
      <c r="F76" s="18">
        <f>IFERROR('cashflow data'!H9,0)</f>
        <v>84</v>
      </c>
      <c r="G76" s="18">
        <f>IFERROR('cashflow data'!I9,0)</f>
        <v>-453</v>
      </c>
      <c r="H76" s="18">
        <f>IFERROR('cashflow data'!J9,0)</f>
        <v>-2367</v>
      </c>
      <c r="I76" s="18">
        <f>IFERROR('cashflow data'!K9,0)</f>
        <v>768</v>
      </c>
      <c r="J76" s="18">
        <f>IFERROR('cashflow data'!L9,0)</f>
        <v>-1424</v>
      </c>
      <c r="K76" s="18">
        <f>IFERROR('cashflow data'!M9,0)</f>
        <v>-6344</v>
      </c>
      <c r="L76" s="18">
        <f>IFERROR('cashflow data'!N9,0)</f>
        <v>-5082</v>
      </c>
      <c r="M76" s="18"/>
    </row>
    <row r="77" spans="1:13" x14ac:dyDescent="0.3">
      <c r="B77" t="s">
        <v>94</v>
      </c>
      <c r="C77" s="18">
        <f>IFERROR('cashflow data'!E10,0)</f>
        <v>-6751</v>
      </c>
      <c r="D77" s="18">
        <f>IFERROR('cashflow data'!F10,0)</f>
        <v>-5865</v>
      </c>
      <c r="E77" s="18">
        <f>IFERROR('cashflow data'!G10,0)</f>
        <v>-5653</v>
      </c>
      <c r="F77" s="18">
        <f>IFERROR('cashflow data'!H10,0)</f>
        <v>-6829</v>
      </c>
      <c r="G77" s="18">
        <f>IFERROR('cashflow data'!I10,0)</f>
        <v>-6832</v>
      </c>
      <c r="H77" s="18">
        <f>IFERROR('cashflow data'!J10,0)</f>
        <v>-4550</v>
      </c>
      <c r="I77" s="18">
        <f>IFERROR('cashflow data'!K10,0)</f>
        <v>-6389</v>
      </c>
      <c r="J77" s="18">
        <f>IFERROR('cashflow data'!L10,0)</f>
        <v>-7612</v>
      </c>
      <c r="K77" s="18">
        <f>IFERROR('cashflow data'!M10,0)</f>
        <v>-8794</v>
      </c>
      <c r="L77" s="18">
        <f>IFERROR('cashflow data'!N10,0)</f>
        <v>-9231</v>
      </c>
      <c r="M77" s="18"/>
    </row>
    <row r="78" spans="1:13" x14ac:dyDescent="0.3">
      <c r="B78" s="21" t="s">
        <v>112</v>
      </c>
      <c r="C78" s="18">
        <f>SUM(C71:C77)</f>
        <v>7511</v>
      </c>
      <c r="D78" s="18">
        <f t="shared" ref="D78:L78" si="23">SUM(D71:D77)</f>
        <v>8082</v>
      </c>
      <c r="E78" s="18">
        <f t="shared" si="23"/>
        <v>9375</v>
      </c>
      <c r="F78" s="18">
        <f t="shared" si="23"/>
        <v>13302</v>
      </c>
      <c r="G78" s="18">
        <f t="shared" si="23"/>
        <v>14388</v>
      </c>
      <c r="H78" s="18">
        <f t="shared" si="23"/>
        <v>14636</v>
      </c>
      <c r="I78" s="18">
        <f t="shared" si="23"/>
        <v>23992</v>
      </c>
      <c r="J78" s="18">
        <f t="shared" si="23"/>
        <v>22461</v>
      </c>
      <c r="K78" s="18">
        <f t="shared" si="23"/>
        <v>16123</v>
      </c>
      <c r="L78" s="18">
        <f t="shared" si="23"/>
        <v>20128</v>
      </c>
    </row>
    <row r="80" spans="1:13" x14ac:dyDescent="0.3">
      <c r="B80" s="21" t="s">
        <v>113</v>
      </c>
    </row>
    <row r="81" spans="2:12" x14ac:dyDescent="0.3">
      <c r="B81" t="s">
        <v>96</v>
      </c>
      <c r="C81" s="18">
        <f>IFERROR('cashflow data'!E12,0)</f>
        <v>-2247</v>
      </c>
      <c r="D81" s="18">
        <f>IFERROR('cashflow data'!F12,0)</f>
        <v>-2723</v>
      </c>
      <c r="E81" s="18">
        <f>IFERROR('cashflow data'!G12,0)</f>
        <v>-2760</v>
      </c>
      <c r="F81" s="18">
        <f>IFERROR('cashflow data'!H12,0)</f>
        <v>-1998</v>
      </c>
      <c r="G81" s="18">
        <f>IFERROR('cashflow data'!I12,0)</f>
        <v>-2445</v>
      </c>
      <c r="H81" s="18">
        <f>IFERROR('cashflow data'!J12,0)</f>
        <v>-3307</v>
      </c>
      <c r="I81" s="18">
        <f>IFERROR('cashflow data'!K12,0)</f>
        <v>-2107</v>
      </c>
      <c r="J81" s="18">
        <f>IFERROR('cashflow data'!L12,0)</f>
        <v>-2161</v>
      </c>
      <c r="K81" s="18">
        <f>IFERROR('cashflow data'!M12,0)</f>
        <v>-2579</v>
      </c>
      <c r="L81" s="18">
        <f>IFERROR('cashflow data'!N12,0)</f>
        <v>-2201</v>
      </c>
    </row>
    <row r="82" spans="2:12" x14ac:dyDescent="0.3">
      <c r="B82" t="s">
        <v>97</v>
      </c>
      <c r="C82" s="18">
        <f>IFERROR('cashflow data'!E13,0)</f>
        <v>0</v>
      </c>
      <c r="D82" s="18">
        <f>IFERROR('cashflow data'!F13,0)</f>
        <v>0</v>
      </c>
      <c r="E82" s="18">
        <f>IFERROR('cashflow data'!G13,0)</f>
        <v>0</v>
      </c>
      <c r="F82" s="18">
        <f>IFERROR('cashflow data'!H13,0)</f>
        <v>0</v>
      </c>
      <c r="G82" s="18">
        <f>IFERROR('cashflow data'!I13,0)</f>
        <v>0</v>
      </c>
      <c r="H82" s="18">
        <f>IFERROR('cashflow data'!J13,0)</f>
        <v>0</v>
      </c>
      <c r="I82" s="18">
        <f>IFERROR('cashflow data'!K13,0)</f>
        <v>0</v>
      </c>
      <c r="J82" s="18">
        <f>IFERROR('cashflow data'!L13,0)</f>
        <v>0</v>
      </c>
      <c r="K82" s="18">
        <f>IFERROR('cashflow data'!M13,0)</f>
        <v>0</v>
      </c>
      <c r="L82" s="18">
        <f>IFERROR('cashflow data'!N13,0)</f>
        <v>0</v>
      </c>
    </row>
    <row r="83" spans="2:12" x14ac:dyDescent="0.3">
      <c r="B83" t="s">
        <v>98</v>
      </c>
      <c r="C83" s="18">
        <f>IFERROR('cashflow data'!E14,0)</f>
        <v>-23923</v>
      </c>
      <c r="D83" s="18">
        <f>IFERROR('cashflow data'!F14,0)</f>
        <v>-24577</v>
      </c>
      <c r="E83" s="18">
        <f>IFERROR('cashflow data'!G14,0)</f>
        <v>-66410</v>
      </c>
      <c r="F83" s="18">
        <f>IFERROR('cashflow data'!H14,0)</f>
        <v>-69159</v>
      </c>
      <c r="G83" s="18">
        <f>IFERROR('cashflow data'!I14,0)</f>
        <v>-79410</v>
      </c>
      <c r="H83" s="18">
        <f>IFERROR('cashflow data'!J14,0)</f>
        <v>-37482</v>
      </c>
      <c r="I83" s="18">
        <f>IFERROR('cashflow data'!K14,0)</f>
        <v>-46738</v>
      </c>
      <c r="J83" s="18">
        <f>IFERROR('cashflow data'!L14,0)</f>
        <v>-59951</v>
      </c>
      <c r="K83" s="18">
        <f>IFERROR('cashflow data'!M14,0)</f>
        <v>-75800</v>
      </c>
      <c r="L83" s="18">
        <f>IFERROR('cashflow data'!N14,0)</f>
        <v>-78092</v>
      </c>
    </row>
    <row r="84" spans="2:12" x14ac:dyDescent="0.3">
      <c r="B84" t="s">
        <v>99</v>
      </c>
      <c r="C84" s="18">
        <f>IFERROR('cashflow data'!E15,0)</f>
        <v>25253</v>
      </c>
      <c r="D84" s="18">
        <f>IFERROR('cashflow data'!F15,0)</f>
        <v>24980</v>
      </c>
      <c r="E84" s="18">
        <f>IFERROR('cashflow data'!G15,0)</f>
        <v>52048</v>
      </c>
      <c r="F84" s="18">
        <f>IFERROR('cashflow data'!H15,0)</f>
        <v>74003</v>
      </c>
      <c r="G84" s="18">
        <f>IFERROR('cashflow data'!I15,0)</f>
        <v>78098</v>
      </c>
      <c r="H84" s="18">
        <f>IFERROR('cashflow data'!J15,0)</f>
        <v>38861</v>
      </c>
      <c r="I84" s="18">
        <f>IFERROR('cashflow data'!K15,0)</f>
        <v>40381</v>
      </c>
      <c r="J84" s="18">
        <f>IFERROR('cashflow data'!L15,0)</f>
        <v>57356</v>
      </c>
      <c r="K84" s="18">
        <f>IFERROR('cashflow data'!M15,0)</f>
        <v>76722</v>
      </c>
      <c r="L84" s="18">
        <f>IFERROR('cashflow data'!N15,0)</f>
        <v>72930</v>
      </c>
    </row>
    <row r="85" spans="2:12" x14ac:dyDescent="0.3">
      <c r="B85" t="s">
        <v>100</v>
      </c>
      <c r="C85" s="18">
        <f>IFERROR('cashflow data'!E16,0)</f>
        <v>2551</v>
      </c>
      <c r="D85" s="18">
        <f>IFERROR('cashflow data'!F16,0)</f>
        <v>2383</v>
      </c>
      <c r="E85" s="18">
        <f>IFERROR('cashflow data'!G16,0)</f>
        <v>0</v>
      </c>
      <c r="F85" s="18">
        <f>IFERROR('cashflow data'!H16,0)</f>
        <v>0</v>
      </c>
      <c r="G85" s="18">
        <f>IFERROR('cashflow data'!I16,0)</f>
        <v>0</v>
      </c>
      <c r="H85" s="18">
        <f>IFERROR('cashflow data'!J16,0)</f>
        <v>0</v>
      </c>
      <c r="I85" s="18">
        <f>IFERROR('cashflow data'!K16,0)</f>
        <v>0</v>
      </c>
      <c r="J85" s="18">
        <f>IFERROR('cashflow data'!L16,0)</f>
        <v>0</v>
      </c>
      <c r="K85" s="18">
        <f>IFERROR('cashflow data'!M16,0)</f>
        <v>0</v>
      </c>
      <c r="L85" s="18">
        <f>IFERROR('cashflow data'!N16,0)</f>
        <v>0</v>
      </c>
    </row>
    <row r="86" spans="2:12" x14ac:dyDescent="0.3">
      <c r="B86" t="s">
        <v>101</v>
      </c>
      <c r="C86" s="18">
        <f>IFERROR('cashflow data'!E17,0)</f>
        <v>0</v>
      </c>
      <c r="D86" s="18">
        <f>IFERROR('cashflow data'!F17,0)</f>
        <v>0</v>
      </c>
      <c r="E86" s="18">
        <f>IFERROR('cashflow data'!G17,0)</f>
        <v>2753</v>
      </c>
      <c r="F86" s="18">
        <f>IFERROR('cashflow data'!H17,0)</f>
        <v>1768</v>
      </c>
      <c r="G86" s="18">
        <f>IFERROR('cashflow data'!I17,0)</f>
        <v>1557</v>
      </c>
      <c r="H86" s="18">
        <f>IFERROR('cashflow data'!J17,0)</f>
        <v>1929</v>
      </c>
      <c r="I86" s="18">
        <f>IFERROR('cashflow data'!K17,0)</f>
        <v>1418</v>
      </c>
      <c r="J86" s="18">
        <f>IFERROR('cashflow data'!L17,0)</f>
        <v>1898</v>
      </c>
      <c r="K86" s="18">
        <f>IFERROR('cashflow data'!M17,0)</f>
        <v>1525</v>
      </c>
      <c r="L86" s="18">
        <f>IFERROR('cashflow data'!N17,0)</f>
        <v>1768</v>
      </c>
    </row>
    <row r="87" spans="2:12" x14ac:dyDescent="0.3">
      <c r="B87" t="s">
        <v>102</v>
      </c>
      <c r="C87" s="18">
        <f>IFERROR('cashflow data'!E18,0)</f>
        <v>-1376</v>
      </c>
      <c r="D87" s="18">
        <f>IFERROR('cashflow data'!F18,0)</f>
        <v>-747</v>
      </c>
      <c r="E87" s="18">
        <f>IFERROR('cashflow data'!G18,0)</f>
        <v>0</v>
      </c>
      <c r="F87" s="18">
        <f>IFERROR('cashflow data'!H18,0)</f>
        <v>0</v>
      </c>
      <c r="G87" s="18">
        <f>IFERROR('cashflow data'!I18,0)</f>
        <v>0</v>
      </c>
      <c r="H87" s="18">
        <f>IFERROR('cashflow data'!J18,0)</f>
        <v>0</v>
      </c>
      <c r="I87" s="18">
        <f>IFERROR('cashflow data'!K18,0)</f>
        <v>0</v>
      </c>
      <c r="J87" s="18">
        <f>IFERROR('cashflow data'!L18,0)</f>
        <v>0</v>
      </c>
      <c r="K87" s="18">
        <f>IFERROR('cashflow data'!M18,0)</f>
        <v>0</v>
      </c>
      <c r="L87" s="18">
        <f>IFERROR('cashflow data'!N18,0)</f>
        <v>0</v>
      </c>
    </row>
    <row r="88" spans="2:12" x14ac:dyDescent="0.3">
      <c r="B88" t="s">
        <v>103</v>
      </c>
      <c r="C88" s="18">
        <f>IFERROR('cashflow data'!E19,0)</f>
        <v>0</v>
      </c>
      <c r="D88" s="18">
        <f>IFERROR('cashflow data'!F19,0)</f>
        <v>-142</v>
      </c>
      <c r="E88" s="18">
        <f>IFERROR('cashflow data'!G19,0)</f>
        <v>-164</v>
      </c>
      <c r="F88" s="18">
        <f>IFERROR('cashflow data'!H19,0)</f>
        <v>-130</v>
      </c>
      <c r="G88" s="18">
        <f>IFERROR('cashflow data'!I19,0)</f>
        <v>-24</v>
      </c>
      <c r="H88" s="18">
        <f>IFERROR('cashflow data'!J19,0)</f>
        <v>-108</v>
      </c>
      <c r="I88" s="18">
        <f>IFERROR('cashflow data'!K19,0)</f>
        <v>-207</v>
      </c>
      <c r="J88" s="18">
        <f>IFERROR('cashflow data'!L19,0)</f>
        <v>0</v>
      </c>
      <c r="K88" s="18">
        <f>IFERROR('cashflow data'!M19,0)</f>
        <v>0</v>
      </c>
      <c r="L88" s="18">
        <f>IFERROR('cashflow data'!N19,0)</f>
        <v>0</v>
      </c>
    </row>
    <row r="89" spans="2:12" x14ac:dyDescent="0.3">
      <c r="B89" t="s">
        <v>104</v>
      </c>
      <c r="C89" s="18">
        <f>IFERROR('cashflow data'!E20,0)</f>
        <v>741</v>
      </c>
      <c r="D89" s="18">
        <f>IFERROR('cashflow data'!F20,0)</f>
        <v>-59</v>
      </c>
      <c r="E89" s="18">
        <f>IFERROR('cashflow data'!G20,0)</f>
        <v>-131</v>
      </c>
      <c r="F89" s="18">
        <f>IFERROR('cashflow data'!H20,0)</f>
        <v>49</v>
      </c>
      <c r="G89" s="18">
        <f>IFERROR('cashflow data'!I20,0)</f>
        <v>1592</v>
      </c>
      <c r="H89" s="18">
        <f>IFERROR('cashflow data'!J20,0)</f>
        <v>-224</v>
      </c>
      <c r="I89" s="18">
        <f>IFERROR('cashflow data'!K20,0)</f>
        <v>-120</v>
      </c>
      <c r="J89" s="18">
        <f>IFERROR('cashflow data'!L20,0)</f>
        <v>-3627</v>
      </c>
      <c r="K89" s="18">
        <f>IFERROR('cashflow data'!M20,0)</f>
        <v>-939</v>
      </c>
      <c r="L89" s="18">
        <f>IFERROR('cashflow data'!N20,0)</f>
        <v>502</v>
      </c>
    </row>
    <row r="90" spans="2:12" x14ac:dyDescent="0.3">
      <c r="B90" s="21" t="s">
        <v>114</v>
      </c>
      <c r="C90" s="18">
        <f>SUM(C81:C89)</f>
        <v>999</v>
      </c>
      <c r="D90" s="18">
        <f t="shared" ref="D90:L90" si="24">SUM(D81:D89)</f>
        <v>-885</v>
      </c>
      <c r="E90" s="18">
        <f t="shared" si="24"/>
        <v>-14664</v>
      </c>
      <c r="F90" s="18">
        <f t="shared" si="24"/>
        <v>4533</v>
      </c>
      <c r="G90" s="18">
        <f t="shared" si="24"/>
        <v>-632</v>
      </c>
      <c r="H90" s="18">
        <f t="shared" si="24"/>
        <v>-331</v>
      </c>
      <c r="I90" s="18">
        <f t="shared" si="24"/>
        <v>-7373</v>
      </c>
      <c r="J90" s="18">
        <f t="shared" si="24"/>
        <v>-6485</v>
      </c>
      <c r="K90" s="18">
        <f t="shared" si="24"/>
        <v>-1071</v>
      </c>
      <c r="L90" s="18">
        <f t="shared" si="24"/>
        <v>-5093</v>
      </c>
    </row>
    <row r="92" spans="2:12" x14ac:dyDescent="0.3">
      <c r="B92" s="21" t="s">
        <v>115</v>
      </c>
    </row>
    <row r="93" spans="2:12" x14ac:dyDescent="0.3">
      <c r="B93" t="s">
        <v>106</v>
      </c>
      <c r="C93" s="18">
        <f>IFERROR('cashflow data'!E22,0)</f>
        <v>0</v>
      </c>
      <c r="D93" s="18">
        <f>IFERROR('cashflow data'!F22,0)</f>
        <v>0</v>
      </c>
      <c r="E93" s="18">
        <f>IFERROR('cashflow data'!G22,0)</f>
        <v>0</v>
      </c>
      <c r="F93" s="18">
        <f>IFERROR('cashflow data'!H22,0)</f>
        <v>5</v>
      </c>
      <c r="G93" s="18">
        <f>IFERROR('cashflow data'!I22,0)</f>
        <v>6</v>
      </c>
      <c r="H93" s="18">
        <f>IFERROR('cashflow data'!J22,0)</f>
        <v>6</v>
      </c>
      <c r="I93" s="18">
        <f>IFERROR('cashflow data'!K22,0)</f>
        <v>15</v>
      </c>
      <c r="J93" s="18">
        <f>IFERROR('cashflow data'!L22,0)</f>
        <v>21</v>
      </c>
      <c r="K93" s="18">
        <f>IFERROR('cashflow data'!M22,0)</f>
        <v>35</v>
      </c>
      <c r="L93" s="18">
        <f>IFERROR('cashflow data'!N22,0)</f>
        <v>5</v>
      </c>
    </row>
    <row r="94" spans="2:12" x14ac:dyDescent="0.3">
      <c r="B94" t="s">
        <v>107</v>
      </c>
      <c r="C94" s="18">
        <f>IFERROR('cashflow data'!E23,0)</f>
        <v>-4935</v>
      </c>
      <c r="D94" s="18">
        <f>IFERROR('cashflow data'!F23,0)</f>
        <v>-6813</v>
      </c>
      <c r="E94" s="18">
        <f>IFERROR('cashflow data'!G23,0)</f>
        <v>-6939</v>
      </c>
      <c r="F94" s="18">
        <f>IFERROR('cashflow data'!H23,0)</f>
        <v>-7464</v>
      </c>
      <c r="G94" s="18">
        <f>IFERROR('cashflow data'!I23,0)</f>
        <v>-13705</v>
      </c>
      <c r="H94" s="18">
        <f>IFERROR('cashflow data'!J23,0)</f>
        <v>-9548</v>
      </c>
      <c r="I94" s="18">
        <f>IFERROR('cashflow data'!K23,0)</f>
        <v>-9137</v>
      </c>
      <c r="J94" s="18">
        <f>IFERROR('cashflow data'!L23,0)</f>
        <v>-12731</v>
      </c>
      <c r="K94" s="18">
        <f>IFERROR('cashflow data'!M23,0)</f>
        <v>-13653</v>
      </c>
      <c r="L94" s="18">
        <f>IFERROR('cashflow data'!N23,0)</f>
        <v>-14731</v>
      </c>
    </row>
    <row r="95" spans="2:12" x14ac:dyDescent="0.3">
      <c r="B95" t="s">
        <v>108</v>
      </c>
      <c r="C95" s="18">
        <f>IFERROR('cashflow data'!E24,0)</f>
        <v>0</v>
      </c>
      <c r="D95" s="18">
        <f>IFERROR('cashflow data'!F24,0)</f>
        <v>0</v>
      </c>
      <c r="E95" s="18">
        <f>IFERROR('cashflow data'!G24,0)</f>
        <v>0</v>
      </c>
      <c r="F95" s="18">
        <f>IFERROR('cashflow data'!H24,0)</f>
        <v>0</v>
      </c>
      <c r="G95" s="18">
        <f>IFERROR('cashflow data'!I24,0)</f>
        <v>0</v>
      </c>
      <c r="H95" s="18">
        <f>IFERROR('cashflow data'!J24,0)</f>
        <v>-571</v>
      </c>
      <c r="I95" s="18">
        <f>IFERROR('cashflow data'!K24,0)</f>
        <v>-698</v>
      </c>
      <c r="J95" s="18">
        <f>IFERROR('cashflow data'!L24,0)</f>
        <v>-915</v>
      </c>
      <c r="K95" s="18">
        <f>IFERROR('cashflow data'!M24,0)</f>
        <v>-1231</v>
      </c>
      <c r="L95" s="18">
        <f>IFERROR('cashflow data'!N24,0)</f>
        <v>-2024</v>
      </c>
    </row>
    <row r="96" spans="2:12" x14ac:dyDescent="0.3">
      <c r="B96" t="s">
        <v>109</v>
      </c>
      <c r="C96" s="18">
        <f>IFERROR('cashflow data'!E25,0)</f>
        <v>0</v>
      </c>
      <c r="D96" s="18">
        <f>IFERROR('cashflow data'!F25,0)</f>
        <v>0</v>
      </c>
      <c r="E96" s="18">
        <f>IFERROR('cashflow data'!G25,0)</f>
        <v>0</v>
      </c>
      <c r="F96" s="18">
        <f>IFERROR('cashflow data'!H25,0)</f>
        <v>-13046</v>
      </c>
      <c r="G96" s="18">
        <f>IFERROR('cashflow data'!I25,0)</f>
        <v>-813</v>
      </c>
      <c r="H96" s="18">
        <f>IFERROR('cashflow data'!J25,0)</f>
        <v>-7478</v>
      </c>
      <c r="I96" s="18">
        <f>IFERROR('cashflow data'!K25,0)</f>
        <v>34</v>
      </c>
      <c r="J96" s="18">
        <f>IFERROR('cashflow data'!L25,0)</f>
        <v>-11017</v>
      </c>
      <c r="K96" s="18">
        <f>IFERROR('cashflow data'!M25,0)</f>
        <v>-11846</v>
      </c>
      <c r="L96" s="18">
        <f>IFERROR('cashflow data'!N25,0)</f>
        <v>-754</v>
      </c>
    </row>
    <row r="97" spans="2:12" x14ac:dyDescent="0.3">
      <c r="B97" s="21" t="s">
        <v>116</v>
      </c>
      <c r="C97" s="18">
        <f>IFERROR('cashflow data'!E26,0)</f>
        <v>4417</v>
      </c>
      <c r="D97" s="18">
        <f>IFERROR('cashflow data'!F26,0)</f>
        <v>2330</v>
      </c>
      <c r="E97" s="18">
        <f>IFERROR('cashflow data'!G26,0)</f>
        <v>-10072</v>
      </c>
      <c r="F97" s="18">
        <f>IFERROR('cashflow data'!H26,0)</f>
        <v>-2754</v>
      </c>
      <c r="G97" s="18">
        <f>IFERROR('cashflow data'!I26,0)</f>
        <v>-303</v>
      </c>
      <c r="H97" s="18">
        <f>IFERROR('cashflow data'!J26,0)</f>
        <v>-919</v>
      </c>
      <c r="I97" s="18">
        <f>IFERROR('cashflow data'!K26,0)</f>
        <v>6065</v>
      </c>
      <c r="J97" s="18">
        <f>IFERROR('cashflow data'!L26,0)</f>
        <v>-7242</v>
      </c>
      <c r="K97" s="18">
        <f>IFERROR('cashflow data'!M26,0)</f>
        <v>-5299</v>
      </c>
      <c r="L97" s="18">
        <f>IFERROR('cashflow data'!N26,0)</f>
        <v>2613</v>
      </c>
    </row>
    <row r="99" spans="2:12" x14ac:dyDescent="0.3">
      <c r="B99" s="21" t="s">
        <v>117</v>
      </c>
      <c r="C99">
        <f>IFERROR(SUM(C78+C90+C97),0)</f>
        <v>12927</v>
      </c>
      <c r="D99">
        <f t="shared" ref="D99:L99" si="25">IFERROR(SUM(D78+D90+D97),0)</f>
        <v>9527</v>
      </c>
      <c r="E99">
        <f t="shared" si="25"/>
        <v>-15361</v>
      </c>
      <c r="F99">
        <f t="shared" si="25"/>
        <v>15081</v>
      </c>
      <c r="G99">
        <f t="shared" si="25"/>
        <v>13453</v>
      </c>
      <c r="H99">
        <f t="shared" si="25"/>
        <v>13386</v>
      </c>
      <c r="I99">
        <f t="shared" si="25"/>
        <v>22684</v>
      </c>
      <c r="J99">
        <f t="shared" si="25"/>
        <v>8734</v>
      </c>
      <c r="K99">
        <f t="shared" si="25"/>
        <v>9753</v>
      </c>
      <c r="L99">
        <f t="shared" si="25"/>
        <v>17648</v>
      </c>
    </row>
  </sheetData>
  <mergeCells count="1">
    <mergeCell ref="B2:M2"/>
  </mergeCells>
  <pageMargins left="0.7" right="0.7" top="0.75" bottom="0.75" header="0.3" footer="0.3"/>
  <ignoredErrors>
    <ignoredError sqref="M30 M24 M21 M9 M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4610-F238-4E89-955E-2FE4FDF862C3}">
  <dimension ref="B2:N26"/>
  <sheetViews>
    <sheetView showGridLines="0" workbookViewId="0">
      <selection activeCell="B30" sqref="B30"/>
    </sheetView>
  </sheetViews>
  <sheetFormatPr defaultRowHeight="14.4" x14ac:dyDescent="0.3"/>
  <cols>
    <col min="2" max="2" width="26.5546875" customWidth="1"/>
    <col min="3" max="14" width="10.77734375" customWidth="1"/>
  </cols>
  <sheetData>
    <row r="2" spans="2:14" x14ac:dyDescent="0.3">
      <c r="C2" s="25">
        <v>41334</v>
      </c>
      <c r="D2" s="25">
        <v>41699</v>
      </c>
      <c r="E2" s="25">
        <v>42064</v>
      </c>
      <c r="F2" s="25">
        <v>42430</v>
      </c>
      <c r="G2" s="25">
        <v>42795</v>
      </c>
      <c r="H2" s="25">
        <v>43160</v>
      </c>
      <c r="I2" s="25">
        <v>43525</v>
      </c>
      <c r="J2" s="25">
        <v>43891</v>
      </c>
      <c r="K2" s="25">
        <v>44256</v>
      </c>
      <c r="L2" s="25">
        <v>44621</v>
      </c>
      <c r="M2" s="25">
        <v>44986</v>
      </c>
      <c r="N2" s="25">
        <v>45352</v>
      </c>
    </row>
    <row r="3" spans="2:14" x14ac:dyDescent="0.3">
      <c r="B3" t="s">
        <v>88</v>
      </c>
      <c r="C3" s="26">
        <v>7373</v>
      </c>
      <c r="D3" s="26">
        <v>9825</v>
      </c>
      <c r="E3" s="26">
        <v>8353</v>
      </c>
      <c r="F3" s="26">
        <v>10028</v>
      </c>
      <c r="G3" s="26">
        <v>11531</v>
      </c>
      <c r="H3" s="26">
        <v>13218</v>
      </c>
      <c r="I3" s="26">
        <v>14841</v>
      </c>
      <c r="J3" s="26">
        <v>17003</v>
      </c>
      <c r="K3" s="26">
        <v>23224</v>
      </c>
      <c r="L3" s="26">
        <v>23885</v>
      </c>
      <c r="M3" s="26">
        <v>22467</v>
      </c>
      <c r="N3" s="26">
        <v>25210</v>
      </c>
    </row>
    <row r="4" spans="2:14" x14ac:dyDescent="0.3">
      <c r="B4" t="s">
        <v>89</v>
      </c>
      <c r="C4" s="26">
        <v>11848</v>
      </c>
      <c r="D4" s="26">
        <v>14172</v>
      </c>
      <c r="E4" s="26">
        <v>15946</v>
      </c>
      <c r="F4" s="26">
        <v>17839</v>
      </c>
      <c r="G4" s="26">
        <v>19340</v>
      </c>
      <c r="H4" s="26">
        <v>19963</v>
      </c>
      <c r="I4" s="26">
        <v>22126</v>
      </c>
      <c r="J4" s="26">
        <v>23920</v>
      </c>
      <c r="K4" s="26">
        <v>28845</v>
      </c>
      <c r="L4" s="26">
        <v>32921</v>
      </c>
      <c r="M4" s="26">
        <v>37605</v>
      </c>
      <c r="N4" s="26">
        <v>39523</v>
      </c>
    </row>
    <row r="5" spans="2:14" x14ac:dyDescent="0.3">
      <c r="B5" t="s">
        <v>40</v>
      </c>
      <c r="C5">
        <v>-989</v>
      </c>
      <c r="D5" s="26">
        <v>-1406</v>
      </c>
      <c r="E5" s="26">
        <v>-1475</v>
      </c>
      <c r="F5" s="26">
        <v>-1654</v>
      </c>
      <c r="G5" s="26">
        <v>-1743</v>
      </c>
      <c r="H5" s="26">
        <v>-1523</v>
      </c>
      <c r="I5" s="26">
        <v>-2881</v>
      </c>
      <c r="J5" s="26">
        <v>-3861</v>
      </c>
      <c r="K5" s="26">
        <v>-1835</v>
      </c>
      <c r="L5" s="26">
        <v>-7937</v>
      </c>
      <c r="M5" s="26">
        <v>-7076</v>
      </c>
      <c r="N5" s="26">
        <v>-2667</v>
      </c>
    </row>
    <row r="6" spans="2:14" x14ac:dyDescent="0.3">
      <c r="B6" t="s">
        <v>90</v>
      </c>
      <c r="C6">
        <v>0</v>
      </c>
      <c r="D6">
        <v>0</v>
      </c>
      <c r="E6">
        <v>0</v>
      </c>
      <c r="F6">
        <v>242</v>
      </c>
      <c r="G6">
        <v>-19</v>
      </c>
      <c r="H6">
        <v>328</v>
      </c>
      <c r="I6">
        <v>916</v>
      </c>
      <c r="J6">
        <v>-373</v>
      </c>
      <c r="K6">
        <v>-245</v>
      </c>
      <c r="L6" s="26">
        <v>1489</v>
      </c>
      <c r="M6">
        <v>-279</v>
      </c>
      <c r="N6">
        <v>91</v>
      </c>
    </row>
    <row r="7" spans="2:14" x14ac:dyDescent="0.3">
      <c r="B7" t="s">
        <v>91</v>
      </c>
      <c r="C7" s="26">
        <v>-1138</v>
      </c>
      <c r="D7" s="26">
        <v>-1060</v>
      </c>
      <c r="E7">
        <v>-221</v>
      </c>
      <c r="F7" s="26">
        <v>-1134</v>
      </c>
      <c r="G7">
        <v>0</v>
      </c>
      <c r="H7">
        <v>0</v>
      </c>
      <c r="I7">
        <v>0</v>
      </c>
      <c r="J7">
        <v>0</v>
      </c>
      <c r="K7">
        <v>0</v>
      </c>
      <c r="L7" s="26">
        <v>-1914</v>
      </c>
      <c r="M7" s="26">
        <v>-3108</v>
      </c>
      <c r="N7" s="26">
        <v>-1172</v>
      </c>
    </row>
    <row r="8" spans="2:14" x14ac:dyDescent="0.3">
      <c r="B8" t="s">
        <v>92</v>
      </c>
      <c r="C8">
        <v>945</v>
      </c>
      <c r="D8" s="26">
        <v>1993</v>
      </c>
      <c r="E8">
        <v>854</v>
      </c>
      <c r="F8">
        <v>600</v>
      </c>
      <c r="G8">
        <v>-394</v>
      </c>
      <c r="H8" s="26">
        <v>1279</v>
      </c>
      <c r="I8" s="26">
        <v>1512</v>
      </c>
      <c r="J8" s="26">
        <v>1867</v>
      </c>
      <c r="K8" s="26">
        <v>2848</v>
      </c>
      <c r="L8" s="26">
        <v>6938</v>
      </c>
      <c r="M8" s="26">
        <v>4119</v>
      </c>
      <c r="N8" s="26">
        <v>-1334</v>
      </c>
    </row>
    <row r="9" spans="2:14" x14ac:dyDescent="0.3">
      <c r="B9" t="s">
        <v>93</v>
      </c>
      <c r="C9" s="26">
        <v>-1182</v>
      </c>
      <c r="D9">
        <v>-473</v>
      </c>
      <c r="E9">
        <v>-842</v>
      </c>
      <c r="F9" s="26">
        <v>-1946</v>
      </c>
      <c r="G9" s="26">
        <v>-2156</v>
      </c>
      <c r="H9">
        <v>84</v>
      </c>
      <c r="I9">
        <v>-453</v>
      </c>
      <c r="J9" s="26">
        <v>-2367</v>
      </c>
      <c r="K9">
        <v>768</v>
      </c>
      <c r="L9" s="26">
        <v>-1424</v>
      </c>
      <c r="M9" s="26">
        <v>-6344</v>
      </c>
      <c r="N9" s="26">
        <v>-5082</v>
      </c>
    </row>
    <row r="10" spans="2:14" x14ac:dyDescent="0.3">
      <c r="B10" t="s">
        <v>94</v>
      </c>
      <c r="C10" s="26">
        <v>-3293</v>
      </c>
      <c r="D10" s="26">
        <v>-3874</v>
      </c>
      <c r="E10" s="26">
        <v>-6751</v>
      </c>
      <c r="F10" s="26">
        <v>-5865</v>
      </c>
      <c r="G10" s="26">
        <v>-5653</v>
      </c>
      <c r="H10" s="26">
        <v>-6829</v>
      </c>
      <c r="I10" s="26">
        <v>-6832</v>
      </c>
      <c r="J10" s="26">
        <v>-4550</v>
      </c>
      <c r="K10" s="26">
        <v>-6389</v>
      </c>
      <c r="L10" s="26">
        <v>-7612</v>
      </c>
      <c r="M10" s="26">
        <v>-8794</v>
      </c>
      <c r="N10" s="26">
        <v>-9231</v>
      </c>
    </row>
    <row r="11" spans="2:14" x14ac:dyDescent="0.3">
      <c r="B11" t="s">
        <v>95</v>
      </c>
      <c r="C11" s="26">
        <v>-2922</v>
      </c>
      <c r="D11" s="26">
        <v>-2563</v>
      </c>
      <c r="E11">
        <v>999</v>
      </c>
      <c r="F11">
        <v>-885</v>
      </c>
      <c r="G11" s="26">
        <v>-14664</v>
      </c>
      <c r="H11" s="26">
        <v>4533</v>
      </c>
      <c r="I11">
        <v>-632</v>
      </c>
      <c r="J11">
        <v>-331</v>
      </c>
      <c r="K11" s="26">
        <v>-7373</v>
      </c>
      <c r="L11" s="26">
        <v>-6485</v>
      </c>
      <c r="M11" s="26">
        <v>-1071</v>
      </c>
      <c r="N11" s="26">
        <v>-5093</v>
      </c>
    </row>
    <row r="12" spans="2:14" x14ac:dyDescent="0.3">
      <c r="B12" t="s">
        <v>96</v>
      </c>
      <c r="C12" s="26">
        <v>-2095</v>
      </c>
      <c r="D12" s="26">
        <v>-2748</v>
      </c>
      <c r="E12" s="26">
        <v>-2247</v>
      </c>
      <c r="F12" s="26">
        <v>-2723</v>
      </c>
      <c r="G12" s="26">
        <v>-2760</v>
      </c>
      <c r="H12" s="26">
        <v>-1998</v>
      </c>
      <c r="I12" s="26">
        <v>-2445</v>
      </c>
      <c r="J12" s="26">
        <v>-3307</v>
      </c>
      <c r="K12" s="26">
        <v>-2107</v>
      </c>
      <c r="L12" s="26">
        <v>-2161</v>
      </c>
      <c r="M12" s="26">
        <v>-2579</v>
      </c>
      <c r="N12" s="26">
        <v>-2201</v>
      </c>
    </row>
    <row r="13" spans="2:14" x14ac:dyDescent="0.3">
      <c r="B13" t="s">
        <v>97</v>
      </c>
      <c r="C13">
        <v>6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2:14" x14ac:dyDescent="0.3">
      <c r="B14" t="s">
        <v>98</v>
      </c>
      <c r="C14" s="26">
        <v>-22380</v>
      </c>
      <c r="D14" s="26">
        <v>-25046</v>
      </c>
      <c r="E14" s="26">
        <v>-23923</v>
      </c>
      <c r="F14" s="26">
        <v>-24577</v>
      </c>
      <c r="G14" s="26">
        <v>-66410</v>
      </c>
      <c r="H14" s="26">
        <v>-69159</v>
      </c>
      <c r="I14" s="26">
        <v>-79410</v>
      </c>
      <c r="J14" s="26">
        <v>-37482</v>
      </c>
      <c r="K14" s="26">
        <v>-46738</v>
      </c>
      <c r="L14" s="26">
        <v>-59951</v>
      </c>
      <c r="M14" s="26">
        <v>-75800</v>
      </c>
      <c r="N14" s="26">
        <v>-78092</v>
      </c>
    </row>
    <row r="15" spans="2:14" x14ac:dyDescent="0.3">
      <c r="B15" t="s">
        <v>99</v>
      </c>
      <c r="C15" s="26">
        <v>20300</v>
      </c>
      <c r="D15" s="26">
        <v>22385</v>
      </c>
      <c r="E15" s="26">
        <v>25253</v>
      </c>
      <c r="F15" s="26">
        <v>24980</v>
      </c>
      <c r="G15" s="26">
        <v>52048</v>
      </c>
      <c r="H15" s="26">
        <v>74003</v>
      </c>
      <c r="I15" s="26">
        <v>78098</v>
      </c>
      <c r="J15" s="26">
        <v>38861</v>
      </c>
      <c r="K15" s="26">
        <v>40381</v>
      </c>
      <c r="L15" s="26">
        <v>57356</v>
      </c>
      <c r="M15" s="26">
        <v>76722</v>
      </c>
      <c r="N15" s="26">
        <v>72930</v>
      </c>
    </row>
    <row r="16" spans="2:14" x14ac:dyDescent="0.3">
      <c r="B16" t="s">
        <v>100</v>
      </c>
      <c r="C16" s="26">
        <v>1970</v>
      </c>
      <c r="D16" s="26">
        <v>2379</v>
      </c>
      <c r="E16" s="26">
        <v>2551</v>
      </c>
      <c r="F16" s="26">
        <v>2383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2:14" x14ac:dyDescent="0.3">
      <c r="B17" t="s">
        <v>101</v>
      </c>
      <c r="C17">
        <v>0</v>
      </c>
      <c r="D17">
        <v>0</v>
      </c>
      <c r="E17">
        <v>0</v>
      </c>
      <c r="F17">
        <v>0</v>
      </c>
      <c r="G17" s="26">
        <v>2753</v>
      </c>
      <c r="H17" s="26">
        <v>1768</v>
      </c>
      <c r="I17" s="26">
        <v>1557</v>
      </c>
      <c r="J17" s="26">
        <v>1929</v>
      </c>
      <c r="K17" s="26">
        <v>1418</v>
      </c>
      <c r="L17" s="26">
        <v>1898</v>
      </c>
      <c r="M17" s="26">
        <v>1525</v>
      </c>
      <c r="N17" s="26">
        <v>1768</v>
      </c>
    </row>
    <row r="18" spans="2:14" x14ac:dyDescent="0.3">
      <c r="B18" t="s">
        <v>102</v>
      </c>
      <c r="C18">
        <v>0</v>
      </c>
      <c r="D18">
        <v>0</v>
      </c>
      <c r="E18" s="26">
        <v>-1376</v>
      </c>
      <c r="F18">
        <v>-747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3">
      <c r="B19" t="s">
        <v>103</v>
      </c>
      <c r="C19">
        <v>0</v>
      </c>
      <c r="D19">
        <v>0</v>
      </c>
      <c r="E19">
        <v>0</v>
      </c>
      <c r="F19">
        <v>-142</v>
      </c>
      <c r="G19">
        <v>-164</v>
      </c>
      <c r="H19">
        <v>-130</v>
      </c>
      <c r="I19">
        <v>-24</v>
      </c>
      <c r="J19">
        <v>-108</v>
      </c>
      <c r="K19">
        <v>-207</v>
      </c>
      <c r="L19">
        <v>0</v>
      </c>
      <c r="M19">
        <v>0</v>
      </c>
      <c r="N19">
        <v>0</v>
      </c>
    </row>
    <row r="20" spans="2:14" x14ac:dyDescent="0.3">
      <c r="B20" t="s">
        <v>104</v>
      </c>
      <c r="C20">
        <v>-723</v>
      </c>
      <c r="D20">
        <v>464</v>
      </c>
      <c r="E20">
        <v>741</v>
      </c>
      <c r="F20">
        <v>-59</v>
      </c>
      <c r="G20">
        <v>-131</v>
      </c>
      <c r="H20">
        <v>49</v>
      </c>
      <c r="I20" s="26">
        <v>1592</v>
      </c>
      <c r="J20">
        <v>-224</v>
      </c>
      <c r="K20">
        <v>-120</v>
      </c>
      <c r="L20" s="26">
        <v>-3627</v>
      </c>
      <c r="M20">
        <v>-939</v>
      </c>
      <c r="N20">
        <v>502</v>
      </c>
    </row>
    <row r="21" spans="2:14" x14ac:dyDescent="0.3">
      <c r="B21" t="s">
        <v>105</v>
      </c>
      <c r="C21" s="26">
        <v>-3210</v>
      </c>
      <c r="D21" s="26">
        <v>-3144</v>
      </c>
      <c r="E21" s="26">
        <v>-4935</v>
      </c>
      <c r="F21" s="26">
        <v>-6813</v>
      </c>
      <c r="G21" s="26">
        <v>-6939</v>
      </c>
      <c r="H21" s="26">
        <v>-20505</v>
      </c>
      <c r="I21" s="26">
        <v>-14512</v>
      </c>
      <c r="J21" s="26">
        <v>-17591</v>
      </c>
      <c r="K21" s="26">
        <v>-9786</v>
      </c>
      <c r="L21" s="26">
        <v>-24642</v>
      </c>
      <c r="M21" s="26">
        <v>-26695</v>
      </c>
      <c r="N21" s="26">
        <v>-17504</v>
      </c>
    </row>
    <row r="22" spans="2:14" x14ac:dyDescent="0.3">
      <c r="B22" t="s">
        <v>106</v>
      </c>
      <c r="C22">
        <v>1</v>
      </c>
      <c r="D22">
        <v>0</v>
      </c>
      <c r="E22">
        <v>0</v>
      </c>
      <c r="F22">
        <v>0</v>
      </c>
      <c r="G22">
        <v>0</v>
      </c>
      <c r="H22">
        <v>5</v>
      </c>
      <c r="I22">
        <v>6</v>
      </c>
      <c r="J22">
        <v>6</v>
      </c>
      <c r="K22">
        <v>15</v>
      </c>
      <c r="L22">
        <v>21</v>
      </c>
      <c r="M22">
        <v>35</v>
      </c>
      <c r="N22">
        <v>5</v>
      </c>
    </row>
    <row r="23" spans="2:14" x14ac:dyDescent="0.3">
      <c r="B23" t="s">
        <v>107</v>
      </c>
      <c r="C23" s="26">
        <v>-2684</v>
      </c>
      <c r="D23" s="26">
        <v>-3144</v>
      </c>
      <c r="E23" s="26">
        <v>-4935</v>
      </c>
      <c r="F23" s="26">
        <v>-6813</v>
      </c>
      <c r="G23" s="26">
        <v>-6939</v>
      </c>
      <c r="H23" s="26">
        <v>-7464</v>
      </c>
      <c r="I23" s="26">
        <v>-13705</v>
      </c>
      <c r="J23" s="26">
        <v>-9548</v>
      </c>
      <c r="K23" s="26">
        <v>-9137</v>
      </c>
      <c r="L23" s="26">
        <v>-12731</v>
      </c>
      <c r="M23" s="26">
        <v>-13653</v>
      </c>
      <c r="N23" s="26">
        <v>-14731</v>
      </c>
    </row>
    <row r="24" spans="2:14" x14ac:dyDescent="0.3">
      <c r="B24" t="s">
        <v>108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-571</v>
      </c>
      <c r="K24">
        <v>-698</v>
      </c>
      <c r="L24">
        <v>-915</v>
      </c>
      <c r="M24" s="26">
        <v>-1231</v>
      </c>
      <c r="N24" s="26">
        <v>-2024</v>
      </c>
    </row>
    <row r="25" spans="2:14" x14ac:dyDescent="0.3">
      <c r="B25" t="s">
        <v>109</v>
      </c>
      <c r="C25">
        <v>-527</v>
      </c>
      <c r="D25">
        <v>0</v>
      </c>
      <c r="E25">
        <v>0</v>
      </c>
      <c r="F25">
        <v>0</v>
      </c>
      <c r="G25">
        <v>0</v>
      </c>
      <c r="H25" s="26">
        <v>-13046</v>
      </c>
      <c r="I25">
        <v>-813</v>
      </c>
      <c r="J25" s="26">
        <v>-7478</v>
      </c>
      <c r="K25">
        <v>34</v>
      </c>
      <c r="L25" s="26">
        <v>-11017</v>
      </c>
      <c r="M25" s="26">
        <v>-11846</v>
      </c>
      <c r="N25">
        <v>-754</v>
      </c>
    </row>
    <row r="26" spans="2:14" x14ac:dyDescent="0.3">
      <c r="B26" t="s">
        <v>50</v>
      </c>
      <c r="C26" s="26">
        <v>1241</v>
      </c>
      <c r="D26" s="26">
        <v>4118</v>
      </c>
      <c r="E26" s="26">
        <v>4417</v>
      </c>
      <c r="F26" s="26">
        <v>2330</v>
      </c>
      <c r="G26" s="26">
        <v>-10072</v>
      </c>
      <c r="H26" s="26">
        <v>-2754</v>
      </c>
      <c r="I26">
        <v>-303</v>
      </c>
      <c r="J26">
        <v>-919</v>
      </c>
      <c r="K26" s="26">
        <v>6065</v>
      </c>
      <c r="L26" s="26">
        <v>-7242</v>
      </c>
      <c r="M26" s="26">
        <v>-5299</v>
      </c>
      <c r="N26" s="26">
        <v>2613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DE20-73F4-46BF-81D4-E9DBF218E3C0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49C5-FB91-403B-852E-AEEE94706C3A}">
  <dimension ref="A2:O40"/>
  <sheetViews>
    <sheetView showGridLines="0" workbookViewId="0">
      <selection activeCell="T7" sqref="T7"/>
    </sheetView>
  </sheetViews>
  <sheetFormatPr defaultRowHeight="14.4" x14ac:dyDescent="0.3"/>
  <cols>
    <col min="1" max="1" width="2.77734375" customWidth="1"/>
    <col min="2" max="2" width="24.77734375" customWidth="1"/>
    <col min="3" max="3" width="12.6640625" customWidth="1"/>
    <col min="4" max="5" width="13.88671875" customWidth="1"/>
    <col min="6" max="6" width="15.109375" customWidth="1"/>
    <col min="7" max="7" width="14.44140625" customWidth="1"/>
    <col min="8" max="8" width="14.88671875" customWidth="1"/>
    <col min="9" max="9" width="14.33203125" customWidth="1"/>
    <col min="10" max="10" width="13.21875" customWidth="1"/>
    <col min="11" max="11" width="14.6640625" customWidth="1"/>
    <col min="12" max="12" width="13.21875" customWidth="1"/>
    <col min="13" max="13" width="16.109375" customWidth="1"/>
    <col min="14" max="14" width="10.77734375" customWidth="1"/>
    <col min="15" max="15" width="10.5546875" customWidth="1"/>
  </cols>
  <sheetData>
    <row r="2" spans="1:15" x14ac:dyDescent="0.3">
      <c r="A2" t="s">
        <v>57</v>
      </c>
      <c r="B2" s="43" t="str">
        <f>"Ratio analysis- "&amp;'Data Sheet'!B1</f>
        <v>Ratio analysis- INFOSYS LTD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27"/>
      <c r="N2" s="27"/>
      <c r="O2" s="27"/>
    </row>
    <row r="3" spans="1:15" x14ac:dyDescent="0.3">
      <c r="B3" s="10" t="s">
        <v>55</v>
      </c>
      <c r="C3" s="11">
        <f>'Data Sheet'!B16</f>
        <v>42094</v>
      </c>
      <c r="D3" s="11">
        <f>'Data Sheet'!C16</f>
        <v>42460</v>
      </c>
      <c r="E3" s="11">
        <f>'Data Sheet'!D16</f>
        <v>42825</v>
      </c>
      <c r="F3" s="11">
        <f>'Data Sheet'!E16</f>
        <v>43190</v>
      </c>
      <c r="G3" s="11">
        <f>'Data Sheet'!F16</f>
        <v>43555</v>
      </c>
      <c r="H3" s="11">
        <f>'Data Sheet'!G16</f>
        <v>43921</v>
      </c>
      <c r="I3" s="11">
        <f>'Data Sheet'!H16</f>
        <v>44286</v>
      </c>
      <c r="J3" s="11">
        <f>'Data Sheet'!I16</f>
        <v>44651</v>
      </c>
      <c r="K3" s="11">
        <f>'Data Sheet'!J16</f>
        <v>45016</v>
      </c>
      <c r="L3" s="11">
        <f>'Data Sheet'!K16</f>
        <v>45382</v>
      </c>
      <c r="M3" s="11" t="s">
        <v>150</v>
      </c>
      <c r="N3" s="11" t="s">
        <v>148</v>
      </c>
      <c r="O3" s="11" t="s">
        <v>149</v>
      </c>
    </row>
    <row r="5" spans="1:15" x14ac:dyDescent="0.3">
      <c r="B5" s="30" t="s">
        <v>59</v>
      </c>
      <c r="C5" s="31" t="str">
        <f>IFERROR(historicalfs!C7,0)</f>
        <v>-</v>
      </c>
      <c r="D5" s="32">
        <f>IFERROR(historicalfs!D7,0)</f>
        <v>0.17108347868489648</v>
      </c>
      <c r="E5" s="32">
        <f>IFERROR(historicalfs!E7,0)</f>
        <v>9.67793597155715E-2</v>
      </c>
      <c r="F5" s="32">
        <f>IFERROR(historicalfs!F7,0)</f>
        <v>2.9758775772443125E-2</v>
      </c>
      <c r="G5" s="32">
        <f>IFERROR(historicalfs!G7,0)</f>
        <v>0.17232920223476356</v>
      </c>
      <c r="H5" s="32">
        <f>IFERROR(historicalfs!H7,0)</f>
        <v>9.8167523435137571E-2</v>
      </c>
      <c r="I5" s="32">
        <f>IFERROR(historicalfs!I7,0)</f>
        <v>0.10662951173574475</v>
      </c>
      <c r="J5" s="32">
        <f>IFERROR(historicalfs!J7,0)</f>
        <v>0.21069551715900947</v>
      </c>
      <c r="K5" s="32">
        <f>IFERROR(historicalfs!K7,0)</f>
        <v>0.20655864387829759</v>
      </c>
      <c r="L5" s="32">
        <f>IFERROR(historicalfs!L7,0)</f>
        <v>4.7033733741236095E-2</v>
      </c>
      <c r="N5" s="14">
        <f>IFERROR(AVERAGE(D5:L5),0)</f>
        <v>0.12655952737301113</v>
      </c>
      <c r="O5" s="14">
        <f>IFERROR(MEDIAN(C5:L5),0)</f>
        <v>0.10662951173574475</v>
      </c>
    </row>
    <row r="6" spans="1:15" x14ac:dyDescent="0.3">
      <c r="B6" t="s">
        <v>146</v>
      </c>
      <c r="C6" s="33">
        <f>IFERROR(historicalfs!D12/historicalfs!C12-1,0)</f>
        <v>0.13666494044536504</v>
      </c>
      <c r="D6" s="33">
        <f>IFERROR(historicalfs!E12/historicalfs!D12-1,0)</f>
        <v>8.774887238598561E-2</v>
      </c>
      <c r="E6" s="33">
        <f>IFERROR(historicalfs!F12/historicalfs!E12-1,0)</f>
        <v>1.0554973821989444E-2</v>
      </c>
      <c r="F6" s="33">
        <f>IFERROR(historicalfs!G12/historicalfs!F12-1,0)</f>
        <v>0.12856965225680783</v>
      </c>
      <c r="G6" s="33">
        <f>IFERROR(historicalfs!H12/historicalfs!G12-1,0)</f>
        <v>4.9652943552829676E-2</v>
      </c>
      <c r="H6" s="33">
        <f>IFERROR(historicalfs!I12/historicalfs!H12-1,0)</f>
        <v>0.11899513662922923</v>
      </c>
      <c r="I6" s="33">
        <f>IFERROR(historicalfs!J12/historicalfs!I12-1,0)</f>
        <v>0.15133512600837973</v>
      </c>
      <c r="J6" s="33">
        <f>IFERROR(historicalfs!K12/historicalfs!J12-1,0)</f>
        <v>0.13755363641301388</v>
      </c>
      <c r="K6" s="33">
        <f>IFERROR(historicalfs!L12/historicalfs!K12-1,0)</f>
        <v>4.1850693532599514E-2</v>
      </c>
      <c r="L6" s="33">
        <f>IFERROR(historicalfs!M12/historicalfs!L12-1,0)</f>
        <v>-0.15678276810265812</v>
      </c>
      <c r="N6" s="14">
        <f t="shared" ref="N6:N9" si="0">IFERROR(AVERAGE(D6:L6),0)</f>
        <v>6.3275362944241867E-2</v>
      </c>
      <c r="O6" s="14">
        <f t="shared" ref="O6:O9" si="1">IFERROR(MEDIAN(C6:L6),0)</f>
        <v>0.10337200450760742</v>
      </c>
    </row>
    <row r="7" spans="1:15" x14ac:dyDescent="0.3">
      <c r="B7" t="s">
        <v>121</v>
      </c>
      <c r="C7" s="33">
        <f>IFERROR(historicalfs!D18/historicalfs!C18-1,0)</f>
        <v>0.14755089699657331</v>
      </c>
      <c r="D7" s="33">
        <f>IFERROR(historicalfs!E18/historicalfs!D18-1,0)</f>
        <v>8.9290942092628445E-2</v>
      </c>
      <c r="E7" s="33">
        <f>IFERROR(historicalfs!F18/historicalfs!E18-1,0)</f>
        <v>1.1717910126854525E-2</v>
      </c>
      <c r="F7" s="33">
        <f>IFERROR(historicalfs!G18/historicalfs!F18-1,0)</f>
        <v>7.1618318988417862E-2</v>
      </c>
      <c r="G7" s="33">
        <f>IFERROR(historicalfs!H18/historicalfs!G18-1,0)</f>
        <v>0.10396628656420437</v>
      </c>
      <c r="H7" s="33">
        <f>IFERROR(historicalfs!I18/historicalfs!H18-1,0)</f>
        <v>0.25248125028068436</v>
      </c>
      <c r="I7" s="33">
        <f>IFERROR(historicalfs!J18/historicalfs!I18-1,0)</f>
        <v>0.12915486392484499</v>
      </c>
      <c r="J7" s="33">
        <f>IFERROR(historicalfs!K18/historicalfs!J18-1,0)</f>
        <v>0.1155568257597408</v>
      </c>
      <c r="K7" s="33">
        <f>IFERROR(historicalfs!L18/historicalfs!K18-1,0)</f>
        <v>3.6863079988613823E-2</v>
      </c>
      <c r="L7" s="33">
        <f>IFERROR(historicalfs!M18/historicalfs!L18-1,0)</f>
        <v>1.024021962937538E-2</v>
      </c>
      <c r="N7" s="14">
        <f t="shared" si="0"/>
        <v>9.120996637281828E-2</v>
      </c>
      <c r="O7" s="14">
        <f t="shared" si="1"/>
        <v>9.6628614328416407E-2</v>
      </c>
    </row>
    <row r="8" spans="1:15" x14ac:dyDescent="0.3">
      <c r="B8" t="s">
        <v>122</v>
      </c>
      <c r="C8" s="33">
        <f>IFERROR(historicalfs!D33/historicalfs!C33-1,0)</f>
        <v>0.18612113918973128</v>
      </c>
      <c r="D8" s="33">
        <f>IFERROR(historicalfs!E33/historicalfs!D33-1,0)</f>
        <v>9.9594183293878924E-2</v>
      </c>
      <c r="E8" s="33">
        <f>IFERROR(historicalfs!F33/historicalfs!E33-1,0)</f>
        <v>0.12109795479009677</v>
      </c>
      <c r="F8" s="33">
        <f>IFERROR(historicalfs!G33/historicalfs!F33-1,0)</f>
        <v>-2.8804608737398318E-3</v>
      </c>
      <c r="G8" s="33">
        <f>IFERROR(historicalfs!H33/historicalfs!G33-1,0)</f>
        <v>0.16232203040099047</v>
      </c>
      <c r="H8" s="33">
        <f>IFERROR(historicalfs!I33/historicalfs!H33-1,0)</f>
        <v>0.22397775016273158</v>
      </c>
      <c r="I8" s="33">
        <f>IFERROR(historicalfs!J33/historicalfs!I33-1,0)</f>
        <v>0.13744923612454074</v>
      </c>
      <c r="J8" s="33">
        <f>IFERROR(historicalfs!K33/historicalfs!J33-1,0)</f>
        <v>0.1015429081480852</v>
      </c>
      <c r="K8" s="33">
        <f>IFERROR(historicalfs!L33/historicalfs!K33-1,0)</f>
        <v>2.9672789010649847E-2</v>
      </c>
      <c r="L8" s="33">
        <f>IFERROR(historicalfs!M33/historicalfs!L33-1,0)</f>
        <v>-1.281618887015179E-2</v>
      </c>
      <c r="N8" s="14">
        <f t="shared" si="0"/>
        <v>9.5551133576342429E-2</v>
      </c>
      <c r="O8" s="14">
        <f t="shared" si="1"/>
        <v>0.11132043146909099</v>
      </c>
    </row>
    <row r="9" spans="1:15" x14ac:dyDescent="0.3">
      <c r="B9" s="34" t="s">
        <v>123</v>
      </c>
      <c r="C9" s="35">
        <f>IFERROR(historicalfs!D41/historicalfs!C41-1,0)</f>
        <v>-0.18489169324100063</v>
      </c>
      <c r="D9" s="35">
        <f>IFERROR(historicalfs!E41/historicalfs!D41-1,0)</f>
        <v>6.1855670103093008E-2</v>
      </c>
      <c r="E9" s="35">
        <f>IFERROR(historicalfs!F41/historicalfs!E41-1,0)</f>
        <v>0.68963896853592144</v>
      </c>
      <c r="F9" s="35">
        <f>IFERROR(historicalfs!G41/historicalfs!F41-1,0)</f>
        <v>-2.5838579728767352E-2</v>
      </c>
      <c r="G9" s="35">
        <f>IFERROR(historicalfs!H41/historicalfs!G41-1,0)</f>
        <v>-0.17390646350868544</v>
      </c>
      <c r="H9" s="35">
        <f>IFERROR(historicalfs!I41/historicalfs!H41-1,0)</f>
        <v>0.54369512340846549</v>
      </c>
      <c r="I9" s="35">
        <f>IFERROR(historicalfs!J41/historicalfs!I41-1,0)</f>
        <v>0.14865158399694378</v>
      </c>
      <c r="J9" s="35">
        <f>IFERROR(historicalfs!K41/historicalfs!J41-1,0)</f>
        <v>9.6761529392781709E-2</v>
      </c>
      <c r="K9" s="35">
        <f>IFERROR(historicalfs!L41/historicalfs!K41-1,0)</f>
        <v>0.35349861290755547</v>
      </c>
      <c r="L9" s="35">
        <f>IFERROR(historicalfs!M41/historicalfs!L41-1,0)</f>
        <v>-1</v>
      </c>
      <c r="N9" s="14">
        <f t="shared" si="0"/>
        <v>7.715071612303423E-2</v>
      </c>
      <c r="O9" s="14">
        <f t="shared" si="1"/>
        <v>7.9308599747937358E-2</v>
      </c>
    </row>
    <row r="10" spans="1:15" x14ac:dyDescent="0.3">
      <c r="N10" s="14"/>
    </row>
    <row r="11" spans="1:15" x14ac:dyDescent="0.3">
      <c r="B11" s="30" t="s">
        <v>120</v>
      </c>
      <c r="C11" s="32">
        <f>IFERROR(historicalfs!C13,0)</f>
        <v>0.36215983045443462</v>
      </c>
      <c r="D11" s="32">
        <f>IFERROR(historicalfs!D13,0)</f>
        <v>0.35151583094441152</v>
      </c>
      <c r="E11" s="32">
        <f>IFERROR(historicalfs!E13,0)</f>
        <v>0.34862157584253256</v>
      </c>
      <c r="F11" s="32">
        <f>IFERROR(historicalfs!F13,0)</f>
        <v>0.34212018944442868</v>
      </c>
      <c r="G11" s="32">
        <f>IFERROR(historicalfs!G13,0)</f>
        <v>0.32934986392500754</v>
      </c>
      <c r="H11" s="32">
        <f>IFERROR(historicalfs!H13,0)</f>
        <v>0.31479992510270843</v>
      </c>
      <c r="I11" s="32">
        <f>IFERROR(historicalfs!I13,0)</f>
        <v>0.31831754120550998</v>
      </c>
      <c r="J11" s="32">
        <f>IFERROR(historicalfs!J13,0)</f>
        <v>0.30271043480405457</v>
      </c>
      <c r="K11" s="32">
        <f>IFERROR(historicalfs!K13,0)</f>
        <v>0.28539794367943749</v>
      </c>
      <c r="L11" s="32">
        <f>IFERROR(historicalfs!L13,0)</f>
        <v>0.28398516301164833</v>
      </c>
      <c r="N11" s="14">
        <f>IFERROR(AVERAGE(C11:L11),0)</f>
        <v>0.32389782984141735</v>
      </c>
      <c r="O11" s="14">
        <f>IFERROR(MEDIAN(C11:L11),0)</f>
        <v>0.32383370256525879</v>
      </c>
    </row>
    <row r="12" spans="1:15" x14ac:dyDescent="0.3">
      <c r="B12" t="s">
        <v>119</v>
      </c>
      <c r="C12" s="33">
        <f>IFERROR((historicalfs!C18-historicalfs!C24)/historicalfs!C6,0)</f>
        <v>0.26005739042367637</v>
      </c>
      <c r="D12" s="33">
        <f>IFERROR((historicalfs!D18-historicalfs!D24)/historicalfs!D6,0)</f>
        <v>0.25015614740314857</v>
      </c>
      <c r="E12" s="33">
        <f>IFERROR((historicalfs!E18-historicalfs!E24)/historicalfs!E6,0)</f>
        <v>0.24678757081946148</v>
      </c>
      <c r="F12" s="33">
        <f>IFERROR((historicalfs!F18-historicalfs!F24)/historicalfs!F6,0)</f>
        <v>0.24047814866282863</v>
      </c>
      <c r="G12" s="33">
        <f>IFERROR((historicalfs!G18-historicalfs!G24)/historicalfs!G6,0)</f>
        <v>0.2196431811309344</v>
      </c>
      <c r="H12" s="33">
        <f>IFERROR((historicalfs!H18-historicalfs!H24)/historicalfs!H6,0)</f>
        <v>0.21339119516251612</v>
      </c>
      <c r="I12" s="33">
        <f>IFERROR((historicalfs!I18-historicalfs!I24)/historicalfs!I6,0)</f>
        <v>0.24506330121824987</v>
      </c>
      <c r="J12" s="33">
        <f>IFERROR((historicalfs!J18-historicalfs!J24)/historicalfs!J6,0)</f>
        <v>0.23030885967724699</v>
      </c>
      <c r="K12" s="33">
        <f>IFERROR((historicalfs!K18-historicalfs!K24)/historicalfs!K6,0)</f>
        <v>0.21057185879659596</v>
      </c>
      <c r="L12" s="33">
        <f>IFERROR((historicalfs!L18-historicalfs!L24)/historicalfs!L6,0)</f>
        <v>0.20659204789483959</v>
      </c>
      <c r="N12" s="14">
        <f t="shared" ref="N12:O27" si="2">IFERROR(AVERAGE(C12:L12),0)</f>
        <v>0.23230497011894982</v>
      </c>
      <c r="O12" s="14">
        <f t="shared" ref="O12:O25" si="3">IFERROR(MEDIAN(C12:L12),0)</f>
        <v>0.23539350417003779</v>
      </c>
    </row>
    <row r="13" spans="1:15" x14ac:dyDescent="0.3">
      <c r="B13" t="s">
        <v>147</v>
      </c>
      <c r="C13" s="33">
        <f>IFERROR(historicalfs!C19,0)</f>
        <v>0.27913126652787934</v>
      </c>
      <c r="D13" s="33">
        <f>IFERROR(historicalfs!D19,0)</f>
        <v>0.27352220496148366</v>
      </c>
      <c r="E13" s="33">
        <f>IFERROR(historicalfs!E19,0)</f>
        <v>0.27165469306699375</v>
      </c>
      <c r="F13" s="33">
        <f>IFERROR(historicalfs!F19,0)</f>
        <v>0.26689543688494372</v>
      </c>
      <c r="G13" s="33">
        <f>IFERROR(historicalfs!G19,0)</f>
        <v>0.24396734200181433</v>
      </c>
      <c r="H13" s="33">
        <f>IFERROR(historicalfs!H19,0)</f>
        <v>0.24525558700752279</v>
      </c>
      <c r="I13" s="33">
        <f>IFERROR(historicalfs!I19,0)</f>
        <v>0.27757982323433394</v>
      </c>
      <c r="J13" s="33">
        <f>IFERROR(historicalfs!J19,0)</f>
        <v>0.25888475102966929</v>
      </c>
      <c r="K13" s="33">
        <f>IFERROR(historicalfs!K19,0)</f>
        <v>0.23935898396778568</v>
      </c>
      <c r="L13" s="33">
        <f>IFERROR(historicalfs!L19,0)</f>
        <v>0.23703390381987374</v>
      </c>
      <c r="N13" s="14">
        <f t="shared" si="2"/>
        <v>0.25932839925023005</v>
      </c>
      <c r="O13" s="14">
        <f t="shared" si="3"/>
        <v>0.2628900939573065</v>
      </c>
    </row>
    <row r="14" spans="1:15" x14ac:dyDescent="0.3">
      <c r="B14" t="s">
        <v>124</v>
      </c>
      <c r="C14" s="33">
        <f>IFERROR(historicalfs!C28,0)</f>
        <v>0.27913126652787934</v>
      </c>
      <c r="D14" s="33">
        <f>IFERROR(historicalfs!D28,0)</f>
        <v>0.27352220496148366</v>
      </c>
      <c r="E14" s="33">
        <f>IFERROR(historicalfs!E28,0)</f>
        <v>0.27165469306699375</v>
      </c>
      <c r="F14" s="33">
        <f>IFERROR(historicalfs!F28,0)</f>
        <v>0.26689543688494372</v>
      </c>
      <c r="G14" s="33">
        <f>IFERROR(historicalfs!G28,0)</f>
        <v>0.24396734200181433</v>
      </c>
      <c r="H14" s="33">
        <f>IFERROR(historicalfs!H28,0)</f>
        <v>0.24525558700752279</v>
      </c>
      <c r="I14" s="33">
        <f>IFERROR(historicalfs!I28,0)</f>
        <v>0.27757982323433394</v>
      </c>
      <c r="J14" s="33">
        <f>IFERROR(historicalfs!J28,0)</f>
        <v>0.25888475102966929</v>
      </c>
      <c r="K14" s="33">
        <f>IFERROR(historicalfs!K28,0)</f>
        <v>0.23935898396778568</v>
      </c>
      <c r="L14" s="33">
        <f>IFERROR(historicalfs!L28,0)</f>
        <v>0.23703390381987374</v>
      </c>
      <c r="N14" s="14">
        <f t="shared" si="2"/>
        <v>0.25932839925023005</v>
      </c>
      <c r="O14" s="14">
        <f t="shared" si="3"/>
        <v>0.2628900939573065</v>
      </c>
    </row>
    <row r="15" spans="1:15" x14ac:dyDescent="0.3">
      <c r="B15" s="34" t="s">
        <v>125</v>
      </c>
      <c r="C15" s="35">
        <f>IFERROR(historicalfs!C34,0)</f>
        <v>0.18702526303944186</v>
      </c>
      <c r="D15" s="35">
        <f>IFERROR(historicalfs!D34,0)</f>
        <v>0.1894268189170577</v>
      </c>
      <c r="E15" s="35">
        <f>IFERROR(historicalfs!E34,0)</f>
        <v>0.18991297237310906</v>
      </c>
      <c r="F15" s="35">
        <f>IFERROR(historicalfs!F34,0)</f>
        <v>0.20675817475397748</v>
      </c>
      <c r="G15" s="35">
        <f>IFERROR(historicalfs!G34,0)</f>
        <v>0.17585727245237376</v>
      </c>
      <c r="H15" s="35">
        <f>IFERROR(historicalfs!H34,0)</f>
        <v>0.18613078388827087</v>
      </c>
      <c r="I15" s="35">
        <f>IFERROR(historicalfs!I34,0)</f>
        <v>0.20586830161637074</v>
      </c>
      <c r="J15" s="35">
        <f>IFERROR(historicalfs!J34,0)</f>
        <v>0.19341340501968909</v>
      </c>
      <c r="K15" s="35">
        <f>IFERROR(historicalfs!K34,0)</f>
        <v>0.17657920377196509</v>
      </c>
      <c r="L15" s="35">
        <f>IFERROR(historicalfs!L34,0)</f>
        <v>0.17365133077373593</v>
      </c>
      <c r="N15" s="14">
        <f t="shared" si="2"/>
        <v>0.18846235266059916</v>
      </c>
      <c r="O15" s="14">
        <f t="shared" si="3"/>
        <v>0.1882260409782498</v>
      </c>
    </row>
    <row r="16" spans="1:15" x14ac:dyDescent="0.3">
      <c r="N16" s="14"/>
      <c r="O16" s="14"/>
    </row>
    <row r="17" spans="2:15" x14ac:dyDescent="0.3">
      <c r="B17" s="30" t="s">
        <v>126</v>
      </c>
      <c r="C17" s="32">
        <f>IFERROR(historicalfs!C16,0)</f>
        <v>8.3028563926555263E-2</v>
      </c>
      <c r="D17" s="32">
        <f>IFERROR(historicalfs!D16,0)</f>
        <v>7.7993625982927889E-2</v>
      </c>
      <c r="E17" s="32">
        <f>IFERROR(historicalfs!E16,0)</f>
        <v>7.6966882775538814E-2</v>
      </c>
      <c r="F17" s="32">
        <f>IFERROR(historicalfs!F16,0)</f>
        <v>7.5224752559484978E-2</v>
      </c>
      <c r="G17" s="32">
        <f>IFERROR(historicalfs!G16,0)</f>
        <v>8.5382521923193233E-2</v>
      </c>
      <c r="H17" s="32">
        <f>IFERROR(historicalfs!H16,0)</f>
        <v>6.9544338095185648E-2</v>
      </c>
      <c r="I17" s="32">
        <f>IFERROR(historicalfs!I16,0)</f>
        <v>4.0737717971176049E-2</v>
      </c>
      <c r="J17" s="32">
        <f>IFERROR(historicalfs!J16,0)</f>
        <v>4.3825683774385282E-2</v>
      </c>
      <c r="K17" s="32">
        <f>IFERROR(historicalfs!K16,0)</f>
        <v>4.6038959711651804E-2</v>
      </c>
      <c r="L17" s="32">
        <f>IFERROR(historicalfs!L16,0)</f>
        <v>4.6951259191774584E-2</v>
      </c>
      <c r="N17" s="14">
        <f t="shared" si="2"/>
        <v>6.456943059118736E-2</v>
      </c>
      <c r="O17" s="14">
        <f t="shared" si="3"/>
        <v>7.238454532733532E-2</v>
      </c>
    </row>
    <row r="18" spans="2:15" x14ac:dyDescent="0.3">
      <c r="B18" t="s">
        <v>127</v>
      </c>
      <c r="C18" s="33">
        <f>IFERROR(historicalfs!C25,0)</f>
        <v>1.9073876104203004E-2</v>
      </c>
      <c r="D18" s="33">
        <f>IFERROR(historicalfs!D25,0)</f>
        <v>2.3366057558335068E-2</v>
      </c>
      <c r="E18" s="33">
        <f>IFERROR(historicalfs!E25,0)</f>
        <v>2.4867122247532271E-2</v>
      </c>
      <c r="F18" s="33">
        <f>IFERROR(historicalfs!F25,0)</f>
        <v>2.6417288222115084E-2</v>
      </c>
      <c r="G18" s="33">
        <f>IFERROR(historicalfs!G25,0)</f>
        <v>2.4324160870879952E-2</v>
      </c>
      <c r="H18" s="33">
        <f>IFERROR(historicalfs!H25,0)</f>
        <v>3.1864391845006661E-2</v>
      </c>
      <c r="I18" s="33">
        <f>IFERROR(historicalfs!I25,0)</f>
        <v>3.2516522016084085E-2</v>
      </c>
      <c r="J18" s="33">
        <f>IFERROR(historicalfs!J25,0)</f>
        <v>2.8575891352422292E-2</v>
      </c>
      <c r="K18" s="33">
        <f>IFERROR(historicalfs!K25,0)</f>
        <v>2.8787125171189708E-2</v>
      </c>
      <c r="L18" s="33">
        <f>IFERROR(historicalfs!L25,0)</f>
        <v>3.0441855925034164E-2</v>
      </c>
      <c r="N18" s="14">
        <f t="shared" si="2"/>
        <v>2.7023429131280231E-2</v>
      </c>
      <c r="O18" s="14">
        <f t="shared" si="3"/>
        <v>2.749658978726869E-2</v>
      </c>
    </row>
    <row r="19" spans="2:15" x14ac:dyDescent="0.3">
      <c r="B19" s="34" t="s">
        <v>128</v>
      </c>
      <c r="C19" s="35">
        <f>IFERROR(C13,0)</f>
        <v>0.27913126652787934</v>
      </c>
      <c r="D19" s="35">
        <f t="shared" ref="D19:L19" si="4">IFERROR(D13,0)</f>
        <v>0.27352220496148366</v>
      </c>
      <c r="E19" s="35">
        <f t="shared" si="4"/>
        <v>0.27165469306699375</v>
      </c>
      <c r="F19" s="35">
        <f t="shared" si="4"/>
        <v>0.26689543688494372</v>
      </c>
      <c r="G19" s="35">
        <f t="shared" si="4"/>
        <v>0.24396734200181433</v>
      </c>
      <c r="H19" s="35">
        <f t="shared" si="4"/>
        <v>0.24525558700752279</v>
      </c>
      <c r="I19" s="35">
        <f t="shared" si="4"/>
        <v>0.27757982323433394</v>
      </c>
      <c r="J19" s="35">
        <f t="shared" si="4"/>
        <v>0.25888475102966929</v>
      </c>
      <c r="K19" s="35">
        <f t="shared" si="4"/>
        <v>0.23935898396778568</v>
      </c>
      <c r="L19" s="35">
        <f t="shared" si="4"/>
        <v>0.23703390381987374</v>
      </c>
      <c r="N19" s="14">
        <f t="shared" si="2"/>
        <v>0.25932839925023005</v>
      </c>
      <c r="O19" s="14">
        <f t="shared" si="3"/>
        <v>0.2628900939573065</v>
      </c>
    </row>
    <row r="20" spans="2:15" x14ac:dyDescent="0.3">
      <c r="N20" s="14"/>
      <c r="O20" s="14"/>
    </row>
    <row r="21" spans="2:15" x14ac:dyDescent="0.3">
      <c r="B21" s="30" t="s">
        <v>129</v>
      </c>
      <c r="C21" s="32">
        <f>IFERROR((historicalfs!C18-historicalfs!C24)/(SUM(historicalfs!C47:C49)),0)</f>
        <v>0.27329706717123936</v>
      </c>
      <c r="D21" s="32">
        <f>IFERROR((historicalfs!D18-historicalfs!D24)/(SUM(historicalfs!D47:D49)),0)</f>
        <v>0.25298004664420837</v>
      </c>
      <c r="E21" s="32">
        <f>IFERROR((historicalfs!E18-historicalfs!E24)/(SUM(historicalfs!E47:E49)),0)</f>
        <v>0.24500594357948449</v>
      </c>
      <c r="F21" s="32">
        <f>IFERROR((historicalfs!F18-historicalfs!F24)/(SUM(historicalfs!F47:F49)),0)</f>
        <v>0.26121713414352388</v>
      </c>
      <c r="G21" s="32">
        <f>IFERROR((historicalfs!G18-historicalfs!G24)/(SUM(historicalfs!G47:G49)),0)</f>
        <v>0.27959290509330542</v>
      </c>
      <c r="H21" s="32">
        <f>IFERROR((historicalfs!H18-historicalfs!H24)/(SUM(historicalfs!H47:H49)),0)</f>
        <v>0.27644364539189248</v>
      </c>
      <c r="I21" s="32">
        <f>IFERROR((historicalfs!I18-historicalfs!I24)/(SUM(historicalfs!I47:I49)),0)</f>
        <v>0.30145942504530093</v>
      </c>
      <c r="J21" s="32">
        <f>IFERROR((historicalfs!J18-historicalfs!J24)/(SUM(historicalfs!J47:J49)),0)</f>
        <v>0.34661734138374739</v>
      </c>
      <c r="K21" s="32">
        <f>IFERROR((historicalfs!K18-historicalfs!K24)/(SUM(historicalfs!K47:K49)),0)</f>
        <v>0.36920889780899818</v>
      </c>
      <c r="L21" s="32">
        <f>IFERROR((historicalfs!L18-historicalfs!L24)/(SUM(historicalfs!L47:L49)),0)</f>
        <v>0.32906970717802542</v>
      </c>
      <c r="N21" s="14">
        <f t="shared" si="2"/>
        <v>0.2934892113439726</v>
      </c>
      <c r="O21" s="14">
        <f t="shared" si="3"/>
        <v>0.27801827524259892</v>
      </c>
    </row>
    <row r="22" spans="2:15" x14ac:dyDescent="0.3">
      <c r="B22" t="s">
        <v>130</v>
      </c>
      <c r="C22" s="33">
        <f>IFERROR(historicalfs!C44,0)</f>
        <v>0.3174087444845568</v>
      </c>
      <c r="D22" s="33">
        <f>IFERROR(historicalfs!D44,0)</f>
        <v>0.5309097057828881</v>
      </c>
      <c r="E22" s="33">
        <f>IFERROR(historicalfs!E44,0)</f>
        <v>0.54700907273566046</v>
      </c>
      <c r="F22" s="33">
        <f>IFERROR(historicalfs!F44,0)</f>
        <v>0.35082641794115632</v>
      </c>
      <c r="G22" s="33">
        <f>IFERROR(historicalfs!G44,0)</f>
        <v>0.36567164179104472</v>
      </c>
      <c r="H22" s="33">
        <f>IFERROR(historicalfs!H44,0)</f>
        <v>0.56050653884845247</v>
      </c>
      <c r="I22" s="33">
        <f>IFERROR(historicalfs!I44,0)</f>
        <v>0.4454844324115258</v>
      </c>
      <c r="J22" s="33">
        <f>IFERROR(historicalfs!J44,0)</f>
        <v>0.44712032983380789</v>
      </c>
      <c r="K22" s="33">
        <f>IFERROR(historicalfs!K44,0)</f>
        <v>0.45712301281061896</v>
      </c>
      <c r="L22" s="33">
        <f>IFERROR(historicalfs!L44,0)</f>
        <v>0.28599587783398916</v>
      </c>
      <c r="N22" s="14">
        <f t="shared" si="2"/>
        <v>0.43080557744737008</v>
      </c>
      <c r="O22" s="14">
        <f t="shared" si="3"/>
        <v>0.44630238112266685</v>
      </c>
    </row>
    <row r="23" spans="2:15" x14ac:dyDescent="0.3">
      <c r="B23" t="s">
        <v>131</v>
      </c>
      <c r="C23" s="33">
        <f>IFERROR(historicalfs!C33/SUM(historicalfs!C47:C48),0)</f>
        <v>0.19654683065279091</v>
      </c>
      <c r="D23" s="33">
        <f>IFERROR(historicalfs!D33/SUM(historicalfs!D47:D48),0)</f>
        <v>0.19156517232443637</v>
      </c>
      <c r="E23" s="33">
        <f>IFERROR(historicalfs!E33/SUM(historicalfs!E47:E48),0)</f>
        <v>0.18854193847670406</v>
      </c>
      <c r="F23" s="33">
        <f>IFERROR(historicalfs!F33/SUM(historicalfs!F47:F48),0)</f>
        <v>0.22458912866010505</v>
      </c>
      <c r="G23" s="33">
        <f>IFERROR(historicalfs!G33/SUM(historicalfs!G47:G48),0)</f>
        <v>0.22385600788322965</v>
      </c>
      <c r="H23" s="33">
        <f>IFERROR(historicalfs!H33/SUM(historicalfs!H47:H48),0)</f>
        <v>0.25819709702062643</v>
      </c>
      <c r="I23" s="33">
        <f>IFERROR(historicalfs!I33/SUM(historicalfs!I47:I48),0)</f>
        <v>0.2709067333761182</v>
      </c>
      <c r="J23" s="33">
        <f>IFERROR(historicalfs!J33/SUM(historicalfs!J47:J48),0)</f>
        <v>0.3122362309223623</v>
      </c>
      <c r="K23" s="33">
        <f>IFERROR(historicalfs!K33/SUM(historicalfs!K47:K48),0)</f>
        <v>0.34368162106966199</v>
      </c>
      <c r="L23" s="33">
        <f>IFERROR(historicalfs!L33/SUM(historicalfs!L47:L48),0)</f>
        <v>0.30283943892142179</v>
      </c>
      <c r="N23" s="14">
        <f t="shared" si="2"/>
        <v>0.25129601993074568</v>
      </c>
      <c r="O23" s="14">
        <f t="shared" si="3"/>
        <v>0.24139311284036574</v>
      </c>
    </row>
    <row r="24" spans="2:15" x14ac:dyDescent="0.3">
      <c r="B24" t="s">
        <v>132</v>
      </c>
      <c r="C24" s="33">
        <f>IFERROR(C22*C23,0)</f>
        <v>6.2385682749921165E-2</v>
      </c>
      <c r="D24" s="33">
        <f t="shared" ref="D24:L24" si="5">IFERROR(D22*D23,0)</f>
        <v>0.10170380927701478</v>
      </c>
      <c r="E24" s="33">
        <f t="shared" si="5"/>
        <v>0.10313415093792583</v>
      </c>
      <c r="F24" s="33">
        <f t="shared" si="5"/>
        <v>7.8791799516350139E-2</v>
      </c>
      <c r="G24" s="33">
        <f t="shared" si="5"/>
        <v>8.1857793927449643E-2</v>
      </c>
      <c r="H24" s="33">
        <f t="shared" si="5"/>
        <v>0.14472116119174941</v>
      </c>
      <c r="I24" s="33">
        <f t="shared" si="5"/>
        <v>0.12068473235452057</v>
      </c>
      <c r="J24" s="33">
        <f t="shared" si="5"/>
        <v>0.13960716655607164</v>
      </c>
      <c r="K24" s="33">
        <f t="shared" si="5"/>
        <v>0.1571047780710014</v>
      </c>
      <c r="L24" s="33">
        <f t="shared" si="5"/>
        <v>8.6610831177084763E-2</v>
      </c>
      <c r="N24" s="14">
        <f t="shared" si="2"/>
        <v>0.10766019057590895</v>
      </c>
      <c r="O24" s="14">
        <f t="shared" si="3"/>
        <v>0.1024189801074703</v>
      </c>
    </row>
    <row r="25" spans="2:15" x14ac:dyDescent="0.3">
      <c r="B25" s="34" t="s">
        <v>133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N25" s="14">
        <f t="shared" si="2"/>
        <v>0</v>
      </c>
      <c r="O25" s="14">
        <f t="shared" si="3"/>
        <v>0</v>
      </c>
    </row>
    <row r="26" spans="2:15" x14ac:dyDescent="0.3">
      <c r="N26" s="14"/>
      <c r="O26" s="14"/>
    </row>
    <row r="27" spans="2:15" x14ac:dyDescent="0.3">
      <c r="B27" s="30" t="s">
        <v>134</v>
      </c>
      <c r="C27" s="36">
        <f>IFERROR(historicalfs!C6/historicalfs!C60,0)</f>
        <v>5.4894471327087411</v>
      </c>
      <c r="D27" s="36">
        <f>IFERROR(historicalfs!D6/historicalfs!D60,0)</f>
        <v>5.5111209179170348</v>
      </c>
      <c r="E27" s="36">
        <f>IFERROR(historicalfs!E6/historicalfs!E60,0)</f>
        <v>5.5578639831196233</v>
      </c>
      <c r="F27" s="36">
        <f>IFERROR(historicalfs!F6/historicalfs!F60,0)</f>
        <v>5.3661543144118093</v>
      </c>
      <c r="G27" s="36">
        <f>IFERROR(historicalfs!G6/historicalfs!G60,0)</f>
        <v>5.5759762595265396</v>
      </c>
      <c r="H27" s="36">
        <f>IFERROR(historicalfs!H6/historicalfs!H60,0)</f>
        <v>4.9110726456428839</v>
      </c>
      <c r="I27" s="36">
        <f>IFERROR(historicalfs!I6/historicalfs!I60,0)</f>
        <v>5.2074219964755883</v>
      </c>
      <c r="J27" s="36">
        <f>IFERROR(historicalfs!J6/historicalfs!J60,0)</f>
        <v>5.3591065292096216</v>
      </c>
      <c r="K27" s="36">
        <f>IFERROR(historicalfs!K6/historicalfs!K60,0)</f>
        <v>5.7727737570799249</v>
      </c>
      <c r="L27" s="36">
        <f>IFERROR(historicalfs!L6/historicalfs!L60,0)</f>
        <v>5.0895903023879709</v>
      </c>
      <c r="N27" s="37">
        <f t="shared" si="2"/>
        <v>5.3840527838479728</v>
      </c>
      <c r="O27" s="37">
        <f t="shared" si="2"/>
        <v>5.372342300641221</v>
      </c>
    </row>
    <row r="28" spans="2:15" x14ac:dyDescent="0.3">
      <c r="B28" t="s">
        <v>135</v>
      </c>
      <c r="C28" s="37">
        <f>IFERROR(historicalfs!C6/historicalfs!C50,0)</f>
        <v>3.4282132064553461</v>
      </c>
      <c r="D28" s="37">
        <f>IFERROR(historicalfs!D6/historicalfs!D50,0)</f>
        <v>4.6758274674254903</v>
      </c>
      <c r="E28" s="37">
        <f>IFERROR(historicalfs!E6/historicalfs!E50,0)</f>
        <v>4.8343922066920797</v>
      </c>
      <c r="F28" s="37">
        <f>IFERROR(historicalfs!F6/historicalfs!F50,0)</f>
        <v>4.8885345903230277</v>
      </c>
      <c r="G28" s="37">
        <f>IFERROR(historicalfs!G6/historicalfs!G50,0)</f>
        <v>4.3244586253792239</v>
      </c>
      <c r="H28" s="37">
        <f>IFERROR(historicalfs!H6/historicalfs!H50,0)</f>
        <v>4.1806418934475298</v>
      </c>
      <c r="I28" s="37">
        <f>IFERROR(historicalfs!I6/historicalfs!I50,0)</f>
        <v>3.8889878072382427</v>
      </c>
      <c r="J28" s="37">
        <f>IFERROR(historicalfs!J6/historicalfs!J50,0)</f>
        <v>3.3878568444506336</v>
      </c>
      <c r="K28" s="37">
        <f>IFERROR(historicalfs!K6/historicalfs!K50,0)</f>
        <v>3.5893127904133042</v>
      </c>
      <c r="L28" s="37">
        <f>IFERROR(historicalfs!L6/historicalfs!L50,0)</f>
        <v>3.8859527121001389</v>
      </c>
      <c r="N28" s="37">
        <f t="shared" ref="N28:N31" si="6">IFERROR(AVERAGE(C28:L28),0)</f>
        <v>4.1084178143925012</v>
      </c>
      <c r="O28" s="37">
        <f t="shared" ref="O28:O31" si="7">IFERROR(AVERAGE(D28:M28),0)</f>
        <v>4.1839961041632971</v>
      </c>
    </row>
    <row r="29" spans="2:15" x14ac:dyDescent="0.3">
      <c r="B29" t="s">
        <v>136</v>
      </c>
      <c r="C29">
        <f>IFERROR(historicalfs!C6/historicalfs!C61,0)</f>
        <v>0</v>
      </c>
      <c r="D29">
        <f>IFERROR(historicalfs!D6/historicalfs!D61,0)</f>
        <v>0</v>
      </c>
      <c r="E29">
        <f>IFERROR(historicalfs!E6/historicalfs!E61,0)</f>
        <v>0</v>
      </c>
      <c r="F29">
        <f>IFERROR(historicalfs!F6/historicalfs!F61,0)</f>
        <v>0</v>
      </c>
      <c r="G29">
        <f>IFERROR(historicalfs!G6/historicalfs!G61,0)</f>
        <v>0</v>
      </c>
      <c r="H29">
        <f>IFERROR(historicalfs!H6/historicalfs!H61,0)</f>
        <v>0</v>
      </c>
      <c r="I29">
        <f>IFERROR(historicalfs!I6/historicalfs!I61,0)</f>
        <v>0</v>
      </c>
      <c r="J29">
        <f>IFERROR(historicalfs!J6/historicalfs!J61,0)</f>
        <v>0</v>
      </c>
      <c r="K29">
        <f>IFERROR(historicalfs!K6/historicalfs!K61,0)</f>
        <v>0</v>
      </c>
      <c r="L29">
        <f>IFERROR(historicalfs!L6/historicalfs!L61,0)</f>
        <v>0</v>
      </c>
      <c r="N29" s="37">
        <f t="shared" si="6"/>
        <v>0</v>
      </c>
      <c r="O29" s="37">
        <f t="shared" si="7"/>
        <v>0</v>
      </c>
    </row>
    <row r="30" spans="2:15" x14ac:dyDescent="0.3">
      <c r="B30" t="s">
        <v>137</v>
      </c>
      <c r="C30" s="37">
        <f>IFERROR(historicalfs!C6/historicalfs!C53,0)</f>
        <v>4.699365415124273</v>
      </c>
      <c r="D30" s="37">
        <f>IFERROR(historicalfs!D6/historicalfs!D53,0)</f>
        <v>4.6646496339459134</v>
      </c>
      <c r="E30" s="37">
        <f>IFERROR(historicalfs!E6/historicalfs!E53,0)</f>
        <v>4.8299597997037873</v>
      </c>
      <c r="F30" s="37">
        <f>IFERROR(historicalfs!F6/historicalfs!F53,0)</f>
        <v>5.6085573405439799</v>
      </c>
      <c r="G30" s="37">
        <f>IFERROR(historicalfs!G6/historicalfs!G53,0)</f>
        <v>5.2625716104392106</v>
      </c>
      <c r="H30" s="37">
        <f>IFERROR(historicalfs!H6/historicalfs!H53,0)</f>
        <v>3.8165118332002188</v>
      </c>
      <c r="I30" s="37">
        <f>IFERROR(historicalfs!I6/historicalfs!I53,0)</f>
        <v>3.9393060184277591</v>
      </c>
      <c r="J30" s="37">
        <f>IFERROR(historicalfs!J6/historicalfs!J53,0)</f>
        <v>4.7147674418604648</v>
      </c>
      <c r="K30" s="37">
        <f>IFERROR(historicalfs!K6/historicalfs!K53,0)</f>
        <v>5.0219674935842598</v>
      </c>
      <c r="L30" s="37">
        <f>IFERROR(historicalfs!L6/historicalfs!L53,0)</f>
        <v>5.5633190934762142</v>
      </c>
      <c r="N30" s="37">
        <f t="shared" si="6"/>
        <v>4.812097568030608</v>
      </c>
      <c r="O30" s="37">
        <f t="shared" si="7"/>
        <v>4.82462336279798</v>
      </c>
    </row>
    <row r="31" spans="2:15" x14ac:dyDescent="0.3">
      <c r="B31" s="34" t="s">
        <v>138</v>
      </c>
      <c r="C31" s="38">
        <f>IFERROR(historicalfs!C6/SUM(historicalfs!C47:C48),0)</f>
        <v>1.0509105960264902</v>
      </c>
      <c r="D31" s="38">
        <f>IFERROR(historicalfs!D6/SUM(historicalfs!D47:D48),0)</f>
        <v>1.0112885462555066</v>
      </c>
      <c r="E31" s="38">
        <f>IFERROR(historicalfs!E6/SUM(historicalfs!E47:E48),0)</f>
        <v>0.99278072540662776</v>
      </c>
      <c r="F31" s="38">
        <f>IFERROR(historicalfs!F6/SUM(historicalfs!F47:F48),0)</f>
        <v>1.0862406235078477</v>
      </c>
      <c r="G31" s="38">
        <f>IFERROR(historicalfs!G6/SUM(historicalfs!G47:G48),0)</f>
        <v>1.2729414300671307</v>
      </c>
      <c r="H31" s="38">
        <f>IFERROR(historicalfs!H6/SUM(historicalfs!H47:H48),0)</f>
        <v>1.3871810542398777</v>
      </c>
      <c r="I31" s="38">
        <f>IFERROR(historicalfs!I6/SUM(historicalfs!I47:I48),0)</f>
        <v>1.3159225157496299</v>
      </c>
      <c r="J31" s="38">
        <f>IFERROR(historicalfs!J6/SUM(historicalfs!J47:J48),0)</f>
        <v>1.6143463835434639</v>
      </c>
      <c r="K31" s="38">
        <f>IFERROR(historicalfs!K6/SUM(historicalfs!K47:K48),0)</f>
        <v>1.9463312424575967</v>
      </c>
      <c r="L31" s="38">
        <f>IFERROR(historicalfs!L6/SUM(historicalfs!L47:L48),0)</f>
        <v>1.7439511552952927</v>
      </c>
      <c r="N31" s="37">
        <f t="shared" si="6"/>
        <v>1.3421894272549462</v>
      </c>
      <c r="O31" s="37">
        <f t="shared" si="7"/>
        <v>1.3745537418358857</v>
      </c>
    </row>
    <row r="32" spans="2:15" x14ac:dyDescent="0.3">
      <c r="N32" s="14"/>
    </row>
    <row r="33" spans="2:15" x14ac:dyDescent="0.3">
      <c r="B33" s="30" t="s">
        <v>139</v>
      </c>
      <c r="C33" s="39">
        <f>IFERROR(365/C27,0)</f>
        <v>66.491213263564575</v>
      </c>
      <c r="D33" s="39">
        <f t="shared" ref="D33:L33" si="8">IFERROR(365/D27,0)</f>
        <v>66.229720856488527</v>
      </c>
      <c r="E33" s="39">
        <f t="shared" si="8"/>
        <v>65.672711874306415</v>
      </c>
      <c r="F33" s="39">
        <f t="shared" si="8"/>
        <v>68.018916082924477</v>
      </c>
      <c r="G33" s="39">
        <f t="shared" si="8"/>
        <v>65.459389174478375</v>
      </c>
      <c r="H33" s="39">
        <f t="shared" si="8"/>
        <v>74.321849081957467</v>
      </c>
      <c r="I33" s="39">
        <f t="shared" si="8"/>
        <v>70.092264511505689</v>
      </c>
      <c r="J33" s="39">
        <f t="shared" si="8"/>
        <v>68.108368066688044</v>
      </c>
      <c r="K33" s="39">
        <f t="shared" si="8"/>
        <v>63.227837320378555</v>
      </c>
      <c r="L33" s="39">
        <f t="shared" si="8"/>
        <v>71.715006182078483</v>
      </c>
      <c r="N33" s="40">
        <f>IFERROR(AVERAGE(C33:L33),0)</f>
        <v>67.933727641437059</v>
      </c>
      <c r="O33" s="40">
        <f>IFERROR(AVERAGE(D33:M33),0)</f>
        <v>68.094007016756223</v>
      </c>
    </row>
    <row r="34" spans="2:15" x14ac:dyDescent="0.3">
      <c r="B34" t="s">
        <v>140</v>
      </c>
      <c r="C34" s="40">
        <f>IFERROR(365/C28,0)</f>
        <v>106.46945741668074</v>
      </c>
      <c r="D34" s="40">
        <f t="shared" ref="D34:L34" si="9">IFERROR(365/D28,0)</f>
        <v>78.061049630851528</v>
      </c>
      <c r="E34" s="40">
        <f t="shared" si="9"/>
        <v>75.50070089363939</v>
      </c>
      <c r="F34" s="40">
        <f t="shared" si="9"/>
        <v>74.664501857576354</v>
      </c>
      <c r="G34" s="40">
        <f t="shared" si="9"/>
        <v>84.403628666465067</v>
      </c>
      <c r="H34" s="40">
        <f t="shared" si="9"/>
        <v>87.307167009945914</v>
      </c>
      <c r="I34" s="40">
        <f t="shared" si="9"/>
        <v>93.854755553786134</v>
      </c>
      <c r="J34" s="40">
        <f t="shared" si="9"/>
        <v>107.73772823307931</v>
      </c>
      <c r="K34" s="40">
        <f t="shared" si="9"/>
        <v>101.69077517425579</v>
      </c>
      <c r="L34" s="40">
        <f t="shared" si="9"/>
        <v>93.928060128847534</v>
      </c>
      <c r="N34" s="40">
        <f t="shared" ref="N34:N36" si="10">IFERROR(AVERAGE(C34:L34),0)</f>
        <v>90.361782456512771</v>
      </c>
      <c r="O34" s="40">
        <f t="shared" ref="O34:O36" si="11">IFERROR(AVERAGE(D34:M34),0)</f>
        <v>88.572040794271899</v>
      </c>
    </row>
    <row r="35" spans="2:15" x14ac:dyDescent="0.3">
      <c r="B35" t="s">
        <v>141</v>
      </c>
      <c r="C35" s="40">
        <f>IFERROR(365/C29,0)</f>
        <v>0</v>
      </c>
      <c r="D35" s="40">
        <f t="shared" ref="D35:L35" si="12">IFERROR(365/D29,0)</f>
        <v>0</v>
      </c>
      <c r="E35" s="40">
        <f t="shared" si="12"/>
        <v>0</v>
      </c>
      <c r="F35" s="40">
        <f t="shared" si="12"/>
        <v>0</v>
      </c>
      <c r="G35" s="40">
        <f t="shared" si="12"/>
        <v>0</v>
      </c>
      <c r="H35" s="40">
        <f t="shared" si="12"/>
        <v>0</v>
      </c>
      <c r="I35" s="40">
        <f t="shared" si="12"/>
        <v>0</v>
      </c>
      <c r="J35" s="40">
        <f t="shared" si="12"/>
        <v>0</v>
      </c>
      <c r="K35" s="40">
        <f t="shared" si="12"/>
        <v>0</v>
      </c>
      <c r="L35" s="40">
        <f t="shared" si="12"/>
        <v>0</v>
      </c>
      <c r="N35" s="40">
        <f t="shared" si="10"/>
        <v>0</v>
      </c>
      <c r="O35" s="40">
        <f t="shared" si="11"/>
        <v>0</v>
      </c>
    </row>
    <row r="36" spans="2:15" x14ac:dyDescent="0.3">
      <c r="B36" s="34" t="s">
        <v>142</v>
      </c>
      <c r="C36" s="41">
        <f>IFERROR(C33-C35/C34,0)</f>
        <v>66.491213263564575</v>
      </c>
      <c r="D36" s="41">
        <f t="shared" ref="D36:L36" si="13">IFERROR(D33-D35/D34,0)</f>
        <v>66.229720856488527</v>
      </c>
      <c r="E36" s="41">
        <f t="shared" si="13"/>
        <v>65.672711874306415</v>
      </c>
      <c r="F36" s="41">
        <f t="shared" si="13"/>
        <v>68.018916082924477</v>
      </c>
      <c r="G36" s="41">
        <f t="shared" si="13"/>
        <v>65.459389174478375</v>
      </c>
      <c r="H36" s="41">
        <f t="shared" si="13"/>
        <v>74.321849081957467</v>
      </c>
      <c r="I36" s="41">
        <f t="shared" si="13"/>
        <v>70.092264511505689</v>
      </c>
      <c r="J36" s="41">
        <f t="shared" si="13"/>
        <v>68.108368066688044</v>
      </c>
      <c r="K36" s="41">
        <f t="shared" si="13"/>
        <v>63.227837320378555</v>
      </c>
      <c r="L36" s="41">
        <f t="shared" si="13"/>
        <v>71.715006182078483</v>
      </c>
      <c r="N36" s="40">
        <f t="shared" si="10"/>
        <v>67.933727641437059</v>
      </c>
      <c r="O36" s="40">
        <f t="shared" si="11"/>
        <v>68.094007016756223</v>
      </c>
    </row>
    <row r="37" spans="2:15" x14ac:dyDescent="0.3">
      <c r="N37" s="14"/>
    </row>
    <row r="38" spans="2:15" x14ac:dyDescent="0.3">
      <c r="B38" s="30" t="s">
        <v>143</v>
      </c>
      <c r="C38" s="32">
        <f>IFERROR(historicalfs!C99/historicalfs!C6,0)</f>
        <v>0.2424464074720081</v>
      </c>
      <c r="D38" s="32">
        <f>IFERROR(historicalfs!D99/historicalfs!D6,0)</f>
        <v>0.15257603177399465</v>
      </c>
      <c r="E38" s="32">
        <f>IFERROR(historicalfs!E99/historicalfs!E6,0)</f>
        <v>-0.22430056655569183</v>
      </c>
      <c r="F38" s="32">
        <f>IFERROR(historicalfs!F99/historicalfs!F6,0)</f>
        <v>0.21384816085760472</v>
      </c>
      <c r="G38" s="32">
        <f>IFERROR(historicalfs!G99/historicalfs!G6,0)</f>
        <v>0.16272149984880557</v>
      </c>
      <c r="H38" s="32">
        <f>IFERROR(historicalfs!H99/historicalfs!H6,0)</f>
        <v>0.14743752134022095</v>
      </c>
      <c r="I38" s="32">
        <f>IFERROR(historicalfs!I99/historicalfs!I6,0)</f>
        <v>0.22577434509116967</v>
      </c>
      <c r="J38" s="32">
        <f>IFERROR(historicalfs!J99/historicalfs!J6,0)</f>
        <v>7.1801448524757283E-2</v>
      </c>
      <c r="K38" s="32">
        <f>IFERROR(historicalfs!K99/historicalfs!K6,0)</f>
        <v>6.6452267880381832E-2</v>
      </c>
      <c r="L38" s="32">
        <f>IFERROR(historicalfs!L99/historicalfs!L6,0)</f>
        <v>0.11484349580269408</v>
      </c>
      <c r="N38" s="14">
        <f>IFERROR(AVERAGE(C38:L38),0)</f>
        <v>0.1173600612035945</v>
      </c>
      <c r="O38" s="42">
        <f>IFERROR(MEDIAN(C38:L38),0)</f>
        <v>0.15000677655710781</v>
      </c>
    </row>
    <row r="39" spans="2:15" x14ac:dyDescent="0.3">
      <c r="B39" t="s">
        <v>144</v>
      </c>
      <c r="C39" s="33">
        <f>IFERROR('Data Sheet'!B83/'Data Sheet'!B17,0)</f>
        <v>1.8736285376694986E-2</v>
      </c>
      <c r="D39" s="33">
        <f>IFERROR('Data Sheet'!C83/'Data Sheet'!C17,0)</f>
        <v>-1.4173379670408865E-2</v>
      </c>
      <c r="E39" s="33">
        <f>IFERROR('Data Sheet'!D83/'Data Sheet'!D17,0)</f>
        <v>-0.21412300683371299</v>
      </c>
      <c r="F39" s="33">
        <f>IFERROR('Data Sheet'!E83/'Data Sheet'!E17,0)</f>
        <v>6.4277814015484533E-2</v>
      </c>
      <c r="G39" s="33">
        <f>IFERROR('Data Sheet'!F83/'Data Sheet'!F17,0)</f>
        <v>-7.6443906864227399E-3</v>
      </c>
      <c r="H39" s="33">
        <f>IFERROR('Data Sheet'!G83/'Data Sheet'!G17,0)</f>
        <v>-3.645735810818253E-3</v>
      </c>
      <c r="I39" s="33">
        <f>IFERROR('Data Sheet'!H83/'Data Sheet'!H17,0)</f>
        <v>-7.3383629269846332E-2</v>
      </c>
      <c r="J39" s="33">
        <f>IFERROR('Data Sheet'!I83/'Data Sheet'!I17,0)</f>
        <v>-5.3312616634194065E-2</v>
      </c>
      <c r="K39" s="33">
        <f>IFERROR('Data Sheet'!J83/'Data Sheet'!J17,0)</f>
        <v>-7.297280723868445E-3</v>
      </c>
      <c r="L39" s="33">
        <f>IFERROR('Data Sheet'!K83/'Data Sheet'!K17,0)</f>
        <v>-3.3142448103078023E-2</v>
      </c>
      <c r="N39" s="14">
        <f t="shared" ref="N39:N40" si="14">IFERROR(AVERAGE(C39:L39),0)</f>
        <v>-3.2370838834017021E-2</v>
      </c>
      <c r="O39" s="42">
        <f t="shared" ref="O39:O40" si="15">IFERROR(MEDIAN(C39:L39),0)</f>
        <v>-1.0908885178415803E-2</v>
      </c>
    </row>
    <row r="40" spans="2:15" x14ac:dyDescent="0.3">
      <c r="B40" s="34" t="s">
        <v>145</v>
      </c>
      <c r="C40" s="35">
        <f>IFERROR('Data Sheet'!B82/'Data Sheet'!B59,0)</f>
        <v>0</v>
      </c>
      <c r="D40" s="35">
        <f>IFERROR('Data Sheet'!C82/'Data Sheet'!C59,0)</f>
        <v>0</v>
      </c>
      <c r="E40" s="35">
        <f>IFERROR('Data Sheet'!D82/'Data Sheet'!D59,0)</f>
        <v>0</v>
      </c>
      <c r="F40" s="35">
        <f>IFERROR('Data Sheet'!E82/'Data Sheet'!E59,0)</f>
        <v>0</v>
      </c>
      <c r="G40" s="35">
        <f>IFERROR('Data Sheet'!F82/'Data Sheet'!F59,0)</f>
        <v>0</v>
      </c>
      <c r="H40" s="35">
        <f>IFERROR('Data Sheet'!G82/'Data Sheet'!G59,0)</f>
        <v>3.6699762572846968</v>
      </c>
      <c r="I40" s="35">
        <f>IFERROR('Data Sheet'!H82/'Data Sheet'!H59,0)</f>
        <v>4.36131455399061</v>
      </c>
      <c r="J40" s="35">
        <f>IFERROR('Data Sheet'!I82/'Data Sheet'!I59,0)</f>
        <v>4.3633540372670812</v>
      </c>
      <c r="K40" s="35">
        <f>IFERROR('Data Sheet'!J82/'Data Sheet'!J59,0)</f>
        <v>2.7071936377876851</v>
      </c>
      <c r="L40" s="35">
        <f>IFERROR('Data Sheet'!K82/'Data Sheet'!K59,0)</f>
        <v>3.0159109941380549</v>
      </c>
      <c r="N40" s="14">
        <f t="shared" si="14"/>
        <v>1.8117749480468128</v>
      </c>
      <c r="O40" s="42">
        <f t="shared" si="15"/>
        <v>1.3535968188938425</v>
      </c>
    </row>
  </sheetData>
  <mergeCells count="1">
    <mergeCell ref="B2:L2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C57A07-723F-4AA3-817D-88098368631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financials!C5:L5</xm:f>
              <xm:sqref>M5</xm:sqref>
            </x14:sparkline>
            <x14:sparkline>
              <xm:f>financials!C6:L6</xm:f>
              <xm:sqref>M6</xm:sqref>
            </x14:sparkline>
            <x14:sparkline>
              <xm:f>financials!C7:L7</xm:f>
              <xm:sqref>M7</xm:sqref>
            </x14:sparkline>
            <x14:sparkline>
              <xm:f>financials!C8:L8</xm:f>
              <xm:sqref>M8</xm:sqref>
            </x14:sparkline>
            <x14:sparkline>
              <xm:f>financials!C9:L9</xm:f>
              <xm:sqref>M9</xm:sqref>
            </x14:sparkline>
          </x14:sparklines>
        </x14:sparklineGroup>
        <x14:sparklineGroup displayEmptyCellsAs="gap" xr2:uid="{4756B751-11CA-4D0D-B0D0-2609685F566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financials!C11:L11</xm:f>
              <xm:sqref>M11</xm:sqref>
            </x14:sparkline>
            <x14:sparkline>
              <xm:f>financials!C12:L12</xm:f>
              <xm:sqref>M12</xm:sqref>
            </x14:sparkline>
            <x14:sparkline>
              <xm:f>financials!C13:L13</xm:f>
              <xm:sqref>M13</xm:sqref>
            </x14:sparkline>
            <x14:sparkline>
              <xm:f>financials!C14:L14</xm:f>
              <xm:sqref>M14</xm:sqref>
            </x14:sparkline>
            <x14:sparkline>
              <xm:f>financials!C15:L15</xm:f>
              <xm:sqref>M15</xm:sqref>
            </x14:sparkline>
            <x14:sparkline>
              <xm:f>financials!C16:L16</xm:f>
              <xm:sqref>M16</xm:sqref>
            </x14:sparkline>
            <x14:sparkline>
              <xm:f>financials!C17:L17</xm:f>
              <xm:sqref>M17</xm:sqref>
            </x14:sparkline>
            <x14:sparkline>
              <xm:f>financials!C18:L18</xm:f>
              <xm:sqref>M18</xm:sqref>
            </x14:sparkline>
            <x14:sparkline>
              <xm:f>financials!C19:L19</xm:f>
              <xm:sqref>M19</xm:sqref>
            </x14:sparkline>
            <x14:sparkline>
              <xm:f>financials!C20:L20</xm:f>
              <xm:sqref>M20</xm:sqref>
            </x14:sparkline>
            <x14:sparkline>
              <xm:f>financials!C21:L21</xm:f>
              <xm:sqref>M21</xm:sqref>
            </x14:sparkline>
            <x14:sparkline>
              <xm:f>financials!C22:L22</xm:f>
              <xm:sqref>M22</xm:sqref>
            </x14:sparkline>
            <x14:sparkline>
              <xm:f>financials!C23:L23</xm:f>
              <xm:sqref>M23</xm:sqref>
            </x14:sparkline>
            <x14:sparkline>
              <xm:f>financials!C24:L24</xm:f>
              <xm:sqref>M24</xm:sqref>
            </x14:sparkline>
            <x14:sparkline>
              <xm:f>financials!C25:L25</xm:f>
              <xm:sqref>M25</xm:sqref>
            </x14:sparkline>
            <x14:sparkline>
              <xm:f>financials!C26:L26</xm:f>
              <xm:sqref>M26</xm:sqref>
            </x14:sparkline>
            <x14:sparkline>
              <xm:f>financials!C27:L27</xm:f>
              <xm:sqref>M27</xm:sqref>
            </x14:sparkline>
            <x14:sparkline>
              <xm:f>financials!C28:L28</xm:f>
              <xm:sqref>M28</xm:sqref>
            </x14:sparkline>
            <x14:sparkline>
              <xm:f>financials!C29:L29</xm:f>
              <xm:sqref>M29</xm:sqref>
            </x14:sparkline>
            <x14:sparkline>
              <xm:f>financials!C30:L30</xm:f>
              <xm:sqref>M30</xm:sqref>
            </x14:sparkline>
            <x14:sparkline>
              <xm:f>financials!C31:L31</xm:f>
              <xm:sqref>M31</xm:sqref>
            </x14:sparkline>
            <x14:sparkline>
              <xm:f>financials!C32:L32</xm:f>
              <xm:sqref>M32</xm:sqref>
            </x14:sparkline>
            <x14:sparkline>
              <xm:f>financials!C33:L33</xm:f>
              <xm:sqref>M33</xm:sqref>
            </x14:sparkline>
            <x14:sparkline>
              <xm:f>financials!C34:L34</xm:f>
              <xm:sqref>M34</xm:sqref>
            </x14:sparkline>
            <x14:sparkline>
              <xm:f>financials!C35:L35</xm:f>
              <xm:sqref>M35</xm:sqref>
            </x14:sparkline>
            <x14:sparkline>
              <xm:f>financials!C36:L36</xm:f>
              <xm:sqref>M36</xm:sqref>
            </x14:sparkline>
            <x14:sparkline>
              <xm:f>financials!C37:L37</xm:f>
              <xm:sqref>M37</xm:sqref>
            </x14:sparkline>
            <x14:sparkline>
              <xm:f>financials!C38:L38</xm:f>
              <xm:sqref>M38</xm:sqref>
            </x14:sparkline>
            <x14:sparkline>
              <xm:f>financials!C39:L39</xm:f>
              <xm:sqref>M39</xm:sqref>
            </x14:sparkline>
            <x14:sparkline>
              <xm:f>financials!C40:L40</xm:f>
              <xm:sqref>M40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FC09-2EC9-43E8-8852-C3EC020B5D5C}">
  <dimension ref="B3:T18"/>
  <sheetViews>
    <sheetView showGridLines="0" workbookViewId="0">
      <selection activeCell="M14" sqref="M14"/>
    </sheetView>
  </sheetViews>
  <sheetFormatPr defaultRowHeight="14.4" x14ac:dyDescent="0.3"/>
  <cols>
    <col min="1" max="1" width="2.77734375" customWidth="1"/>
    <col min="3" max="3" width="11.44140625" customWidth="1"/>
    <col min="4" max="4" width="11.6640625" customWidth="1"/>
    <col min="5" max="5" width="10.77734375" customWidth="1"/>
    <col min="6" max="6" width="2.77734375" customWidth="1"/>
    <col min="9" max="9" width="10.21875" customWidth="1"/>
    <col min="10" max="10" width="9.5546875" customWidth="1"/>
    <col min="11" max="11" width="2.77734375" customWidth="1"/>
    <col min="14" max="14" width="11.21875" customWidth="1"/>
    <col min="15" max="15" width="11.5546875" customWidth="1"/>
    <col min="16" max="16" width="2.77734375" customWidth="1"/>
    <col min="20" max="20" width="11.5546875" customWidth="1"/>
  </cols>
  <sheetData>
    <row r="3" spans="2:20" x14ac:dyDescent="0.3">
      <c r="B3" s="48" t="str">
        <f>'Data Sheet'!B1&amp;" - "&amp;'Data Sheet'!A17 &amp; " forecasting"</f>
        <v>INFOSYS LTD - Sales forecasting</v>
      </c>
      <c r="C3" s="48"/>
      <c r="D3" s="48"/>
      <c r="E3" s="48"/>
      <c r="G3" s="51" t="str">
        <f>'Data Sheet'!B1&amp;" - "&amp;historicalfs!B18&amp;" forecasting"</f>
        <v>INFOSYS LTD - EBITDA forecasting</v>
      </c>
      <c r="H3" s="48"/>
      <c r="I3" s="48"/>
      <c r="J3" s="48"/>
      <c r="L3" s="51" t="str">
        <f>'Data Sheet'!B1&amp;" - "&amp;'Data Sheet'!A30&amp;" forecasting"</f>
        <v>INFOSYS LTD - Net profit forecasting</v>
      </c>
      <c r="M3" s="48"/>
      <c r="N3" s="48"/>
      <c r="O3" s="48"/>
      <c r="Q3" s="51" t="str">
        <f>'Data Sheet'!B1&amp;" - "&amp;historicalfs!B38&amp;" forecasting"</f>
        <v>INFOSYS LTD - Earning per share forecasting</v>
      </c>
      <c r="R3" s="48"/>
      <c r="S3" s="48"/>
      <c r="T3" s="48"/>
    </row>
    <row r="4" spans="2:20" x14ac:dyDescent="0.3">
      <c r="B4" s="46" t="s">
        <v>151</v>
      </c>
      <c r="C4" s="47" t="s">
        <v>152</v>
      </c>
      <c r="D4" s="47" t="s">
        <v>153</v>
      </c>
      <c r="E4" s="46" t="s">
        <v>154</v>
      </c>
      <c r="G4" s="46" t="s">
        <v>151</v>
      </c>
      <c r="H4" s="47" t="s">
        <v>152</v>
      </c>
      <c r="I4" s="47" t="s">
        <v>153</v>
      </c>
      <c r="J4" s="46" t="s">
        <v>154</v>
      </c>
      <c r="L4" s="46" t="s">
        <v>151</v>
      </c>
      <c r="M4" s="47" t="s">
        <v>152</v>
      </c>
      <c r="N4" s="47" t="s">
        <v>153</v>
      </c>
      <c r="O4" s="46" t="s">
        <v>154</v>
      </c>
      <c r="Q4" s="46" t="s">
        <v>151</v>
      </c>
      <c r="R4" s="47" t="s">
        <v>152</v>
      </c>
      <c r="S4" s="47" t="s">
        <v>155</v>
      </c>
      <c r="T4" s="46" t="s">
        <v>154</v>
      </c>
    </row>
    <row r="5" spans="2:20" x14ac:dyDescent="0.3">
      <c r="B5" s="44">
        <v>1</v>
      </c>
      <c r="C5" s="49">
        <v>42094</v>
      </c>
      <c r="D5" s="50">
        <f t="array" ref="D5:D14">TRANSPOSE('Data Sheet'!B17:K17)</f>
        <v>53319</v>
      </c>
      <c r="G5" s="44">
        <v>1</v>
      </c>
      <c r="H5" s="49">
        <v>42094</v>
      </c>
      <c r="I5" s="52">
        <v>14883</v>
      </c>
      <c r="L5" s="44">
        <v>1</v>
      </c>
      <c r="M5" s="49">
        <v>42094</v>
      </c>
      <c r="N5" s="52">
        <v>12372</v>
      </c>
      <c r="Q5" s="44">
        <v>1</v>
      </c>
      <c r="R5" s="49">
        <v>42094</v>
      </c>
      <c r="S5" s="52">
        <v>21.707518829727025</v>
      </c>
    </row>
    <row r="6" spans="2:20" x14ac:dyDescent="0.3">
      <c r="B6" s="44">
        <v>2</v>
      </c>
      <c r="C6" s="49">
        <v>42460</v>
      </c>
      <c r="D6" s="50">
        <v>62441</v>
      </c>
      <c r="E6" s="14">
        <f>D6/D5-1</f>
        <v>0.17108347868489648</v>
      </c>
      <c r="G6" s="44">
        <v>2</v>
      </c>
      <c r="H6" s="49">
        <v>42460</v>
      </c>
      <c r="I6" s="52">
        <v>17079</v>
      </c>
      <c r="J6" s="14">
        <f>I6/I5-1</f>
        <v>0.14755089699657331</v>
      </c>
      <c r="L6" s="44">
        <v>2</v>
      </c>
      <c r="M6" s="49">
        <v>42460</v>
      </c>
      <c r="N6" s="52">
        <v>13489</v>
      </c>
      <c r="O6" s="14">
        <f>N6/N5-1</f>
        <v>9.0284513417394185E-2</v>
      </c>
      <c r="Q6" s="44">
        <v>2</v>
      </c>
      <c r="R6" s="49">
        <v>42460</v>
      </c>
      <c r="S6" s="52">
        <v>25.747186486427655</v>
      </c>
      <c r="T6" s="14">
        <f>S6/S5-1</f>
        <v>0.18609531970869786</v>
      </c>
    </row>
    <row r="7" spans="2:20" x14ac:dyDescent="0.3">
      <c r="B7" s="44">
        <v>3</v>
      </c>
      <c r="C7" s="49">
        <v>42825</v>
      </c>
      <c r="D7" s="50">
        <v>68484</v>
      </c>
      <c r="E7" s="14">
        <f t="shared" ref="E7:E18" si="0">D7/D6-1</f>
        <v>9.67793597155715E-2</v>
      </c>
      <c r="G7" s="44">
        <v>3</v>
      </c>
      <c r="H7" s="49">
        <v>42825</v>
      </c>
      <c r="I7" s="52">
        <v>18604</v>
      </c>
      <c r="J7" s="14">
        <f t="shared" ref="J7:J18" si="1">I7/I6-1</f>
        <v>8.9290942092628445E-2</v>
      </c>
      <c r="L7" s="44">
        <v>3</v>
      </c>
      <c r="M7" s="49">
        <v>42825</v>
      </c>
      <c r="N7" s="52">
        <v>14353</v>
      </c>
      <c r="O7" s="14">
        <f t="shared" ref="O7:O18" si="2">N7/N6-1</f>
        <v>6.4052190673882459E-2</v>
      </c>
      <c r="Q7" s="44">
        <v>3</v>
      </c>
      <c r="R7" s="49">
        <v>42825</v>
      </c>
      <c r="S7" s="52">
        <v>28.311456496658614</v>
      </c>
      <c r="T7" s="14">
        <f t="shared" ref="T7:T18" si="3">S7/S6-1</f>
        <v>9.9594183293878924E-2</v>
      </c>
    </row>
    <row r="8" spans="2:20" x14ac:dyDescent="0.3">
      <c r="B8" s="44">
        <v>4</v>
      </c>
      <c r="C8" s="49">
        <v>43190</v>
      </c>
      <c r="D8" s="50">
        <v>70522</v>
      </c>
      <c r="E8" s="14">
        <f t="shared" si="0"/>
        <v>2.9758775772443125E-2</v>
      </c>
      <c r="G8" s="44">
        <v>4</v>
      </c>
      <c r="H8" s="49">
        <v>43190</v>
      </c>
      <c r="I8" s="52">
        <v>18822</v>
      </c>
      <c r="J8" s="14">
        <f t="shared" si="1"/>
        <v>1.1717910126854525E-2</v>
      </c>
      <c r="L8" s="44">
        <v>4</v>
      </c>
      <c r="M8" s="49">
        <v>43190</v>
      </c>
      <c r="N8" s="52">
        <v>16029</v>
      </c>
      <c r="O8" s="14">
        <f t="shared" si="2"/>
        <v>0.11677001323765057</v>
      </c>
      <c r="Q8" s="44">
        <v>4</v>
      </c>
      <c r="R8" s="49">
        <v>43190</v>
      </c>
      <c r="S8" s="52">
        <v>33.37988187354059</v>
      </c>
      <c r="T8" s="14">
        <f t="shared" si="3"/>
        <v>0.17902383006964562</v>
      </c>
    </row>
    <row r="9" spans="2:20" x14ac:dyDescent="0.3">
      <c r="B9" s="44">
        <v>5</v>
      </c>
      <c r="C9" s="49">
        <v>43555</v>
      </c>
      <c r="D9" s="50">
        <v>82675</v>
      </c>
      <c r="E9" s="14">
        <f t="shared" si="0"/>
        <v>0.17232920223476356</v>
      </c>
      <c r="G9" s="44">
        <v>5</v>
      </c>
      <c r="H9" s="49">
        <v>43555</v>
      </c>
      <c r="I9" s="52">
        <v>20170</v>
      </c>
      <c r="J9" s="14">
        <f t="shared" si="1"/>
        <v>7.1618318988417862E-2</v>
      </c>
      <c r="L9" s="44">
        <v>5</v>
      </c>
      <c r="M9" s="49">
        <v>43555</v>
      </c>
      <c r="N9" s="52">
        <v>15404</v>
      </c>
      <c r="O9" s="14">
        <f t="shared" si="2"/>
        <v>-3.899182731299522E-2</v>
      </c>
      <c r="Q9" s="44">
        <v>5</v>
      </c>
      <c r="R9" s="49">
        <v>43555</v>
      </c>
      <c r="S9" s="52">
        <v>33.2783995971526</v>
      </c>
      <c r="T9" s="14">
        <f t="shared" si="3"/>
        <v>-3.040222753706967E-3</v>
      </c>
    </row>
    <row r="10" spans="2:20" x14ac:dyDescent="0.3">
      <c r="B10" s="44">
        <v>6</v>
      </c>
      <c r="C10" s="49">
        <v>43921</v>
      </c>
      <c r="D10" s="50">
        <v>90791</v>
      </c>
      <c r="E10" s="14">
        <f t="shared" si="0"/>
        <v>9.8167523435137571E-2</v>
      </c>
      <c r="G10" s="44">
        <v>6</v>
      </c>
      <c r="H10" s="49">
        <v>43921</v>
      </c>
      <c r="I10" s="52">
        <v>22267</v>
      </c>
      <c r="J10" s="14">
        <f t="shared" si="1"/>
        <v>0.10396628656420437</v>
      </c>
      <c r="L10" s="44">
        <v>6</v>
      </c>
      <c r="M10" s="49">
        <v>43921</v>
      </c>
      <c r="N10" s="52">
        <v>16594</v>
      </c>
      <c r="O10" s="14">
        <f t="shared" si="2"/>
        <v>7.7252661646325604E-2</v>
      </c>
      <c r="Q10" s="44">
        <v>6</v>
      </c>
      <c r="R10" s="49">
        <v>43921</v>
      </c>
      <c r="S10" s="52">
        <v>39.678328246067153</v>
      </c>
      <c r="T10" s="14">
        <f t="shared" si="3"/>
        <v>0.19231479657640005</v>
      </c>
    </row>
    <row r="11" spans="2:20" x14ac:dyDescent="0.3">
      <c r="B11" s="44">
        <v>7</v>
      </c>
      <c r="C11" s="49">
        <v>44286</v>
      </c>
      <c r="D11" s="50">
        <v>100472</v>
      </c>
      <c r="E11" s="14">
        <f t="shared" si="0"/>
        <v>0.10662951173574475</v>
      </c>
      <c r="G11" s="44">
        <v>7</v>
      </c>
      <c r="H11" s="49">
        <v>44286</v>
      </c>
      <c r="I11" s="52">
        <v>27889</v>
      </c>
      <c r="J11" s="14">
        <f t="shared" si="1"/>
        <v>0.25248125028068436</v>
      </c>
      <c r="L11" s="44">
        <v>7</v>
      </c>
      <c r="M11" s="49">
        <v>44286</v>
      </c>
      <c r="N11" s="52">
        <v>19351</v>
      </c>
      <c r="O11" s="14">
        <f t="shared" si="2"/>
        <v>0.16614438953838739</v>
      </c>
      <c r="Q11" s="44">
        <v>7</v>
      </c>
      <c r="R11" s="49">
        <v>44286</v>
      </c>
      <c r="S11" s="52">
        <v>48.546013565845989</v>
      </c>
      <c r="T11" s="14">
        <f t="shared" si="3"/>
        <v>0.22348938858475687</v>
      </c>
    </row>
    <row r="12" spans="2:20" x14ac:dyDescent="0.3">
      <c r="B12" s="44">
        <v>8</v>
      </c>
      <c r="C12" s="49">
        <v>44651</v>
      </c>
      <c r="D12" s="50">
        <v>121641</v>
      </c>
      <c r="E12" s="14">
        <f t="shared" si="0"/>
        <v>0.21069551715900947</v>
      </c>
      <c r="G12" s="44">
        <v>8</v>
      </c>
      <c r="H12" s="49">
        <v>44651</v>
      </c>
      <c r="I12" s="52">
        <v>31491</v>
      </c>
      <c r="J12" s="14">
        <f t="shared" si="1"/>
        <v>0.12915486392484499</v>
      </c>
      <c r="L12" s="44">
        <v>8</v>
      </c>
      <c r="M12" s="49">
        <v>44651</v>
      </c>
      <c r="N12" s="52">
        <v>22110</v>
      </c>
      <c r="O12" s="14">
        <f t="shared" si="2"/>
        <v>0.14257661102785391</v>
      </c>
      <c r="Q12" s="44">
        <v>8</v>
      </c>
      <c r="R12" s="49">
        <v>44651</v>
      </c>
      <c r="S12" s="52">
        <v>55.927449069341762</v>
      </c>
      <c r="T12" s="14">
        <f t="shared" si="3"/>
        <v>0.15205029128671654</v>
      </c>
    </row>
    <row r="13" spans="2:20" x14ac:dyDescent="0.3">
      <c r="B13" s="44">
        <v>9</v>
      </c>
      <c r="C13" s="49">
        <v>45016</v>
      </c>
      <c r="D13" s="50">
        <v>146767</v>
      </c>
      <c r="E13" s="14">
        <f t="shared" si="0"/>
        <v>0.20655864387829759</v>
      </c>
      <c r="G13" s="44">
        <v>9</v>
      </c>
      <c r="H13" s="49">
        <v>45016</v>
      </c>
      <c r="I13" s="52">
        <v>35130</v>
      </c>
      <c r="J13" s="14">
        <f t="shared" si="1"/>
        <v>0.1155568257597408</v>
      </c>
      <c r="L13" s="44">
        <v>9</v>
      </c>
      <c r="M13" s="49">
        <v>45016</v>
      </c>
      <c r="N13" s="52">
        <v>24095</v>
      </c>
      <c r="O13" s="14">
        <f t="shared" si="2"/>
        <v>8.9778380823156922E-2</v>
      </c>
      <c r="Q13" s="44">
        <v>9</v>
      </c>
      <c r="R13" s="49">
        <v>45016</v>
      </c>
      <c r="S13" s="52">
        <v>62.469266740587187</v>
      </c>
      <c r="T13" s="14">
        <f t="shared" si="3"/>
        <v>0.11696971308551074</v>
      </c>
    </row>
    <row r="14" spans="2:20" x14ac:dyDescent="0.3">
      <c r="B14" s="44">
        <v>10</v>
      </c>
      <c r="C14" s="49">
        <v>45382</v>
      </c>
      <c r="D14" s="50">
        <v>153670</v>
      </c>
      <c r="E14" s="14">
        <f t="shared" si="0"/>
        <v>4.7033733741236095E-2</v>
      </c>
      <c r="G14" s="44">
        <v>10</v>
      </c>
      <c r="H14" s="49">
        <v>45382</v>
      </c>
      <c r="I14" s="52">
        <v>36425</v>
      </c>
      <c r="J14" s="14">
        <f t="shared" si="1"/>
        <v>3.6863079988613823E-2</v>
      </c>
      <c r="L14" s="44">
        <v>10</v>
      </c>
      <c r="M14" s="49">
        <v>45382</v>
      </c>
      <c r="N14" s="52">
        <v>26233</v>
      </c>
      <c r="O14" s="14">
        <f t="shared" si="2"/>
        <v>8.8732102095870458E-2</v>
      </c>
      <c r="Q14" s="44">
        <v>10</v>
      </c>
      <c r="R14" s="49">
        <v>45382</v>
      </c>
      <c r="S14" s="52">
        <v>64.287263003204131</v>
      </c>
      <c r="T14" s="14">
        <f t="shared" si="3"/>
        <v>2.9102250714202249E-2</v>
      </c>
    </row>
    <row r="15" spans="2:20" x14ac:dyDescent="0.3">
      <c r="B15" s="44">
        <v>11</v>
      </c>
      <c r="C15" s="45">
        <v>2025</v>
      </c>
      <c r="D15" s="50">
        <f>FORECAST(B15,$D$5:$D$14,$B$5:$B$14)</f>
        <v>156984.6</v>
      </c>
      <c r="E15" s="14">
        <f>D15/D14-1</f>
        <v>2.1569597188781264E-2</v>
      </c>
      <c r="G15" s="44">
        <v>11</v>
      </c>
      <c r="H15" s="45">
        <v>2025</v>
      </c>
      <c r="I15" s="52">
        <v>36798</v>
      </c>
      <c r="J15" s="14">
        <f>I15/I14-1</f>
        <v>1.024021962937538E-2</v>
      </c>
      <c r="L15" s="44">
        <v>11</v>
      </c>
      <c r="M15" s="45">
        <v>2025</v>
      </c>
      <c r="N15" s="52">
        <f>FORECAST(L15,N5:N14,L5:L14)</f>
        <v>26300.733333333334</v>
      </c>
      <c r="O15" s="14">
        <f>N15/N14-1</f>
        <v>2.5819896059671166E-3</v>
      </c>
      <c r="Q15" s="44">
        <v>11</v>
      </c>
      <c r="R15" s="45">
        <v>2025</v>
      </c>
      <c r="S15" s="52">
        <v>63.477108433734941</v>
      </c>
      <c r="T15" s="14">
        <f>S15/S14-1</f>
        <v>-1.2602100814726125E-2</v>
      </c>
    </row>
    <row r="16" spans="2:20" x14ac:dyDescent="0.3">
      <c r="B16" s="44">
        <v>12</v>
      </c>
      <c r="C16" s="45">
        <v>2026</v>
      </c>
      <c r="D16" s="50">
        <f t="shared" ref="D16:D18" si="4">FORECAST(B16,$D$5:$D$14,$B$5:$B$14)</f>
        <v>168240.30909090908</v>
      </c>
      <c r="E16" s="14">
        <f t="shared" si="0"/>
        <v>7.1699447531216931E-2</v>
      </c>
      <c r="G16" s="44">
        <v>12</v>
      </c>
      <c r="H16" s="45">
        <v>2026</v>
      </c>
      <c r="I16" s="50">
        <f>FORECAST(G16,$D$5:$D$14,$B$5:$B$14)</f>
        <v>168240.30909090908</v>
      </c>
      <c r="J16" s="14">
        <f t="shared" si="1"/>
        <v>3.5719960076881643</v>
      </c>
      <c r="L16" s="44">
        <v>12</v>
      </c>
      <c r="M16" s="45">
        <v>2026</v>
      </c>
      <c r="N16" s="52">
        <f t="shared" ref="N16:N18" si="5">FORECAST(L16,N6:N15,L6:L15)</f>
        <v>28118.226666666666</v>
      </c>
      <c r="O16" s="14">
        <f t="shared" si="2"/>
        <v>6.910428353075071E-2</v>
      </c>
      <c r="Q16" s="44">
        <v>12</v>
      </c>
      <c r="R16" s="45">
        <v>2026</v>
      </c>
      <c r="S16" s="52">
        <f t="shared" ref="S16:S18" si="6">FORECAST(Q16,S6:S15,Q6:Q15)</f>
        <v>72.632292056028177</v>
      </c>
      <c r="T16" s="14">
        <f t="shared" si="3"/>
        <v>0.14422811385383949</v>
      </c>
    </row>
    <row r="17" spans="2:20" x14ac:dyDescent="0.3">
      <c r="B17" s="44">
        <v>13</v>
      </c>
      <c r="C17" s="45">
        <v>2027</v>
      </c>
      <c r="D17" s="50">
        <f t="shared" si="4"/>
        <v>179496.01818181819</v>
      </c>
      <c r="E17" s="14">
        <f t="shared" si="0"/>
        <v>6.6902570208825951E-2</v>
      </c>
      <c r="G17" s="44">
        <v>13</v>
      </c>
      <c r="H17" s="45">
        <v>2027</v>
      </c>
      <c r="I17" s="50">
        <f t="shared" ref="I16:I18" si="7">FORECAST(G17,$D$5:$D$14,$B$5:$B$14)</f>
        <v>179496.01818181819</v>
      </c>
      <c r="J17" s="14">
        <f t="shared" si="1"/>
        <v>6.6902570208825951E-2</v>
      </c>
      <c r="L17" s="44">
        <v>13</v>
      </c>
      <c r="M17" s="45">
        <v>2027</v>
      </c>
      <c r="N17" s="52">
        <f t="shared" si="5"/>
        <v>30032.001777777779</v>
      </c>
      <c r="O17" s="14">
        <f t="shared" si="2"/>
        <v>6.8061728564832835E-2</v>
      </c>
      <c r="Q17" s="44">
        <v>13</v>
      </c>
      <c r="R17" s="45">
        <v>2027</v>
      </c>
      <c r="S17" s="52">
        <f t="shared" si="6"/>
        <v>78.21096837398278</v>
      </c>
      <c r="T17" s="14">
        <f t="shared" si="3"/>
        <v>7.6807108243964528E-2</v>
      </c>
    </row>
    <row r="18" spans="2:20" x14ac:dyDescent="0.3">
      <c r="B18" s="44">
        <v>14</v>
      </c>
      <c r="C18" s="45">
        <v>2028</v>
      </c>
      <c r="D18" s="50">
        <f t="shared" si="4"/>
        <v>190751.72727272726</v>
      </c>
      <c r="E18" s="14">
        <f t="shared" si="0"/>
        <v>6.2707291253156106E-2</v>
      </c>
      <c r="G18" s="44">
        <v>14</v>
      </c>
      <c r="H18" s="45">
        <v>2028</v>
      </c>
      <c r="I18" s="50">
        <f t="shared" si="7"/>
        <v>190751.72727272726</v>
      </c>
      <c r="J18" s="14">
        <f t="shared" si="1"/>
        <v>6.2707291253156106E-2</v>
      </c>
      <c r="L18" s="44">
        <v>14</v>
      </c>
      <c r="M18" s="45">
        <v>2028</v>
      </c>
      <c r="N18" s="52">
        <f t="shared" si="5"/>
        <v>31966.405155555552</v>
      </c>
      <c r="O18" s="14">
        <f t="shared" si="2"/>
        <v>6.4411403278789692E-2</v>
      </c>
      <c r="Q18" s="44">
        <v>14</v>
      </c>
      <c r="R18" s="45">
        <v>2028</v>
      </c>
      <c r="S18" s="52">
        <f t="shared" si="6"/>
        <v>83.579246850540784</v>
      </c>
      <c r="T18" s="14">
        <f t="shared" si="3"/>
        <v>6.8638435096320727E-2</v>
      </c>
    </row>
  </sheetData>
  <mergeCells count="4">
    <mergeCell ref="B3:E3"/>
    <mergeCell ref="G3:J3"/>
    <mergeCell ref="L3:O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Sheet</vt:lpstr>
      <vt:lpstr>historicalfs</vt:lpstr>
      <vt:lpstr>cashflow data</vt:lpstr>
      <vt:lpstr>Data&gt;</vt:lpstr>
      <vt:lpstr>financials</vt:lpstr>
      <vt:lpstr>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</dc:creator>
  <cp:lastModifiedBy>arjun s</cp:lastModifiedBy>
  <cp:lastPrinted>2024-11-08T16:58:59Z</cp:lastPrinted>
  <dcterms:created xsi:type="dcterms:W3CDTF">2024-10-16T04:37:50Z</dcterms:created>
  <dcterms:modified xsi:type="dcterms:W3CDTF">2024-11-17T17:18:20Z</dcterms:modified>
</cp:coreProperties>
</file>