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Desktop\aswin tutor\"/>
    </mc:Choice>
  </mc:AlternateContent>
  <xr:revisionPtr revIDLastSave="0" documentId="8_{445A3C05-DBA7-480F-96B5-295BBAC6DD2A}" xr6:coauthVersionLast="47" xr6:coauthVersionMax="47" xr10:uidLastSave="{00000000-0000-0000-0000-000000000000}"/>
  <bookViews>
    <workbookView xWindow="-108" yWindow="-108" windowWidth="23256" windowHeight="12576" xr2:uid="{99470934-1934-4EBE-80A4-B8607DFC0BED}"/>
  </bookViews>
  <sheets>
    <sheet name="VIZ_DASHBOARD" sheetId="3" r:id="rId1"/>
    <sheet name="INSIGHTS" sheetId="1" r:id="rId2"/>
    <sheet name="BALANCE_SHEET" sheetId="2" r:id="rId3"/>
  </sheets>
  <definedNames>
    <definedName name="Slicer_YEAR">#N/A</definedName>
  </definedNames>
  <calcPr calcId="191029"/>
  <pivotCaches>
    <pivotCache cacheId="3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 i="2" l="1"/>
  <c r="D98" i="2"/>
  <c r="O97" i="2"/>
  <c r="O98" i="2" s="1"/>
  <c r="M97" i="2"/>
  <c r="M98" i="2" s="1"/>
  <c r="N98" i="2" s="1"/>
  <c r="L97" i="2"/>
  <c r="L98" i="2" s="1"/>
  <c r="K97" i="2"/>
  <c r="I97" i="2"/>
  <c r="I98" i="2" s="1"/>
  <c r="H97" i="2"/>
  <c r="H98" i="2" s="1"/>
  <c r="F97" i="2"/>
  <c r="F98" i="2" s="1"/>
  <c r="E97" i="2"/>
  <c r="E98" i="2" s="1"/>
  <c r="D97" i="2"/>
  <c r="N97" i="2" s="1"/>
  <c r="N96" i="2"/>
  <c r="J96" i="2"/>
  <c r="J97" i="2" s="1"/>
  <c r="G96" i="2"/>
  <c r="N95" i="2"/>
  <c r="J95" i="2"/>
  <c r="G95" i="2"/>
  <c r="N94" i="2"/>
  <c r="J94" i="2"/>
  <c r="G94" i="2"/>
  <c r="G97" i="2" s="1"/>
  <c r="N93" i="2"/>
  <c r="J93" i="2"/>
  <c r="J98" i="2" s="1"/>
  <c r="G93" i="2"/>
  <c r="G98" i="2" s="1"/>
  <c r="N92" i="2"/>
  <c r="J92" i="2"/>
  <c r="G92" i="2"/>
  <c r="F87" i="2" l="1"/>
  <c r="G87" i="2"/>
  <c r="H87" i="2"/>
  <c r="I87" i="2"/>
  <c r="J87" i="2"/>
  <c r="K87" i="2"/>
  <c r="E87" i="2"/>
  <c r="F86" i="2"/>
  <c r="G86" i="2"/>
  <c r="H86" i="2"/>
  <c r="I86" i="2"/>
  <c r="J86" i="2"/>
  <c r="K86" i="2"/>
  <c r="E86" i="2"/>
  <c r="F82" i="2"/>
  <c r="G82" i="2"/>
  <c r="H82" i="2"/>
  <c r="I82" i="2"/>
  <c r="J82" i="2"/>
  <c r="K82" i="2"/>
  <c r="E82" i="2"/>
  <c r="F81" i="2"/>
  <c r="G81" i="2"/>
  <c r="H81" i="2"/>
  <c r="I81" i="2"/>
  <c r="J81" i="2"/>
  <c r="K81" i="2"/>
  <c r="E81" i="2"/>
  <c r="F80" i="2"/>
  <c r="G80" i="2"/>
  <c r="H80" i="2"/>
  <c r="I80" i="2"/>
  <c r="J80" i="2"/>
  <c r="K80" i="2"/>
  <c r="E80" i="2"/>
  <c r="F79" i="2"/>
  <c r="G79" i="2"/>
  <c r="H79" i="2"/>
  <c r="I79" i="2"/>
  <c r="J79" i="2"/>
  <c r="K79" i="2"/>
  <c r="E79" i="2"/>
  <c r="F76" i="2"/>
  <c r="G76" i="2"/>
  <c r="H76" i="2"/>
  <c r="I76" i="2"/>
  <c r="J76" i="2"/>
  <c r="K76" i="2"/>
  <c r="E76" i="2"/>
  <c r="F75" i="2"/>
  <c r="G75" i="2"/>
  <c r="H75" i="2"/>
  <c r="I75" i="2"/>
  <c r="J75" i="2"/>
  <c r="K75" i="2"/>
  <c r="E75" i="2"/>
  <c r="F74" i="2"/>
  <c r="G74" i="2"/>
  <c r="H74" i="2"/>
  <c r="I74" i="2"/>
  <c r="J74" i="2"/>
  <c r="K74" i="2"/>
  <c r="E74" i="2"/>
  <c r="D71" i="2"/>
  <c r="F71" i="2"/>
  <c r="G71" i="2"/>
  <c r="H71" i="2"/>
  <c r="I71" i="2"/>
  <c r="J71" i="2"/>
  <c r="K71" i="2"/>
  <c r="E71" i="2"/>
  <c r="F66" i="2"/>
  <c r="G66" i="2"/>
  <c r="H66" i="2"/>
  <c r="I66" i="2"/>
  <c r="J66" i="2"/>
  <c r="K66" i="2"/>
  <c r="F67" i="2"/>
  <c r="G67" i="2"/>
  <c r="H67" i="2"/>
  <c r="I67" i="2"/>
  <c r="J67" i="2"/>
  <c r="K67" i="2"/>
  <c r="F68" i="2"/>
  <c r="G68" i="2"/>
  <c r="H68" i="2"/>
  <c r="I68" i="2"/>
  <c r="J68" i="2"/>
  <c r="K68" i="2"/>
  <c r="F69" i="2"/>
  <c r="G69" i="2"/>
  <c r="H69" i="2"/>
  <c r="I69" i="2"/>
  <c r="J69" i="2"/>
  <c r="K69" i="2"/>
  <c r="F70" i="2"/>
  <c r="G70" i="2"/>
  <c r="H70" i="2"/>
  <c r="I70" i="2"/>
  <c r="J70" i="2"/>
  <c r="K70" i="2"/>
  <c r="E70" i="2"/>
  <c r="E69" i="2"/>
  <c r="E68" i="2"/>
  <c r="E67" i="2"/>
  <c r="E66" i="2"/>
  <c r="B47" i="2"/>
  <c r="B36" i="2"/>
  <c r="B21" i="2"/>
  <c r="B6" i="2"/>
  <c r="O18" i="2"/>
  <c r="E52" i="2"/>
  <c r="F52" i="2"/>
  <c r="G52" i="2"/>
  <c r="H52" i="2"/>
  <c r="I52" i="2"/>
  <c r="E53" i="2"/>
  <c r="F53" i="2"/>
  <c r="G53" i="2"/>
  <c r="H53" i="2"/>
  <c r="I53" i="2"/>
  <c r="E55" i="2"/>
  <c r="F55" i="2"/>
  <c r="G55" i="2"/>
  <c r="H55" i="2"/>
  <c r="I55" i="2"/>
  <c r="E56" i="2"/>
  <c r="F56" i="2"/>
  <c r="G56" i="2"/>
  <c r="H56" i="2"/>
  <c r="I56" i="2"/>
  <c r="E58" i="2"/>
  <c r="F58" i="2"/>
  <c r="G58" i="2"/>
  <c r="H58" i="2"/>
  <c r="I58" i="2"/>
  <c r="E59" i="2"/>
  <c r="F59" i="2"/>
  <c r="G59" i="2"/>
  <c r="H59" i="2"/>
  <c r="I59" i="2"/>
  <c r="E60" i="2"/>
  <c r="F60" i="2"/>
  <c r="G60" i="2"/>
  <c r="H60" i="2"/>
  <c r="I60" i="2"/>
  <c r="E62" i="2"/>
  <c r="F62" i="2"/>
  <c r="G62" i="2"/>
  <c r="H62" i="2"/>
  <c r="I62" i="2"/>
  <c r="F51" i="2"/>
  <c r="G51" i="2"/>
  <c r="H51" i="2"/>
  <c r="I51" i="2"/>
  <c r="E51" i="2"/>
  <c r="E42" i="2"/>
  <c r="F42" i="2"/>
  <c r="G42" i="2"/>
  <c r="H42" i="2"/>
  <c r="I42" i="2"/>
  <c r="E43" i="2"/>
  <c r="F43" i="2"/>
  <c r="G43" i="2"/>
  <c r="H43" i="2"/>
  <c r="I43" i="2"/>
  <c r="E44" i="2"/>
  <c r="F44" i="2"/>
  <c r="G44" i="2"/>
  <c r="H44" i="2"/>
  <c r="I44" i="2"/>
  <c r="E39" i="2"/>
  <c r="F39" i="2"/>
  <c r="G39" i="2"/>
  <c r="H39" i="2"/>
  <c r="I39" i="2"/>
  <c r="E40" i="2"/>
  <c r="F40" i="2"/>
  <c r="G40" i="2"/>
  <c r="H40" i="2"/>
  <c r="I40" i="2"/>
  <c r="E41" i="2"/>
  <c r="F41" i="2"/>
  <c r="G41" i="2"/>
  <c r="H41" i="2"/>
  <c r="I41" i="2"/>
  <c r="F38" i="2"/>
  <c r="G38" i="2"/>
  <c r="H38" i="2"/>
  <c r="I38" i="2"/>
  <c r="E38" i="2"/>
  <c r="F37" i="2"/>
  <c r="G37" i="2"/>
  <c r="H37" i="2"/>
  <c r="I37" i="2"/>
  <c r="E37" i="2"/>
  <c r="G32" i="2"/>
  <c r="H32" i="2"/>
  <c r="I32" i="2"/>
  <c r="F32" i="2"/>
  <c r="F31" i="2"/>
  <c r="G31" i="2"/>
  <c r="H31" i="2"/>
  <c r="I31" i="2"/>
  <c r="E31" i="2"/>
  <c r="G30" i="2"/>
  <c r="H30" i="2"/>
  <c r="I30" i="2"/>
  <c r="F30" i="2"/>
  <c r="F29" i="2"/>
  <c r="G29" i="2"/>
  <c r="H29" i="2"/>
  <c r="I29" i="2"/>
  <c r="E29" i="2"/>
  <c r="F27" i="2"/>
  <c r="G27" i="2"/>
  <c r="H27" i="2"/>
  <c r="I27" i="2"/>
  <c r="E27" i="2"/>
  <c r="F26" i="2"/>
  <c r="G26" i="2"/>
  <c r="H26" i="2"/>
  <c r="I26" i="2"/>
  <c r="E26" i="2"/>
  <c r="F24" i="2"/>
  <c r="G24" i="2"/>
  <c r="H24" i="2"/>
  <c r="I24" i="2"/>
  <c r="E24" i="2"/>
  <c r="F23" i="2"/>
  <c r="G23" i="2"/>
  <c r="H23" i="2"/>
  <c r="I23" i="2"/>
  <c r="E23" i="2"/>
  <c r="H22" i="2"/>
  <c r="I22" i="2"/>
  <c r="G22" i="2"/>
  <c r="F22" i="2"/>
  <c r="J18" i="2"/>
  <c r="J30" i="2" s="1"/>
  <c r="E32" i="2"/>
  <c r="E30" i="2"/>
  <c r="E13" i="2"/>
  <c r="E57" i="2" s="1"/>
  <c r="E10" i="2"/>
  <c r="E54" i="2" s="1"/>
  <c r="F17" i="2"/>
  <c r="O27" i="2" s="1"/>
  <c r="G17" i="2"/>
  <c r="O28" i="2" s="1"/>
  <c r="H17" i="2"/>
  <c r="O29" i="2" s="1"/>
  <c r="I17" i="2"/>
  <c r="O30" i="2" s="1"/>
  <c r="E17" i="2"/>
  <c r="O26" i="2" s="1"/>
  <c r="J16" i="2"/>
  <c r="K16" i="2" s="1"/>
  <c r="K60" i="2" s="1"/>
  <c r="O21" i="2"/>
  <c r="O20" i="2"/>
  <c r="O19" i="2"/>
  <c r="AJ18" i="2"/>
  <c r="O17" i="2"/>
  <c r="J15" i="2"/>
  <c r="J59" i="2" s="1"/>
  <c r="O12" i="2"/>
  <c r="O11" i="2"/>
  <c r="O10" i="2"/>
  <c r="O9" i="2"/>
  <c r="O8" i="2"/>
  <c r="J12" i="2"/>
  <c r="K12" i="2" s="1"/>
  <c r="K56" i="2" s="1"/>
  <c r="J14" i="2"/>
  <c r="K14" i="2" s="1"/>
  <c r="K58" i="2" s="1"/>
  <c r="J11" i="2"/>
  <c r="K11" i="2" s="1"/>
  <c r="J9" i="2"/>
  <c r="K9" i="2" s="1"/>
  <c r="K53" i="2" s="1"/>
  <c r="J8" i="2"/>
  <c r="K8" i="2" s="1"/>
  <c r="K52" i="2" s="1"/>
  <c r="K7" i="2"/>
  <c r="K37" i="2" s="1"/>
  <c r="J7" i="2"/>
  <c r="J37" i="2" s="1"/>
  <c r="F13" i="2"/>
  <c r="F57" i="2" s="1"/>
  <c r="G13" i="2"/>
  <c r="G57" i="2" s="1"/>
  <c r="H13" i="2"/>
  <c r="H57" i="2" s="1"/>
  <c r="I13" i="2"/>
  <c r="I57" i="2" s="1"/>
  <c r="F10" i="2"/>
  <c r="F54" i="2" s="1"/>
  <c r="G10" i="2"/>
  <c r="G54" i="2" s="1"/>
  <c r="H10" i="2"/>
  <c r="H54" i="2" s="1"/>
  <c r="I10" i="2"/>
  <c r="I54" i="2" s="1"/>
  <c r="K40" i="2" l="1"/>
  <c r="J58" i="2"/>
  <c r="J52" i="2"/>
  <c r="J51" i="2"/>
  <c r="J60" i="2"/>
  <c r="J53" i="2"/>
  <c r="J62" i="2"/>
  <c r="I61" i="2"/>
  <c r="K55" i="2"/>
  <c r="K51" i="2"/>
  <c r="H61" i="2"/>
  <c r="J55" i="2"/>
  <c r="E61" i="2"/>
  <c r="G61" i="2"/>
  <c r="J56" i="2"/>
  <c r="F61" i="2"/>
  <c r="K38" i="2"/>
  <c r="J43" i="2"/>
  <c r="K41" i="2"/>
  <c r="J44" i="2"/>
  <c r="K39" i="2"/>
  <c r="K42" i="2"/>
  <c r="J40" i="2"/>
  <c r="J39" i="2"/>
  <c r="J41" i="2"/>
  <c r="J38" i="2"/>
  <c r="J42" i="2"/>
  <c r="J29" i="2"/>
  <c r="K27" i="2"/>
  <c r="J23" i="2"/>
  <c r="H33" i="2"/>
  <c r="J31" i="2"/>
  <c r="K22" i="2"/>
  <c r="J22" i="2"/>
  <c r="K29" i="2"/>
  <c r="F33" i="2"/>
  <c r="K26" i="2"/>
  <c r="J27" i="2"/>
  <c r="K24" i="2"/>
  <c r="J26" i="2"/>
  <c r="K23" i="2"/>
  <c r="J24" i="2"/>
  <c r="K32" i="2"/>
  <c r="I33" i="2"/>
  <c r="J32" i="2"/>
  <c r="G33" i="2"/>
  <c r="K18" i="2"/>
  <c r="K62" i="2" s="1"/>
  <c r="E33" i="2"/>
  <c r="O22" i="2"/>
  <c r="O13" i="2"/>
  <c r="J17" i="2"/>
  <c r="J61" i="2" s="1"/>
  <c r="K15" i="2"/>
  <c r="K59" i="2" s="1"/>
  <c r="K17" i="2"/>
  <c r="J13" i="2"/>
  <c r="J10" i="2"/>
  <c r="O32" i="2" l="1"/>
  <c r="K61" i="2"/>
  <c r="K10" i="2"/>
  <c r="K54" i="2" s="1"/>
  <c r="J54" i="2"/>
  <c r="K13" i="2"/>
  <c r="K57" i="2" s="1"/>
  <c r="J57" i="2"/>
  <c r="O23" i="2"/>
  <c r="K43" i="2"/>
  <c r="K30" i="2"/>
  <c r="K44" i="2"/>
  <c r="J33" i="2"/>
  <c r="K33" i="2"/>
  <c r="K31" i="2"/>
  <c r="O31" i="2"/>
  <c r="O14" i="2"/>
</calcChain>
</file>

<file path=xl/sharedStrings.xml><?xml version="1.0" encoding="utf-8"?>
<sst xmlns="http://schemas.openxmlformats.org/spreadsheetml/2006/main" count="94" uniqueCount="49">
  <si>
    <t>TOTAL ASSET</t>
  </si>
  <si>
    <t>TOTAL LIABILITY</t>
  </si>
  <si>
    <t>SHARE HOLDERS EQUITY</t>
  </si>
  <si>
    <t>DEBT TO EQUITY RATIO</t>
  </si>
  <si>
    <t xml:space="preserve">CURRENT RATIO </t>
  </si>
  <si>
    <t>RETUN ON EQUITY</t>
  </si>
  <si>
    <t>YEAR</t>
  </si>
  <si>
    <t>DEBT-TO-ASSET-RATIO</t>
  </si>
  <si>
    <t>PRICE-TO-BOOK VALUE</t>
  </si>
  <si>
    <t>CURRENT ASSET</t>
  </si>
  <si>
    <t>CURRENT LIABILITY</t>
  </si>
  <si>
    <t>RETAINED EARNING</t>
  </si>
  <si>
    <t>NET INCOME</t>
  </si>
  <si>
    <t>TOTAL DEBT</t>
  </si>
  <si>
    <t>SHARES OUTSTANDING</t>
  </si>
  <si>
    <t>BOOK VALUE PER SHARE</t>
  </si>
  <si>
    <t>INR  (CRORES)</t>
  </si>
  <si>
    <t>NA</t>
  </si>
  <si>
    <t>BALANCE SHEET</t>
  </si>
  <si>
    <t>(*All values in crore. Except debt equity ratio and current ratio)</t>
  </si>
  <si>
    <t>TOTAL ASSET  GROWTH YOY</t>
  </si>
  <si>
    <t>TOTAL LIABILITY GROWTH YOY</t>
  </si>
  <si>
    <t>S H E GROWRH YOY</t>
  </si>
  <si>
    <t>D E R GROWTH YOY</t>
  </si>
  <si>
    <t>CURRENT ASSET GROWTH YOY</t>
  </si>
  <si>
    <t>CURRENT LIABILITY GROWTH YOY</t>
  </si>
  <si>
    <t>CURRENT RATIO GROWTH YOY</t>
  </si>
  <si>
    <t>RETAINED EARNING GROWTH YOY</t>
  </si>
  <si>
    <t>NET INCOME GROWTH YOY</t>
  </si>
  <si>
    <t>TOTAL DEBT GROWTH YOY</t>
  </si>
  <si>
    <t>SHARES OUTSTANDING GROWTH YOY</t>
  </si>
  <si>
    <t>TATA STEEL BALANCE SHEET FORCASTING- 2024-2026</t>
  </si>
  <si>
    <t>TATA STEEL</t>
  </si>
  <si>
    <t>COSTING ANALYSIS</t>
  </si>
  <si>
    <t>#</t>
  </si>
  <si>
    <t>TOTAL</t>
  </si>
  <si>
    <t>AVERAGE</t>
  </si>
  <si>
    <t>WEIGHTED AVERAGE</t>
  </si>
  <si>
    <t>MEDIAN</t>
  </si>
  <si>
    <t>MIN</t>
  </si>
  <si>
    <t>MAX</t>
  </si>
  <si>
    <t>SMALL</t>
  </si>
  <si>
    <t>LARGE</t>
  </si>
  <si>
    <t xml:space="preserve">PROFITABILITY </t>
  </si>
  <si>
    <t>IF &lt;200000</t>
  </si>
  <si>
    <t>IF &gt;=200000</t>
  </si>
  <si>
    <t>Row Labels</t>
  </si>
  <si>
    <t>Grand Total</t>
  </si>
  <si>
    <t xml:space="preserve"> TOTAL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</si>
</sst>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9" tint="-0.499984740745262"/>
      <name val="Calibri"/>
      <family val="2"/>
      <scheme val="minor"/>
    </font>
    <font>
      <sz val="11"/>
      <color rgb="FF0000FF"/>
      <name val="Arial"/>
      <family val="2"/>
    </font>
    <font>
      <sz val="11"/>
      <color rgb="FF0000FF"/>
      <name val="Calibri"/>
      <family val="2"/>
      <scheme val="minor"/>
    </font>
    <font>
      <sz val="11"/>
      <color theme="1" tint="0.14999847407452621"/>
      <name val="Arial"/>
      <family val="2"/>
    </font>
    <font>
      <b/>
      <sz val="11"/>
      <color rgb="FF0070C0"/>
      <name val="Calibri"/>
      <family val="2"/>
      <scheme val="minor"/>
    </font>
    <font>
      <sz val="11"/>
      <color rgb="FF0070C0"/>
      <name val="Calibri"/>
      <family val="2"/>
      <scheme val="minor"/>
    </font>
    <font>
      <sz val="11"/>
      <color rgb="FF0070C0"/>
      <name val="Arial"/>
      <family val="2"/>
    </font>
    <font>
      <b/>
      <sz val="18"/>
      <color rgb="FF0070C0"/>
      <name val="Calibri"/>
      <family val="2"/>
      <scheme val="minor"/>
    </font>
    <font>
      <b/>
      <sz val="11"/>
      <color theme="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right/>
      <top/>
      <bottom style="medium">
        <color theme="4" tint="0.3999755851924192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style="thin">
        <color theme="4" tint="0.39994506668294322"/>
      </top>
      <bottom style="double">
        <color theme="4" tint="0.39994506668294322"/>
      </bottom>
      <diagonal/>
    </border>
    <border>
      <left/>
      <right/>
      <top style="thin">
        <color theme="4" tint="0.39994506668294322"/>
      </top>
      <bottom style="double">
        <color theme="4" tint="0.39994506668294322"/>
      </bottom>
      <diagonal/>
    </border>
    <border>
      <left/>
      <right/>
      <top style="thin">
        <color auto="1"/>
      </top>
      <bottom style="double">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92">
    <xf numFmtId="0" fontId="0" fillId="0" borderId="0" xfId="0"/>
    <xf numFmtId="0" fontId="4" fillId="0" borderId="0" xfId="0" applyFont="1"/>
    <xf numFmtId="4" fontId="0" fillId="0" borderId="0" xfId="0" applyNumberFormat="1"/>
    <xf numFmtId="0" fontId="2" fillId="0" borderId="1" xfId="2" applyAlignment="1">
      <alignment horizontal="left" vertical="top"/>
    </xf>
    <xf numFmtId="4" fontId="2" fillId="0" borderId="1" xfId="2" applyNumberFormat="1" applyAlignment="1">
      <alignment horizontal="left" vertical="top"/>
    </xf>
    <xf numFmtId="2" fontId="2" fillId="0" borderId="1" xfId="2" applyNumberFormat="1" applyAlignment="1">
      <alignment horizontal="left" vertical="top"/>
    </xf>
    <xf numFmtId="0" fontId="3" fillId="0" borderId="0" xfId="0" applyFont="1" applyAlignment="1">
      <alignment horizontal="left"/>
    </xf>
    <xf numFmtId="0" fontId="0" fillId="0" borderId="0" xfId="0" applyAlignment="1">
      <alignment horizontal="left"/>
    </xf>
    <xf numFmtId="0" fontId="0" fillId="2" borderId="0" xfId="0" applyFill="1" applyAlignment="1">
      <alignment horizontal="left"/>
    </xf>
    <xf numFmtId="0" fontId="0" fillId="0" borderId="0" xfId="0" applyAlignment="1">
      <alignment horizontal="center"/>
    </xf>
    <xf numFmtId="0" fontId="0" fillId="0" borderId="0" xfId="0" applyAlignment="1">
      <alignment horizontal="left" indent="3"/>
    </xf>
    <xf numFmtId="0" fontId="2" fillId="0" borderId="1" xfId="2" applyNumberFormat="1" applyAlignment="1">
      <alignment horizontal="left" vertical="top"/>
    </xf>
    <xf numFmtId="4" fontId="5" fillId="0" borderId="0" xfId="0" applyNumberFormat="1" applyFont="1" applyAlignment="1">
      <alignment horizontal="left"/>
    </xf>
    <xf numFmtId="0" fontId="3" fillId="0" borderId="0" xfId="0" applyFont="1"/>
    <xf numFmtId="9" fontId="0" fillId="0" borderId="0" xfId="1" applyFont="1"/>
    <xf numFmtId="4" fontId="0" fillId="2" borderId="4" xfId="0" applyNumberFormat="1" applyFill="1" applyBorder="1" applyAlignment="1">
      <alignment horizontal="left"/>
    </xf>
    <xf numFmtId="4" fontId="0" fillId="2" borderId="5" xfId="0" applyNumberFormat="1" applyFill="1" applyBorder="1" applyAlignment="1">
      <alignment horizontal="left"/>
    </xf>
    <xf numFmtId="0" fontId="0" fillId="3" borderId="0" xfId="0" applyFill="1"/>
    <xf numFmtId="0" fontId="2" fillId="3" borderId="1" xfId="2" applyFill="1" applyAlignment="1">
      <alignment horizontal="left" vertical="top"/>
    </xf>
    <xf numFmtId="4" fontId="0" fillId="2" borderId="0" xfId="0" applyNumberFormat="1" applyFill="1" applyAlignment="1">
      <alignment horizontal="left"/>
    </xf>
    <xf numFmtId="4" fontId="2" fillId="2" borderId="1" xfId="2" applyNumberFormat="1" applyFill="1" applyAlignment="1">
      <alignment horizontal="left" vertical="top"/>
    </xf>
    <xf numFmtId="2" fontId="0" fillId="0" borderId="0" xfId="0" applyNumberFormat="1" applyAlignment="1">
      <alignment horizontal="center"/>
    </xf>
    <xf numFmtId="2" fontId="0" fillId="2" borderId="0" xfId="0" applyNumberFormat="1" applyFill="1" applyAlignment="1">
      <alignment horizontal="center"/>
    </xf>
    <xf numFmtId="10" fontId="0" fillId="0" borderId="0" xfId="0" applyNumberFormat="1"/>
    <xf numFmtId="4" fontId="6" fillId="0" borderId="0" xfId="0" applyNumberFormat="1" applyFont="1" applyAlignment="1">
      <alignment horizontal="right"/>
    </xf>
    <xf numFmtId="0" fontId="2" fillId="0" borderId="0" xfId="2" applyBorder="1" applyAlignment="1">
      <alignment horizontal="left" vertical="top"/>
    </xf>
    <xf numFmtId="4" fontId="2" fillId="0" borderId="0" xfId="2" applyNumberFormat="1" applyBorder="1" applyAlignment="1">
      <alignment horizontal="left" vertical="top"/>
    </xf>
    <xf numFmtId="4" fontId="2" fillId="2" borderId="0" xfId="2" applyNumberFormat="1" applyFill="1" applyBorder="1" applyAlignment="1">
      <alignment horizontal="left" vertical="top"/>
    </xf>
    <xf numFmtId="0" fontId="3" fillId="0" borderId="7" xfId="0" applyFont="1" applyBorder="1" applyAlignment="1">
      <alignment horizontal="left"/>
    </xf>
    <xf numFmtId="0" fontId="1" fillId="0" borderId="7" xfId="0" applyFont="1" applyBorder="1" applyAlignment="1">
      <alignment horizontal="left"/>
    </xf>
    <xf numFmtId="4" fontId="0" fillId="2" borderId="7" xfId="0" applyNumberFormat="1" applyFill="1" applyBorder="1" applyAlignment="1">
      <alignment horizontal="left"/>
    </xf>
    <xf numFmtId="4" fontId="0" fillId="2" borderId="6" xfId="0" applyNumberFormat="1" applyFill="1" applyBorder="1" applyAlignment="1">
      <alignment horizontal="left"/>
    </xf>
    <xf numFmtId="0" fontId="2" fillId="0" borderId="8" xfId="2" applyBorder="1" applyAlignment="1">
      <alignment horizontal="left" vertical="top"/>
    </xf>
    <xf numFmtId="0" fontId="0" fillId="0" borderId="8" xfId="0" applyBorder="1"/>
    <xf numFmtId="4" fontId="6" fillId="0" borderId="8" xfId="0" applyNumberFormat="1" applyFont="1" applyBorder="1" applyAlignment="1">
      <alignment horizontal="right"/>
    </xf>
    <xf numFmtId="9" fontId="0" fillId="0" borderId="8" xfId="1" applyFont="1" applyBorder="1"/>
    <xf numFmtId="0" fontId="0" fillId="4" borderId="0" xfId="0" applyFill="1"/>
    <xf numFmtId="0" fontId="3" fillId="4" borderId="0" xfId="0" applyFont="1" applyFill="1"/>
    <xf numFmtId="9" fontId="3" fillId="4" borderId="0" xfId="1" applyFont="1" applyFill="1"/>
    <xf numFmtId="0" fontId="6" fillId="0" borderId="0" xfId="0" applyFont="1"/>
    <xf numFmtId="4" fontId="7" fillId="0" borderId="0" xfId="0" applyNumberFormat="1" applyFont="1" applyAlignment="1">
      <alignment horizontal="center"/>
    </xf>
    <xf numFmtId="0" fontId="8" fillId="0" borderId="0" xfId="0" applyFont="1"/>
    <xf numFmtId="0" fontId="9" fillId="0" borderId="0" xfId="0" applyFont="1"/>
    <xf numFmtId="0" fontId="8" fillId="3" borderId="1" xfId="2" applyFont="1" applyFill="1" applyAlignment="1">
      <alignment horizontal="left" vertical="top"/>
    </xf>
    <xf numFmtId="0" fontId="8" fillId="3" borderId="2" xfId="0" applyFont="1" applyFill="1" applyBorder="1" applyAlignment="1">
      <alignment horizontal="left"/>
    </xf>
    <xf numFmtId="0" fontId="8" fillId="3" borderId="3" xfId="0" applyFont="1" applyFill="1" applyBorder="1" applyAlignment="1">
      <alignment horizontal="left"/>
    </xf>
    <xf numFmtId="0" fontId="9" fillId="4" borderId="0" xfId="0" applyFont="1" applyFill="1" applyAlignment="1">
      <alignment horizontal="center"/>
    </xf>
    <xf numFmtId="4" fontId="8" fillId="0" borderId="1" xfId="2" applyNumberFormat="1" applyFont="1" applyFill="1" applyAlignment="1">
      <alignment horizontal="left" vertical="top"/>
    </xf>
    <xf numFmtId="4" fontId="8" fillId="0" borderId="1" xfId="2" applyNumberFormat="1" applyFont="1" applyFill="1" applyAlignment="1">
      <alignment horizontal="left" vertical="top" wrapText="1"/>
    </xf>
    <xf numFmtId="4" fontId="8" fillId="0" borderId="1" xfId="2" applyNumberFormat="1" applyFont="1" applyAlignment="1">
      <alignment horizontal="left" vertical="top"/>
    </xf>
    <xf numFmtId="0" fontId="9" fillId="0" borderId="0" xfId="0" applyFont="1" applyAlignment="1">
      <alignment horizontal="center"/>
    </xf>
    <xf numFmtId="0" fontId="9" fillId="2" borderId="0" xfId="0" applyFont="1" applyFill="1" applyAlignment="1">
      <alignment horizontal="center"/>
    </xf>
    <xf numFmtId="0" fontId="8" fillId="0" borderId="1" xfId="2" applyFont="1" applyAlignment="1">
      <alignment horizontal="left" vertical="top"/>
    </xf>
    <xf numFmtId="4" fontId="10" fillId="0" borderId="0" xfId="0" applyNumberFormat="1" applyFont="1" applyAlignment="1">
      <alignment horizontal="left"/>
    </xf>
    <xf numFmtId="0" fontId="8" fillId="3" borderId="0" xfId="0" applyFont="1" applyFill="1"/>
    <xf numFmtId="0" fontId="8" fillId="0" borderId="1" xfId="2" applyNumberFormat="1" applyFont="1" applyAlignment="1">
      <alignment horizontal="left" vertical="top"/>
    </xf>
    <xf numFmtId="0" fontId="8" fillId="0" borderId="0" xfId="2" applyFont="1" applyFill="1" applyBorder="1" applyAlignment="1">
      <alignment horizontal="left" vertical="top"/>
    </xf>
    <xf numFmtId="0" fontId="8" fillId="0" borderId="0" xfId="2" applyFont="1" applyBorder="1" applyAlignment="1">
      <alignment horizontal="left" vertical="top"/>
    </xf>
    <xf numFmtId="0" fontId="8" fillId="0" borderId="7" xfId="0" applyFont="1" applyBorder="1" applyAlignment="1">
      <alignment horizontal="left"/>
    </xf>
    <xf numFmtId="4" fontId="10" fillId="0" borderId="7" xfId="0" applyNumberFormat="1" applyFont="1" applyBorder="1" applyAlignment="1">
      <alignment horizontal="left"/>
    </xf>
    <xf numFmtId="0" fontId="9" fillId="0" borderId="0" xfId="0" applyFont="1" applyAlignment="1">
      <alignment horizontal="right"/>
    </xf>
    <xf numFmtId="2" fontId="9" fillId="0" borderId="0" xfId="0" applyNumberFormat="1" applyFont="1"/>
    <xf numFmtId="4" fontId="9" fillId="0" borderId="0" xfId="0" applyNumberFormat="1" applyFont="1"/>
    <xf numFmtId="0" fontId="8" fillId="0" borderId="0" xfId="0" applyFont="1" applyAlignment="1">
      <alignment horizontal="left"/>
    </xf>
    <xf numFmtId="0" fontId="8" fillId="0" borderId="8" xfId="2" applyFont="1" applyBorder="1" applyAlignment="1">
      <alignment horizontal="left" vertical="top"/>
    </xf>
    <xf numFmtId="0" fontId="9" fillId="4" borderId="0" xfId="0" applyFont="1" applyFill="1"/>
    <xf numFmtId="0" fontId="8" fillId="4" borderId="0" xfId="2" applyFont="1" applyFill="1" applyBorder="1" applyAlignment="1">
      <alignment horizontal="left" vertical="top"/>
    </xf>
    <xf numFmtId="0" fontId="8" fillId="4" borderId="0" xfId="0" applyFont="1" applyFill="1"/>
    <xf numFmtId="10" fontId="8" fillId="0" borderId="0" xfId="0" applyNumberFormat="1" applyFont="1"/>
    <xf numFmtId="0" fontId="11" fillId="0" borderId="0" xfId="0" applyFont="1"/>
    <xf numFmtId="0" fontId="3" fillId="0" borderId="9" xfId="0" applyFont="1" applyBorder="1"/>
    <xf numFmtId="0" fontId="0" fillId="0" borderId="9" xfId="0" applyBorder="1"/>
    <xf numFmtId="4" fontId="3" fillId="0" borderId="9" xfId="0" applyNumberFormat="1" applyFont="1" applyBorder="1"/>
    <xf numFmtId="0" fontId="0" fillId="0" borderId="10" xfId="0" applyBorder="1"/>
    <xf numFmtId="0" fontId="8" fillId="0" borderId="10" xfId="2" applyNumberFormat="1" applyFont="1" applyBorder="1" applyAlignment="1">
      <alignment horizontal="left" vertical="top"/>
    </xf>
    <xf numFmtId="0" fontId="8" fillId="0" borderId="10" xfId="2" applyFont="1" applyBorder="1" applyAlignment="1">
      <alignment horizontal="left" vertical="top"/>
    </xf>
    <xf numFmtId="0" fontId="8" fillId="0" borderId="10" xfId="2" applyFont="1" applyFill="1" applyBorder="1" applyAlignment="1">
      <alignment horizontal="left" vertical="top"/>
    </xf>
    <xf numFmtId="0" fontId="8" fillId="0" borderId="10" xfId="0" applyFont="1" applyBorder="1" applyAlignment="1">
      <alignment horizontal="left"/>
    </xf>
    <xf numFmtId="0" fontId="8" fillId="3" borderId="10" xfId="2" applyFont="1" applyFill="1" applyBorder="1" applyAlignment="1">
      <alignment horizontal="left" vertical="top"/>
    </xf>
    <xf numFmtId="4" fontId="8" fillId="0" borderId="10" xfId="2" applyNumberFormat="1" applyFont="1" applyFill="1" applyBorder="1" applyAlignment="1">
      <alignment horizontal="left" vertical="top"/>
    </xf>
    <xf numFmtId="4" fontId="8" fillId="0" borderId="10" xfId="2" applyNumberFormat="1" applyFont="1" applyBorder="1" applyAlignment="1">
      <alignment horizontal="left" vertical="top"/>
    </xf>
    <xf numFmtId="2" fontId="2" fillId="0" borderId="10" xfId="2" applyNumberFormat="1" applyBorder="1" applyAlignment="1">
      <alignment horizontal="left" vertical="top"/>
    </xf>
    <xf numFmtId="4" fontId="10" fillId="0" borderId="10" xfId="0" applyNumberFormat="1" applyFont="1" applyBorder="1" applyAlignment="1">
      <alignment horizontal="left"/>
    </xf>
    <xf numFmtId="4" fontId="2" fillId="0" borderId="10" xfId="2" applyNumberFormat="1" applyBorder="1" applyAlignment="1">
      <alignment horizontal="left" vertical="top"/>
    </xf>
    <xf numFmtId="4" fontId="8" fillId="0" borderId="10" xfId="2" applyNumberFormat="1" applyFont="1" applyFill="1" applyBorder="1" applyAlignment="1">
      <alignment horizontal="left" vertical="top" wrapText="1"/>
    </xf>
    <xf numFmtId="0" fontId="8" fillId="3" borderId="10" xfId="0" applyFont="1" applyFill="1" applyBorder="1" applyAlignment="1">
      <alignment horizontal="left"/>
    </xf>
    <xf numFmtId="4" fontId="0" fillId="2" borderId="10" xfId="0" applyNumberFormat="1" applyFill="1" applyBorder="1" applyAlignment="1">
      <alignment horizontal="left"/>
    </xf>
    <xf numFmtId="0" fontId="0" fillId="2" borderId="10" xfId="0" applyFill="1" applyBorder="1" applyAlignment="1">
      <alignment horizontal="left"/>
    </xf>
    <xf numFmtId="4" fontId="2" fillId="2" borderId="10" xfId="2" applyNumberFormat="1" applyFill="1" applyBorder="1" applyAlignment="1">
      <alignment horizontal="left" vertical="top"/>
    </xf>
    <xf numFmtId="0" fontId="0" fillId="0" borderId="0" xfId="0" applyNumberFormat="1"/>
    <xf numFmtId="0" fontId="0" fillId="0" borderId="0" xfId="0" pivotButton="1"/>
    <xf numFmtId="0" fontId="12" fillId="0" borderId="0" xfId="0" applyFont="1"/>
  </cellXfs>
  <cellStyles count="3">
    <cellStyle name="Heading 3" xfId="2" builtinId="18"/>
    <cellStyle name="Normal" xfId="0" builtinId="0"/>
    <cellStyle name="Per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8424603704197"/>
          <c:y val="7.310701728321696E-2"/>
          <c:w val="0.82969642450834291"/>
          <c:h val="0.76285465210185921"/>
        </c:manualLayout>
      </c:layout>
      <c:barChart>
        <c:barDir val="col"/>
        <c:grouping val="clustered"/>
        <c:varyColors val="0"/>
        <c:ser>
          <c:idx val="0"/>
          <c:order val="0"/>
          <c:tx>
            <c:v>Series1</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249149.12</c:v>
              </c:pt>
              <c:pt idx="1">
                <c:v>243909.19</c:v>
              </c:pt>
              <c:pt idx="2">
                <c:v>282421.67</c:v>
              </c:pt>
              <c:pt idx="3">
                <c:v>285395.78000000003</c:v>
              </c:pt>
              <c:pt idx="4">
                <c:v>269312.42</c:v>
              </c:pt>
              <c:pt idx="5">
                <c:v>290581.59300000034</c:v>
              </c:pt>
              <c:pt idx="6">
                <c:v>298762.91200000048</c:v>
              </c:pt>
            </c:numLit>
          </c:val>
          <c:extLst>
            <c:ext xmlns:c16="http://schemas.microsoft.com/office/drawing/2014/chart" uri="{C3380CC4-5D6E-409C-BE32-E72D297353CC}">
              <c16:uniqueId val="{00000000-85C7-4359-9B11-DBB105EE1FB0}"/>
            </c:ext>
          </c:extLst>
        </c:ser>
        <c:dLbls>
          <c:showLegendKey val="0"/>
          <c:showVal val="0"/>
          <c:showCatName val="0"/>
          <c:showSerName val="0"/>
          <c:showPercent val="0"/>
          <c:showBubbleSize val="0"/>
        </c:dLbls>
        <c:gapWidth val="219"/>
        <c:overlap val="-27"/>
        <c:axId val="924155440"/>
        <c:axId val="924155920"/>
      </c:barChart>
      <c:catAx>
        <c:axId val="92415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24155920"/>
        <c:crosses val="autoZero"/>
        <c:auto val="1"/>
        <c:lblAlgn val="ctr"/>
        <c:lblOffset val="100"/>
        <c:noMultiLvlLbl val="0"/>
      </c:catAx>
      <c:valAx>
        <c:axId val="92415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92415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901700"/>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58732.72</c:v>
              </c:pt>
              <c:pt idx="1">
                <c:v>60211.9</c:v>
              </c:pt>
              <c:pt idx="2">
                <c:v>92556.61</c:v>
              </c:pt>
              <c:pt idx="3">
                <c:v>86606.14</c:v>
              </c:pt>
              <c:pt idx="4">
                <c:v>70503.58</c:v>
              </c:pt>
              <c:pt idx="5">
                <c:v>88702.977999998257</c:v>
              </c:pt>
              <c:pt idx="6">
                <c:v>90194.979399997741</c:v>
              </c:pt>
            </c:numLit>
          </c:val>
          <c:extLst>
            <c:ext xmlns:c16="http://schemas.microsoft.com/office/drawing/2014/chart" uri="{C3380CC4-5D6E-409C-BE32-E72D297353CC}">
              <c16:uniqueId val="{00000000-E357-4327-9384-46DD7DF3909C}"/>
            </c:ext>
          </c:extLst>
        </c:ser>
        <c:dLbls>
          <c:showLegendKey val="0"/>
          <c:showVal val="0"/>
          <c:showCatName val="0"/>
          <c:showSerName val="0"/>
          <c:showPercent val="0"/>
          <c:showBubbleSize val="0"/>
        </c:dLbls>
        <c:gapWidth val="219"/>
        <c:overlap val="-27"/>
        <c:axId val="1355197552"/>
        <c:axId val="1355194672"/>
      </c:barChart>
      <c:catAx>
        <c:axId val="135519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55194672"/>
        <c:crosses val="autoZero"/>
        <c:auto val="1"/>
        <c:lblAlgn val="ctr"/>
        <c:lblOffset val="100"/>
        <c:noMultiLvlLbl val="0"/>
      </c:catAx>
      <c:valAx>
        <c:axId val="135519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35519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76162.899999999994</c:v>
              </c:pt>
              <c:pt idx="1">
                <c:v>77508.45</c:v>
              </c:pt>
              <c:pt idx="2">
                <c:v>117098.46</c:v>
              </c:pt>
              <c:pt idx="3">
                <c:v>105175.21</c:v>
              </c:pt>
              <c:pt idx="4">
                <c:v>92432.74</c:v>
              </c:pt>
              <c:pt idx="5">
                <c:v>111737.48399999924</c:v>
              </c:pt>
              <c:pt idx="6">
                <c:v>113928.17319999821</c:v>
              </c:pt>
            </c:numLit>
          </c:val>
          <c:extLst>
            <c:ext xmlns:c16="http://schemas.microsoft.com/office/drawing/2014/chart" uri="{C3380CC4-5D6E-409C-BE32-E72D297353CC}">
              <c16:uniqueId val="{00000000-99D5-4467-813B-58101A30AD64}"/>
            </c:ext>
          </c:extLst>
        </c:ser>
        <c:dLbls>
          <c:showLegendKey val="0"/>
          <c:showVal val="0"/>
          <c:showCatName val="0"/>
          <c:showSerName val="0"/>
          <c:showPercent val="0"/>
          <c:showBubbleSize val="0"/>
        </c:dLbls>
        <c:gapWidth val="219"/>
        <c:overlap val="-27"/>
        <c:axId val="1346896704"/>
        <c:axId val="1346895264"/>
      </c:barChart>
      <c:catAx>
        <c:axId val="13468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346895264"/>
        <c:crosses val="autoZero"/>
        <c:auto val="1"/>
        <c:lblAlgn val="ctr"/>
        <c:lblOffset val="100"/>
        <c:noMultiLvlLbl val="0"/>
      </c:catAx>
      <c:valAx>
        <c:axId val="134689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134689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61660.91</c:v>
              </c:pt>
              <c:pt idx="1">
                <c:v>70867.13</c:v>
              </c:pt>
              <c:pt idx="2">
                <c:v>90588</c:v>
              </c:pt>
              <c:pt idx="3">
                <c:v>97295.13</c:v>
              </c:pt>
              <c:pt idx="4">
                <c:v>98403.48</c:v>
              </c:pt>
              <c:pt idx="5">
                <c:v>113736.87200000137</c:v>
              </c:pt>
              <c:pt idx="6">
                <c:v>122244.61160000414</c:v>
              </c:pt>
            </c:numLit>
          </c:val>
          <c:extLst>
            <c:ext xmlns:c16="http://schemas.microsoft.com/office/drawing/2014/chart" uri="{C3380CC4-5D6E-409C-BE32-E72D297353CC}">
              <c16:uniqueId val="{00000000-26B5-47B8-AB3C-DD7A2C08873A}"/>
            </c:ext>
          </c:extLst>
        </c:ser>
        <c:dLbls>
          <c:showLegendKey val="0"/>
          <c:showVal val="0"/>
          <c:showCatName val="0"/>
          <c:showSerName val="0"/>
          <c:showPercent val="0"/>
          <c:showBubbleSize val="0"/>
        </c:dLbls>
        <c:gapWidth val="219"/>
        <c:overlap val="-27"/>
        <c:axId val="1356637456"/>
        <c:axId val="1356656176"/>
      </c:barChart>
      <c:catAx>
        <c:axId val="13566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56656176"/>
        <c:crosses val="autoZero"/>
        <c:auto val="1"/>
        <c:lblAlgn val="ctr"/>
        <c:lblOffset val="100"/>
        <c:noMultiLvlLbl val="0"/>
      </c:catAx>
      <c:valAx>
        <c:axId val="135665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5663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[tata_steel_forecasting.arj.xlsx]BALANCE_SHEET!PivotTable7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BALANCE_SHEET!$C$151</c:f>
              <c:strCache>
                <c:ptCount val="1"/>
                <c:pt idx="0">
                  <c:v>Total</c:v>
                </c:pt>
              </c:strCache>
            </c:strRef>
          </c:tx>
          <c:spPr>
            <a:solidFill>
              <a:schemeClr val="accent1"/>
            </a:solidFill>
            <a:ln>
              <a:noFill/>
            </a:ln>
            <a:effectLst/>
          </c:spPr>
          <c:invertIfNegative val="0"/>
          <c:cat>
            <c:strRef>
              <c:f>BALANCE_SHEET!$B$152:$B$159</c:f>
              <c:strCache>
                <c:ptCount val="7"/>
                <c:pt idx="0">
                  <c:v>2020</c:v>
                </c:pt>
                <c:pt idx="1">
                  <c:v>2021</c:v>
                </c:pt>
                <c:pt idx="2">
                  <c:v>2022</c:v>
                </c:pt>
                <c:pt idx="3">
                  <c:v>2023</c:v>
                </c:pt>
                <c:pt idx="4">
                  <c:v>2024</c:v>
                </c:pt>
                <c:pt idx="5">
                  <c:v>2025</c:v>
                </c:pt>
                <c:pt idx="6">
                  <c:v>2026</c:v>
                </c:pt>
              </c:strCache>
            </c:strRef>
          </c:cat>
          <c:val>
            <c:numRef>
              <c:f>BALANCE_SHEET!$C$152:$C$159</c:f>
              <c:numCache>
                <c:formatCode>General</c:formatCode>
                <c:ptCount val="7"/>
                <c:pt idx="0">
                  <c:v>40767</c:v>
                </c:pt>
                <c:pt idx="1">
                  <c:v>88501.41</c:v>
                </c:pt>
                <c:pt idx="2">
                  <c:v>75561.350000000006</c:v>
                </c:pt>
                <c:pt idx="3">
                  <c:v>84893.05</c:v>
                </c:pt>
                <c:pt idx="4">
                  <c:v>87082.12</c:v>
                </c:pt>
                <c:pt idx="5">
                  <c:v>102067.55000000075</c:v>
                </c:pt>
                <c:pt idx="6">
                  <c:v>110969.73800000176</c:v>
                </c:pt>
              </c:numCache>
            </c:numRef>
          </c:val>
          <c:extLst>
            <c:ext xmlns:c16="http://schemas.microsoft.com/office/drawing/2014/chart" uri="{C3380CC4-5D6E-409C-BE32-E72D297353CC}">
              <c16:uniqueId val="{00000000-0E6E-45AA-9583-E0A0E9FEBEAF}"/>
            </c:ext>
          </c:extLst>
        </c:ser>
        <c:dLbls>
          <c:showLegendKey val="0"/>
          <c:showVal val="0"/>
          <c:showCatName val="0"/>
          <c:showSerName val="0"/>
          <c:showPercent val="0"/>
          <c:showBubbleSize val="0"/>
        </c:dLbls>
        <c:gapWidth val="219"/>
        <c:overlap val="-27"/>
        <c:axId val="354332272"/>
        <c:axId val="1356435920"/>
      </c:barChart>
      <c:catAx>
        <c:axId val="3543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56435920"/>
        <c:crosses val="autoZero"/>
        <c:auto val="1"/>
        <c:lblAlgn val="ctr"/>
        <c:lblOffset val="100"/>
        <c:noMultiLvlLbl val="0"/>
      </c:catAx>
      <c:valAx>
        <c:axId val="135643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433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32214.68</c:v>
              </c:pt>
              <c:pt idx="1">
                <c:v>33126.82</c:v>
              </c:pt>
              <c:pt idx="2">
                <c:v>72824.05</c:v>
              </c:pt>
              <c:pt idx="3">
                <c:v>65348.27</c:v>
              </c:pt>
              <c:pt idx="4">
                <c:v>90788.32</c:v>
              </c:pt>
              <c:pt idx="5">
                <c:v>103671.04699999839</c:v>
              </c:pt>
              <c:pt idx="6">
                <c:v>120867.51859999821</c:v>
              </c:pt>
            </c:numLit>
          </c:val>
          <c:extLst>
            <c:ext xmlns:c16="http://schemas.microsoft.com/office/drawing/2014/chart" uri="{C3380CC4-5D6E-409C-BE32-E72D297353CC}">
              <c16:uniqueId val="{00000000-3C51-4824-AA22-6832ED621F3D}"/>
            </c:ext>
          </c:extLst>
        </c:ser>
        <c:dLbls>
          <c:showLegendKey val="0"/>
          <c:showVal val="0"/>
          <c:showCatName val="0"/>
          <c:showSerName val="0"/>
          <c:showPercent val="0"/>
          <c:showBubbleSize val="0"/>
        </c:dLbls>
        <c:gapWidth val="219"/>
        <c:overlap val="-27"/>
        <c:axId val="358849856"/>
        <c:axId val="358848896"/>
      </c:barChart>
      <c:catAx>
        <c:axId val="3588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8848896"/>
        <c:crosses val="autoZero"/>
        <c:auto val="1"/>
        <c:lblAlgn val="ctr"/>
        <c:lblOffset val="100"/>
        <c:noMultiLvlLbl val="0"/>
      </c:catAx>
      <c:valAx>
        <c:axId val="358848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884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28768507749569"/>
          <c:y val="4.2294472687153042E-2"/>
          <c:w val="0.76536615836696198"/>
          <c:h val="0.88421826698766581"/>
        </c:manualLayout>
      </c:layout>
      <c:barChart>
        <c:barDir val="col"/>
        <c:grouping val="clustered"/>
        <c:varyColors val="0"/>
        <c:ser>
          <c:idx val="0"/>
          <c:order val="0"/>
          <c:tx>
            <c:v>Total</c:v>
          </c:tx>
          <c:spPr>
            <a:solidFill>
              <a:schemeClr val="accent1"/>
            </a:solidFill>
            <a:ln>
              <a:noFill/>
            </a:ln>
            <a:effectLst/>
          </c:spPr>
          <c:invertIfNegative val="0"/>
          <c:cat>
            <c:strLit>
              <c:ptCount val="7"/>
              <c:pt idx="0">
                <c:v>2020</c:v>
              </c:pt>
              <c:pt idx="1">
                <c:v>2021</c:v>
              </c:pt>
              <c:pt idx="2">
                <c:v>2022</c:v>
              </c:pt>
              <c:pt idx="3">
                <c:v>2023</c:v>
              </c:pt>
              <c:pt idx="4">
                <c:v>2024</c:v>
              </c:pt>
              <c:pt idx="5">
                <c:v>2025</c:v>
              </c:pt>
              <c:pt idx="6">
                <c:v>2026</c:v>
              </c:pt>
            </c:strLit>
          </c:cat>
          <c:val>
            <c:numLit>
              <c:formatCode>General</c:formatCode>
              <c:ptCount val="7"/>
              <c:pt idx="0">
                <c:v>1556.54</c:v>
              </c:pt>
              <c:pt idx="1">
                <c:v>7490.22</c:v>
              </c:pt>
              <c:pt idx="2">
                <c:v>40153.93</c:v>
              </c:pt>
              <c:pt idx="3">
                <c:v>8760.4</c:v>
              </c:pt>
              <c:pt idx="4">
                <c:v>-4437.4399999999996</c:v>
              </c:pt>
              <c:pt idx="5">
                <c:v>7489.3959999997169</c:v>
              </c:pt>
              <c:pt idx="6">
                <c:v>6417.6179999997839</c:v>
              </c:pt>
            </c:numLit>
          </c:val>
          <c:extLst>
            <c:ext xmlns:c16="http://schemas.microsoft.com/office/drawing/2014/chart" uri="{C3380CC4-5D6E-409C-BE32-E72D297353CC}">
              <c16:uniqueId val="{00000000-0CF0-49F4-B5A7-7182A99BBD79}"/>
            </c:ext>
          </c:extLst>
        </c:ser>
        <c:dLbls>
          <c:showLegendKey val="0"/>
          <c:showVal val="0"/>
          <c:showCatName val="0"/>
          <c:showSerName val="0"/>
          <c:showPercent val="0"/>
          <c:showBubbleSize val="0"/>
        </c:dLbls>
        <c:gapWidth val="150"/>
        <c:axId val="1356644176"/>
        <c:axId val="1356644656"/>
      </c:barChart>
      <c:catAx>
        <c:axId val="13566441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56644656"/>
        <c:crosses val="autoZero"/>
        <c:auto val="1"/>
        <c:lblAlgn val="ctr"/>
        <c:lblOffset val="100"/>
        <c:noMultiLvlLbl val="0"/>
      </c:catAx>
      <c:valAx>
        <c:axId val="135664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664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04855643044616"/>
          <c:y val="0.14249781277340332"/>
          <c:w val="0.48804265091863519"/>
          <c:h val="0.75010279965004378"/>
        </c:manualLayout>
      </c:layout>
      <c:barChart>
        <c:barDir val="bar"/>
        <c:grouping val="clustered"/>
        <c:varyColors val="0"/>
        <c:ser>
          <c:idx val="0"/>
          <c:order val="0"/>
          <c:tx>
            <c:v>Series1</c:v>
          </c:tx>
          <c:spPr>
            <a:solidFill>
              <a:schemeClr val="accent1"/>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249149.12</c:v>
              </c:pt>
              <c:pt idx="1">
                <c:v>243909.19</c:v>
              </c:pt>
              <c:pt idx="2">
                <c:v>282421.67</c:v>
              </c:pt>
              <c:pt idx="3">
                <c:v>285395.78000000003</c:v>
              </c:pt>
              <c:pt idx="4">
                <c:v>269312.42</c:v>
              </c:pt>
              <c:pt idx="5">
                <c:v>290581.59300000034</c:v>
              </c:pt>
              <c:pt idx="6">
                <c:v>298762.91200000048</c:v>
              </c:pt>
            </c:numLit>
          </c:val>
          <c:extLst>
            <c:ext xmlns:c16="http://schemas.microsoft.com/office/drawing/2014/chart" uri="{C3380CC4-5D6E-409C-BE32-E72D297353CC}">
              <c16:uniqueId val="{00000000-23E7-408F-8AA5-0008946C25B4}"/>
            </c:ext>
          </c:extLst>
        </c:ser>
        <c:ser>
          <c:idx val="1"/>
          <c:order val="1"/>
          <c:tx>
            <c:v>Series2</c:v>
          </c:tx>
          <c:spPr>
            <a:solidFill>
              <a:schemeClr val="accent2"/>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172986.22</c:v>
              </c:pt>
              <c:pt idx="1">
                <c:v>166400.74</c:v>
              </c:pt>
              <c:pt idx="2">
                <c:v>165323.21</c:v>
              </c:pt>
              <c:pt idx="3">
                <c:v>180220.57</c:v>
              </c:pt>
              <c:pt idx="4">
                <c:v>176879.68</c:v>
              </c:pt>
              <c:pt idx="5">
                <c:v>178844.10899999924</c:v>
              </c:pt>
              <c:pt idx="6">
                <c:v>184466.62419999857</c:v>
              </c:pt>
            </c:numLit>
          </c:val>
          <c:extLst>
            <c:ext xmlns:c16="http://schemas.microsoft.com/office/drawing/2014/chart" uri="{C3380CC4-5D6E-409C-BE32-E72D297353CC}">
              <c16:uniqueId val="{00000001-23E7-408F-8AA5-0008946C25B4}"/>
            </c:ext>
          </c:extLst>
        </c:ser>
        <c:ser>
          <c:idx val="2"/>
          <c:order val="2"/>
          <c:tx>
            <c:v>Series3</c:v>
          </c:tx>
          <c:spPr>
            <a:solidFill>
              <a:schemeClr val="accent3"/>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76162.899999999994</c:v>
              </c:pt>
              <c:pt idx="1">
                <c:v>77508.45</c:v>
              </c:pt>
              <c:pt idx="2">
                <c:v>117098.46</c:v>
              </c:pt>
              <c:pt idx="3">
                <c:v>105175.21</c:v>
              </c:pt>
              <c:pt idx="4">
                <c:v>92432.74</c:v>
              </c:pt>
              <c:pt idx="5">
                <c:v>111737.48399999924</c:v>
              </c:pt>
              <c:pt idx="6">
                <c:v>113928.17319999821</c:v>
              </c:pt>
            </c:numLit>
          </c:val>
          <c:extLst>
            <c:ext xmlns:c16="http://schemas.microsoft.com/office/drawing/2014/chart" uri="{C3380CC4-5D6E-409C-BE32-E72D297353CC}">
              <c16:uniqueId val="{00000002-23E7-408F-8AA5-0008946C25B4}"/>
            </c:ext>
          </c:extLst>
        </c:ser>
        <c:ser>
          <c:idx val="3"/>
          <c:order val="3"/>
          <c:tx>
            <c:v>Series4</c:v>
          </c:tx>
          <c:spPr>
            <a:solidFill>
              <a:schemeClr val="accent4"/>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58732.72</c:v>
              </c:pt>
              <c:pt idx="1">
                <c:v>60211.9</c:v>
              </c:pt>
              <c:pt idx="2">
                <c:v>92556.61</c:v>
              </c:pt>
              <c:pt idx="3">
                <c:v>86606.14</c:v>
              </c:pt>
              <c:pt idx="4">
                <c:v>70503.58</c:v>
              </c:pt>
              <c:pt idx="5">
                <c:v>88702.977999998257</c:v>
              </c:pt>
              <c:pt idx="6">
                <c:v>90194.979399997741</c:v>
              </c:pt>
            </c:numLit>
          </c:val>
          <c:extLst>
            <c:ext xmlns:c16="http://schemas.microsoft.com/office/drawing/2014/chart" uri="{C3380CC4-5D6E-409C-BE32-E72D297353CC}">
              <c16:uniqueId val="{00000003-23E7-408F-8AA5-0008946C25B4}"/>
            </c:ext>
          </c:extLst>
        </c:ser>
        <c:ser>
          <c:idx val="4"/>
          <c:order val="4"/>
          <c:tx>
            <c:v>Series5</c:v>
          </c:tx>
          <c:spPr>
            <a:solidFill>
              <a:schemeClr val="accent5"/>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61660.91</c:v>
              </c:pt>
              <c:pt idx="1">
                <c:v>70867.13</c:v>
              </c:pt>
              <c:pt idx="2">
                <c:v>90588</c:v>
              </c:pt>
              <c:pt idx="3">
                <c:v>97295.13</c:v>
              </c:pt>
              <c:pt idx="4">
                <c:v>98403.48</c:v>
              </c:pt>
              <c:pt idx="5">
                <c:v>113736.87200000137</c:v>
              </c:pt>
              <c:pt idx="6">
                <c:v>122244.61160000414</c:v>
              </c:pt>
            </c:numLit>
          </c:val>
          <c:extLst>
            <c:ext xmlns:c16="http://schemas.microsoft.com/office/drawing/2014/chart" uri="{C3380CC4-5D6E-409C-BE32-E72D297353CC}">
              <c16:uniqueId val="{00000004-23E7-408F-8AA5-0008946C25B4}"/>
            </c:ext>
          </c:extLst>
        </c:ser>
        <c:ser>
          <c:idx val="5"/>
          <c:order val="5"/>
          <c:tx>
            <c:v>Series6</c:v>
          </c:tx>
          <c:spPr>
            <a:solidFill>
              <a:schemeClr val="accent6"/>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1556.54</c:v>
              </c:pt>
              <c:pt idx="1">
                <c:v>7490.22</c:v>
              </c:pt>
              <c:pt idx="2">
                <c:v>40153.93</c:v>
              </c:pt>
              <c:pt idx="3">
                <c:v>8760.4</c:v>
              </c:pt>
              <c:pt idx="4">
                <c:v>-4437.4399999999996</c:v>
              </c:pt>
              <c:pt idx="5">
                <c:v>7489.3959999997169</c:v>
              </c:pt>
              <c:pt idx="6">
                <c:v>6417.6179999997839</c:v>
              </c:pt>
            </c:numLit>
          </c:val>
          <c:extLst>
            <c:ext xmlns:c16="http://schemas.microsoft.com/office/drawing/2014/chart" uri="{C3380CC4-5D6E-409C-BE32-E72D297353CC}">
              <c16:uniqueId val="{00000005-23E7-408F-8AA5-0008946C25B4}"/>
            </c:ext>
          </c:extLst>
        </c:ser>
        <c:ser>
          <c:idx val="6"/>
          <c:order val="6"/>
          <c:tx>
            <c:v>Series7</c:v>
          </c:tx>
          <c:spPr>
            <a:solidFill>
              <a:schemeClr val="accent1">
                <a:lumMod val="60000"/>
              </a:schemeClr>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1203.33</c:v>
              </c:pt>
              <c:pt idx="1">
                <c:v>1204.52</c:v>
              </c:pt>
              <c:pt idx="2">
                <c:v>1221.57</c:v>
              </c:pt>
              <c:pt idx="3">
                <c:v>1221.24</c:v>
              </c:pt>
              <c:pt idx="4">
                <c:v>1247.43</c:v>
              </c:pt>
              <c:pt idx="5">
                <c:v>1251.094000000001</c:v>
              </c:pt>
              <c:pt idx="6">
                <c:v>1261.586000000003</c:v>
              </c:pt>
            </c:numLit>
          </c:val>
          <c:extLst>
            <c:ext xmlns:c16="http://schemas.microsoft.com/office/drawing/2014/chart" uri="{C3380CC4-5D6E-409C-BE32-E72D297353CC}">
              <c16:uniqueId val="{00000006-23E7-408F-8AA5-0008946C25B4}"/>
            </c:ext>
          </c:extLst>
        </c:ser>
        <c:ser>
          <c:idx val="7"/>
          <c:order val="7"/>
          <c:tx>
            <c:v>Series8</c:v>
          </c:tx>
          <c:spPr>
            <a:solidFill>
              <a:schemeClr val="accent2">
                <a:lumMod val="60000"/>
              </a:schemeClr>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40767</c:v>
              </c:pt>
              <c:pt idx="1">
                <c:v>88501.41</c:v>
              </c:pt>
              <c:pt idx="2">
                <c:v>75561.350000000006</c:v>
              </c:pt>
              <c:pt idx="3">
                <c:v>84893.05</c:v>
              </c:pt>
              <c:pt idx="4">
                <c:v>87082.12</c:v>
              </c:pt>
              <c:pt idx="5">
                <c:v>102067.55000000075</c:v>
              </c:pt>
              <c:pt idx="6">
                <c:v>110969.73800000176</c:v>
              </c:pt>
            </c:numLit>
          </c:val>
          <c:extLst>
            <c:ext xmlns:c16="http://schemas.microsoft.com/office/drawing/2014/chart" uri="{C3380CC4-5D6E-409C-BE32-E72D297353CC}">
              <c16:uniqueId val="{00000007-23E7-408F-8AA5-0008946C25B4}"/>
            </c:ext>
          </c:extLst>
        </c:ser>
        <c:ser>
          <c:idx val="8"/>
          <c:order val="8"/>
          <c:tx>
            <c:v>Series9</c:v>
          </c:tx>
          <c:spPr>
            <a:solidFill>
              <a:schemeClr val="accent3">
                <a:lumMod val="60000"/>
              </a:schemeClr>
            </a:solidFill>
            <a:ln>
              <a:noFill/>
            </a:ln>
            <a:effectLst/>
          </c:spPr>
          <c:invertIfNegative val="0"/>
          <c:cat>
            <c:strLit>
              <c:ptCount val="7"/>
              <c:pt idx="0">
                <c:v>1</c:v>
              </c:pt>
              <c:pt idx="1">
                <c:v>2</c:v>
              </c:pt>
              <c:pt idx="2">
                <c:v>3</c:v>
              </c:pt>
              <c:pt idx="3">
                <c:v>4</c:v>
              </c:pt>
              <c:pt idx="4">
                <c:v>5</c:v>
              </c:pt>
              <c:pt idx="5">
                <c:v>6</c:v>
              </c:pt>
              <c:pt idx="6">
                <c:v>7</c:v>
              </c:pt>
            </c:strLit>
          </c:cat>
          <c:val>
            <c:numLit>
              <c:formatCode>General</c:formatCode>
              <c:ptCount val="7"/>
              <c:pt idx="0">
                <c:v>32214.68</c:v>
              </c:pt>
              <c:pt idx="1">
                <c:v>33126.82</c:v>
              </c:pt>
              <c:pt idx="2">
                <c:v>72824.05</c:v>
              </c:pt>
              <c:pt idx="3">
                <c:v>65348.27</c:v>
              </c:pt>
              <c:pt idx="4">
                <c:v>90788.32</c:v>
              </c:pt>
              <c:pt idx="5">
                <c:v>103671.04699999839</c:v>
              </c:pt>
              <c:pt idx="6">
                <c:v>120867.51859999821</c:v>
              </c:pt>
            </c:numLit>
          </c:val>
          <c:extLst>
            <c:ext xmlns:c16="http://schemas.microsoft.com/office/drawing/2014/chart" uri="{C3380CC4-5D6E-409C-BE32-E72D297353CC}">
              <c16:uniqueId val="{00000008-23E7-408F-8AA5-0008946C25B4}"/>
            </c:ext>
          </c:extLst>
        </c:ser>
        <c:dLbls>
          <c:showLegendKey val="0"/>
          <c:showVal val="0"/>
          <c:showCatName val="0"/>
          <c:showSerName val="0"/>
          <c:showPercent val="0"/>
          <c:showBubbleSize val="0"/>
        </c:dLbls>
        <c:gapWidth val="219"/>
        <c:axId val="222997584"/>
        <c:axId val="223000464"/>
      </c:barChart>
      <c:catAx>
        <c:axId val="22299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23000464"/>
        <c:crosses val="autoZero"/>
        <c:auto val="1"/>
        <c:lblAlgn val="ctr"/>
        <c:lblOffset val="100"/>
        <c:noMultiLvlLbl val="0"/>
      </c:catAx>
      <c:valAx>
        <c:axId val="223000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en-US"/>
          </a:p>
        </c:txPr>
        <c:crossAx val="222997584"/>
        <c:crosses val="autoZero"/>
        <c:crossBetween val="between"/>
      </c:valAx>
      <c:spPr>
        <a:noFill/>
        <a:ln>
          <a:noFill/>
        </a:ln>
        <a:effectLst/>
      </c:spPr>
    </c:plotArea>
    <c:legend>
      <c:legendPos val="r"/>
      <c:layout>
        <c:manualLayout>
          <c:xMode val="edge"/>
          <c:yMode val="edge"/>
          <c:x val="0.69009120734908136"/>
          <c:y val="0.11689523184601924"/>
          <c:w val="0.29324212598425198"/>
          <c:h val="0.86241068824730238"/>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microsoft.com/office/2007/relationships/hdphoto" Target="../media/hdphoto2.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472440</xdr:colOff>
      <xdr:row>42</xdr:row>
      <xdr:rowOff>7620</xdr:rowOff>
    </xdr:to>
    <xdr:pic>
      <xdr:nvPicPr>
        <xdr:cNvPr id="12" name="Picture 11">
          <a:extLst>
            <a:ext uri="{FF2B5EF4-FFF2-40B4-BE49-F238E27FC236}">
              <a16:creationId xmlns:a16="http://schemas.microsoft.com/office/drawing/2014/main" id="{1FF5A8CE-AA52-3CAB-B3B8-3DA393009C2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35000"/>
                  </a14:imgEffect>
                  <a14:imgEffect>
                    <a14:brightnessContrast bright="-68000" contrast="-5000"/>
                  </a14:imgEffect>
                </a14:imgLayer>
              </a14:imgProps>
            </a:ext>
            <a:ext uri="{28A0092B-C50C-407E-A947-70E740481C1C}">
              <a14:useLocalDpi xmlns:a14="http://schemas.microsoft.com/office/drawing/2010/main" val="0"/>
            </a:ext>
          </a:extLst>
        </a:blip>
        <a:stretch>
          <a:fillRect/>
        </a:stretch>
      </xdr:blipFill>
      <xdr:spPr>
        <a:xfrm>
          <a:off x="0" y="0"/>
          <a:ext cx="14493240" cy="7688580"/>
        </a:xfrm>
        <a:prstGeom prst="rect">
          <a:avLst/>
        </a:prstGeom>
      </xdr:spPr>
    </xdr:pic>
    <xdr:clientData/>
  </xdr:twoCellAnchor>
  <xdr:twoCellAnchor>
    <xdr:from>
      <xdr:col>5</xdr:col>
      <xdr:colOff>298912</xdr:colOff>
      <xdr:row>0</xdr:row>
      <xdr:rowOff>22860</xdr:rowOff>
    </xdr:from>
    <xdr:to>
      <xdr:col>10</xdr:col>
      <xdr:colOff>426720</xdr:colOff>
      <xdr:row>1</xdr:row>
      <xdr:rowOff>167640</xdr:rowOff>
    </xdr:to>
    <xdr:sp macro="" textlink="">
      <xdr:nvSpPr>
        <xdr:cNvPr id="14" name="Rectangle: Rounded Corners 13">
          <a:extLst>
            <a:ext uri="{FF2B5EF4-FFF2-40B4-BE49-F238E27FC236}">
              <a16:creationId xmlns:a16="http://schemas.microsoft.com/office/drawing/2014/main" id="{CFBAAC92-4614-5525-0DFE-8D5A2747703D}"/>
            </a:ext>
          </a:extLst>
        </xdr:cNvPr>
        <xdr:cNvSpPr/>
      </xdr:nvSpPr>
      <xdr:spPr>
        <a:xfrm>
          <a:off x="3346912" y="22860"/>
          <a:ext cx="3175808" cy="3276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rgbClr val="FFFF00"/>
              </a:solidFill>
              <a:effectLst>
                <a:outerShdw blurRad="38100" dist="19050" dir="2700000" algn="tl" rotWithShape="0">
                  <a:schemeClr val="dk1">
                    <a:alpha val="40000"/>
                  </a:schemeClr>
                </a:outerShdw>
              </a:effectLst>
            </a:rPr>
            <a:t>BALANCE SHEET FORECASTING OF TATA-STEEL</a:t>
          </a:r>
        </a:p>
      </xdr:txBody>
    </xdr:sp>
    <xdr:clientData/>
  </xdr:twoCellAnchor>
  <xdr:twoCellAnchor>
    <xdr:from>
      <xdr:col>0</xdr:col>
      <xdr:colOff>93172</xdr:colOff>
      <xdr:row>0</xdr:row>
      <xdr:rowOff>76200</xdr:rowOff>
    </xdr:from>
    <xdr:to>
      <xdr:col>5</xdr:col>
      <xdr:colOff>160020</xdr:colOff>
      <xdr:row>13</xdr:row>
      <xdr:rowOff>160020</xdr:rowOff>
    </xdr:to>
    <xdr:sp macro="" textlink="">
      <xdr:nvSpPr>
        <xdr:cNvPr id="15" name="Rectangle: Rounded Corners 14">
          <a:extLst>
            <a:ext uri="{FF2B5EF4-FFF2-40B4-BE49-F238E27FC236}">
              <a16:creationId xmlns:a16="http://schemas.microsoft.com/office/drawing/2014/main" id="{9A697876-A098-6EF7-80BE-23A25CFF6F49}"/>
            </a:ext>
          </a:extLst>
        </xdr:cNvPr>
        <xdr:cNvSpPr/>
      </xdr:nvSpPr>
      <xdr:spPr>
        <a:xfrm>
          <a:off x="93172" y="76200"/>
          <a:ext cx="3114848" cy="24612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0</xdr:col>
      <xdr:colOff>121920</xdr:colOff>
      <xdr:row>14</xdr:row>
      <xdr:rowOff>22860</xdr:rowOff>
    </xdr:from>
    <xdr:to>
      <xdr:col>5</xdr:col>
      <xdr:colOff>83820</xdr:colOff>
      <xdr:row>26</xdr:row>
      <xdr:rowOff>121920</xdr:rowOff>
    </xdr:to>
    <xdr:sp macro="" textlink="">
      <xdr:nvSpPr>
        <xdr:cNvPr id="16" name="Rectangle: Rounded Corners 15">
          <a:extLst>
            <a:ext uri="{FF2B5EF4-FFF2-40B4-BE49-F238E27FC236}">
              <a16:creationId xmlns:a16="http://schemas.microsoft.com/office/drawing/2014/main" id="{AF86802C-30A1-0663-25C5-7E53F5FE789B}"/>
            </a:ext>
          </a:extLst>
        </xdr:cNvPr>
        <xdr:cNvSpPr/>
      </xdr:nvSpPr>
      <xdr:spPr>
        <a:xfrm>
          <a:off x="121920" y="2583180"/>
          <a:ext cx="3009900" cy="22936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243840</xdr:colOff>
      <xdr:row>2</xdr:row>
      <xdr:rowOff>15240</xdr:rowOff>
    </xdr:from>
    <xdr:to>
      <xdr:col>10</xdr:col>
      <xdr:colOff>266700</xdr:colOff>
      <xdr:row>13</xdr:row>
      <xdr:rowOff>83820</xdr:rowOff>
    </xdr:to>
    <xdr:sp macro="" textlink="">
      <xdr:nvSpPr>
        <xdr:cNvPr id="21" name="Rectangle: Rounded Corners 20">
          <a:extLst>
            <a:ext uri="{FF2B5EF4-FFF2-40B4-BE49-F238E27FC236}">
              <a16:creationId xmlns:a16="http://schemas.microsoft.com/office/drawing/2014/main" id="{FFCAF9D0-288C-722B-0CB2-A17EC8EC76EB}"/>
            </a:ext>
          </a:extLst>
        </xdr:cNvPr>
        <xdr:cNvSpPr/>
      </xdr:nvSpPr>
      <xdr:spPr>
        <a:xfrm>
          <a:off x="3291840" y="381000"/>
          <a:ext cx="3070860" cy="208026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6</xdr:col>
      <xdr:colOff>321772</xdr:colOff>
      <xdr:row>2</xdr:row>
      <xdr:rowOff>137160</xdr:rowOff>
    </xdr:from>
    <xdr:to>
      <xdr:col>12</xdr:col>
      <xdr:colOff>342900</xdr:colOff>
      <xdr:row>14</xdr:row>
      <xdr:rowOff>152400</xdr:rowOff>
    </xdr:to>
    <xdr:sp macro="" textlink="">
      <xdr:nvSpPr>
        <xdr:cNvPr id="22" name="Rectangle: Rounded Corners 21">
          <a:extLst>
            <a:ext uri="{FF2B5EF4-FFF2-40B4-BE49-F238E27FC236}">
              <a16:creationId xmlns:a16="http://schemas.microsoft.com/office/drawing/2014/main" id="{C5790AE5-A3EC-1AA6-66B3-5C098B3D66C3}"/>
            </a:ext>
          </a:extLst>
        </xdr:cNvPr>
        <xdr:cNvSpPr/>
      </xdr:nvSpPr>
      <xdr:spPr>
        <a:xfrm>
          <a:off x="3979372" y="502920"/>
          <a:ext cx="3678728" cy="2209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0</xdr:col>
      <xdr:colOff>213360</xdr:colOff>
      <xdr:row>1</xdr:row>
      <xdr:rowOff>68580</xdr:rowOff>
    </xdr:from>
    <xdr:to>
      <xdr:col>4</xdr:col>
      <xdr:colOff>472440</xdr:colOff>
      <xdr:row>12</xdr:row>
      <xdr:rowOff>76200</xdr:rowOff>
    </xdr:to>
    <xdr:graphicFrame macro="">
      <xdr:nvGraphicFramePr>
        <xdr:cNvPr id="23" name="Chart 22">
          <a:extLst>
            <a:ext uri="{FF2B5EF4-FFF2-40B4-BE49-F238E27FC236}">
              <a16:creationId xmlns:a16="http://schemas.microsoft.com/office/drawing/2014/main" id="{D25C8B9F-DB92-42B7-A59C-52FDF410F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1</xdr:row>
      <xdr:rowOff>129540</xdr:rowOff>
    </xdr:from>
    <xdr:to>
      <xdr:col>15</xdr:col>
      <xdr:colOff>274320</xdr:colOff>
      <xdr:row>13</xdr:row>
      <xdr:rowOff>144780</xdr:rowOff>
    </xdr:to>
    <xdr:sp macro="" textlink="">
      <xdr:nvSpPr>
        <xdr:cNvPr id="31" name="Rectangle: Rounded Corners 30">
          <a:extLst>
            <a:ext uri="{FF2B5EF4-FFF2-40B4-BE49-F238E27FC236}">
              <a16:creationId xmlns:a16="http://schemas.microsoft.com/office/drawing/2014/main" id="{022359CB-ECDB-4EDF-BF2C-F690CC5D39B8}"/>
            </a:ext>
          </a:extLst>
        </xdr:cNvPr>
        <xdr:cNvSpPr/>
      </xdr:nvSpPr>
      <xdr:spPr>
        <a:xfrm>
          <a:off x="6408420" y="312420"/>
          <a:ext cx="3009900" cy="22098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192232</xdr:colOff>
      <xdr:row>13</xdr:row>
      <xdr:rowOff>167640</xdr:rowOff>
    </xdr:from>
    <xdr:to>
      <xdr:col>10</xdr:col>
      <xdr:colOff>220980</xdr:colOff>
      <xdr:row>26</xdr:row>
      <xdr:rowOff>121920</xdr:rowOff>
    </xdr:to>
    <xdr:sp macro="" textlink="">
      <xdr:nvSpPr>
        <xdr:cNvPr id="32" name="Rectangle: Rounded Corners 31">
          <a:extLst>
            <a:ext uri="{FF2B5EF4-FFF2-40B4-BE49-F238E27FC236}">
              <a16:creationId xmlns:a16="http://schemas.microsoft.com/office/drawing/2014/main" id="{AC3A3BB1-6328-463A-BA40-137833F9179C}"/>
            </a:ext>
          </a:extLst>
        </xdr:cNvPr>
        <xdr:cNvSpPr/>
      </xdr:nvSpPr>
      <xdr:spPr>
        <a:xfrm>
          <a:off x="3240232" y="2545080"/>
          <a:ext cx="3076748" cy="23317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5</xdr:col>
      <xdr:colOff>312420</xdr:colOff>
      <xdr:row>2</xdr:row>
      <xdr:rowOff>15239</xdr:rowOff>
    </xdr:from>
    <xdr:to>
      <xdr:col>10</xdr:col>
      <xdr:colOff>137160</xdr:colOff>
      <xdr:row>13</xdr:row>
      <xdr:rowOff>45720</xdr:rowOff>
    </xdr:to>
    <xdr:graphicFrame macro="">
      <xdr:nvGraphicFramePr>
        <xdr:cNvPr id="33" name="Chart 32">
          <a:extLst>
            <a:ext uri="{FF2B5EF4-FFF2-40B4-BE49-F238E27FC236}">
              <a16:creationId xmlns:a16="http://schemas.microsoft.com/office/drawing/2014/main" id="{F08719C2-EF71-47C2-B1DE-3CF6A802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365760</xdr:colOff>
      <xdr:row>2</xdr:row>
      <xdr:rowOff>76201</xdr:rowOff>
    </xdr:from>
    <xdr:to>
      <xdr:col>14</xdr:col>
      <xdr:colOff>601980</xdr:colOff>
      <xdr:row>14</xdr:row>
      <xdr:rowOff>30481</xdr:rowOff>
    </xdr:to>
    <xdr:graphicFrame macro="">
      <xdr:nvGraphicFramePr>
        <xdr:cNvPr id="34" name="Chart 33">
          <a:extLst>
            <a:ext uri="{FF2B5EF4-FFF2-40B4-BE49-F238E27FC236}">
              <a16:creationId xmlns:a16="http://schemas.microsoft.com/office/drawing/2014/main" id="{AA4CE61F-7058-435B-9920-1CFAD899B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129541</xdr:colOff>
      <xdr:row>14</xdr:row>
      <xdr:rowOff>144780</xdr:rowOff>
    </xdr:from>
    <xdr:to>
      <xdr:col>5</xdr:col>
      <xdr:colOff>1</xdr:colOff>
      <xdr:row>26</xdr:row>
      <xdr:rowOff>103254</xdr:rowOff>
    </xdr:to>
    <xdr:graphicFrame macro="">
      <xdr:nvGraphicFramePr>
        <xdr:cNvPr id="35" name="Chart 34">
          <a:extLst>
            <a:ext uri="{FF2B5EF4-FFF2-40B4-BE49-F238E27FC236}">
              <a16:creationId xmlns:a16="http://schemas.microsoft.com/office/drawing/2014/main" id="{AD414951-4430-444E-BFF8-55005CA7C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297181</xdr:colOff>
      <xdr:row>15</xdr:row>
      <xdr:rowOff>15240</xdr:rowOff>
    </xdr:from>
    <xdr:to>
      <xdr:col>10</xdr:col>
      <xdr:colOff>15240</xdr:colOff>
      <xdr:row>26</xdr:row>
      <xdr:rowOff>107449</xdr:rowOff>
    </xdr:to>
    <xdr:graphicFrame macro="">
      <xdr:nvGraphicFramePr>
        <xdr:cNvPr id="36" name="Chart 35">
          <a:extLst>
            <a:ext uri="{FF2B5EF4-FFF2-40B4-BE49-F238E27FC236}">
              <a16:creationId xmlns:a16="http://schemas.microsoft.com/office/drawing/2014/main" id="{B950DEBA-22CB-442F-8A36-C48C8E87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268432</xdr:colOff>
      <xdr:row>14</xdr:row>
      <xdr:rowOff>30480</xdr:rowOff>
    </xdr:from>
    <xdr:to>
      <xdr:col>15</xdr:col>
      <xdr:colOff>297180</xdr:colOff>
      <xdr:row>26</xdr:row>
      <xdr:rowOff>167640</xdr:rowOff>
    </xdr:to>
    <xdr:sp macro="" textlink="">
      <xdr:nvSpPr>
        <xdr:cNvPr id="37" name="Rectangle: Rounded Corners 36">
          <a:extLst>
            <a:ext uri="{FF2B5EF4-FFF2-40B4-BE49-F238E27FC236}">
              <a16:creationId xmlns:a16="http://schemas.microsoft.com/office/drawing/2014/main" id="{BD4449FF-9BA0-2F95-46E4-DD72782C9135}"/>
            </a:ext>
          </a:extLst>
        </xdr:cNvPr>
        <xdr:cNvSpPr/>
      </xdr:nvSpPr>
      <xdr:spPr>
        <a:xfrm>
          <a:off x="6364432" y="2590800"/>
          <a:ext cx="3076748" cy="23317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twoCellAnchor>
    <xdr:from>
      <xdr:col>10</xdr:col>
      <xdr:colOff>350520</xdr:colOff>
      <xdr:row>15</xdr:row>
      <xdr:rowOff>0</xdr:rowOff>
    </xdr:from>
    <xdr:to>
      <xdr:col>15</xdr:col>
      <xdr:colOff>182741</xdr:colOff>
      <xdr:row>26</xdr:row>
      <xdr:rowOff>121920</xdr:rowOff>
    </xdr:to>
    <xdr:graphicFrame macro="">
      <xdr:nvGraphicFramePr>
        <xdr:cNvPr id="38" name="Chart 37">
          <a:extLst>
            <a:ext uri="{FF2B5EF4-FFF2-40B4-BE49-F238E27FC236}">
              <a16:creationId xmlns:a16="http://schemas.microsoft.com/office/drawing/2014/main" id="{E32853F6-C5E6-4C75-ADA3-7515985BD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571500</xdr:colOff>
      <xdr:row>1</xdr:row>
      <xdr:rowOff>76200</xdr:rowOff>
    </xdr:from>
    <xdr:to>
      <xdr:col>21</xdr:col>
      <xdr:colOff>91440</xdr:colOff>
      <xdr:row>6</xdr:row>
      <xdr:rowOff>76200</xdr:rowOff>
    </xdr:to>
    <mc:AlternateContent xmlns:mc="http://schemas.openxmlformats.org/markup-compatibility/2006">
      <mc:Choice xmlns:a14="http://schemas.microsoft.com/office/drawing/2010/main" Requires="a14">
        <xdr:graphicFrame macro="">
          <xdr:nvGraphicFramePr>
            <xdr:cNvPr id="41" name="YEAR">
              <a:extLst>
                <a:ext uri="{FF2B5EF4-FFF2-40B4-BE49-F238E27FC236}">
                  <a16:creationId xmlns:a16="http://schemas.microsoft.com/office/drawing/2014/main" id="{C4311AAB-1A00-4F8A-9D8B-A6AAE2766B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715500" y="259080"/>
              <a:ext cx="31775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457200</xdr:colOff>
      <xdr:row>0</xdr:row>
      <xdr:rowOff>38101</xdr:rowOff>
    </xdr:from>
    <xdr:to>
      <xdr:col>21</xdr:col>
      <xdr:colOff>259080</xdr:colOff>
      <xdr:row>1</xdr:row>
      <xdr:rowOff>99060</xdr:rowOff>
    </xdr:to>
    <xdr:sp macro="" textlink="">
      <xdr:nvSpPr>
        <xdr:cNvPr id="43" name="TextBox 42">
          <a:extLst>
            <a:ext uri="{FF2B5EF4-FFF2-40B4-BE49-F238E27FC236}">
              <a16:creationId xmlns:a16="http://schemas.microsoft.com/office/drawing/2014/main" id="{A737D3A2-52D9-5DA0-6575-2E8BAF48ACBB}"/>
            </a:ext>
          </a:extLst>
        </xdr:cNvPr>
        <xdr:cNvSpPr txBox="1"/>
      </xdr:nvSpPr>
      <xdr:spPr>
        <a:xfrm>
          <a:off x="11430000" y="38101"/>
          <a:ext cx="1630680" cy="243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rPr>
            <a:t>ALL VALUES IN CRORE</a:t>
          </a:r>
        </a:p>
      </xdr:txBody>
    </xdr:sp>
    <xdr:clientData/>
  </xdr:twoCellAnchor>
  <xdr:twoCellAnchor>
    <xdr:from>
      <xdr:col>16</xdr:col>
      <xdr:colOff>114300</xdr:colOff>
      <xdr:row>7</xdr:row>
      <xdr:rowOff>99060</xdr:rowOff>
    </xdr:from>
    <xdr:to>
      <xdr:col>20</xdr:col>
      <xdr:colOff>458248</xdr:colOff>
      <xdr:row>18</xdr:row>
      <xdr:rowOff>123107</xdr:rowOff>
    </xdr:to>
    <xdr:graphicFrame macro="">
      <xdr:nvGraphicFramePr>
        <xdr:cNvPr id="44" name="Chart 43">
          <a:extLst>
            <a:ext uri="{FF2B5EF4-FFF2-40B4-BE49-F238E27FC236}">
              <a16:creationId xmlns:a16="http://schemas.microsoft.com/office/drawing/2014/main" id="{6FD2FC61-18C8-47E9-A83A-2DF035669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603712</xdr:colOff>
      <xdr:row>6</xdr:row>
      <xdr:rowOff>83820</xdr:rowOff>
    </xdr:from>
    <xdr:to>
      <xdr:col>21</xdr:col>
      <xdr:colOff>22860</xdr:colOff>
      <xdr:row>19</xdr:row>
      <xdr:rowOff>38100</xdr:rowOff>
    </xdr:to>
    <xdr:sp macro="" textlink="">
      <xdr:nvSpPr>
        <xdr:cNvPr id="45" name="Rectangle: Rounded Corners 44">
          <a:extLst>
            <a:ext uri="{FF2B5EF4-FFF2-40B4-BE49-F238E27FC236}">
              <a16:creationId xmlns:a16="http://schemas.microsoft.com/office/drawing/2014/main" id="{58504E69-58CD-4C2F-BF30-BAC9A4EA1258}"/>
            </a:ext>
          </a:extLst>
        </xdr:cNvPr>
        <xdr:cNvSpPr/>
      </xdr:nvSpPr>
      <xdr:spPr>
        <a:xfrm>
          <a:off x="9747712" y="1181100"/>
          <a:ext cx="3076748" cy="233172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1764</xdr:colOff>
      <xdr:row>0</xdr:row>
      <xdr:rowOff>4739</xdr:rowOff>
    </xdr:from>
    <xdr:to>
      <xdr:col>51</xdr:col>
      <xdr:colOff>43957</xdr:colOff>
      <xdr:row>117</xdr:row>
      <xdr:rowOff>109562</xdr:rowOff>
    </xdr:to>
    <xdr:pic>
      <xdr:nvPicPr>
        <xdr:cNvPr id="6" name="Picture 5">
          <a:extLst>
            <a:ext uri="{FF2B5EF4-FFF2-40B4-BE49-F238E27FC236}">
              <a16:creationId xmlns:a16="http://schemas.microsoft.com/office/drawing/2014/main" id="{3FC2DE55-A8E1-DAA6-A934-376F5B610A8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brightnessContrast bright="-59000" contrast="57000"/>
                  </a14:imgEffect>
                </a14:imgLayer>
              </a14:imgProps>
            </a:ext>
            <a:ext uri="{28A0092B-C50C-407E-A947-70E740481C1C}">
              <a14:useLocalDpi xmlns:a14="http://schemas.microsoft.com/office/drawing/2010/main" val="0"/>
            </a:ext>
          </a:extLst>
        </a:blip>
        <a:stretch>
          <a:fillRect/>
        </a:stretch>
      </xdr:blipFill>
      <xdr:spPr>
        <a:xfrm>
          <a:off x="-1476516" y="-1023961"/>
          <a:ext cx="32610073" cy="22530483"/>
        </a:xfrm>
        <a:prstGeom prst="rect">
          <a:avLst/>
        </a:prstGeom>
      </xdr:spPr>
    </xdr:pic>
    <xdr:clientData/>
  </xdr:twoCellAnchor>
  <xdr:twoCellAnchor>
    <xdr:from>
      <xdr:col>5</xdr:col>
      <xdr:colOff>480060</xdr:colOff>
      <xdr:row>0</xdr:row>
      <xdr:rowOff>0</xdr:rowOff>
    </xdr:from>
    <xdr:to>
      <xdr:col>17</xdr:col>
      <xdr:colOff>243840</xdr:colOff>
      <xdr:row>2</xdr:row>
      <xdr:rowOff>144780</xdr:rowOff>
    </xdr:to>
    <xdr:sp macro="" textlink="">
      <xdr:nvSpPr>
        <xdr:cNvPr id="7" name="TextBox 6">
          <a:extLst>
            <a:ext uri="{FF2B5EF4-FFF2-40B4-BE49-F238E27FC236}">
              <a16:creationId xmlns:a16="http://schemas.microsoft.com/office/drawing/2014/main" id="{84A22162-C2E5-4076-D7D5-2A9C1CD355B0}"/>
            </a:ext>
          </a:extLst>
        </xdr:cNvPr>
        <xdr:cNvSpPr txBox="1"/>
      </xdr:nvSpPr>
      <xdr:spPr>
        <a:xfrm>
          <a:off x="3528060" y="0"/>
          <a:ext cx="70789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u="none">
              <a:solidFill>
                <a:srgbClr val="FF0000"/>
              </a:solidFill>
            </a:rPr>
            <a:t>TATA STEEL -FINANCIAL</a:t>
          </a:r>
          <a:r>
            <a:rPr lang="en-IN" sz="2800" b="1" i="0" u="none" baseline="0">
              <a:solidFill>
                <a:srgbClr val="FF0000"/>
              </a:solidFill>
            </a:rPr>
            <a:t>  </a:t>
          </a:r>
          <a:r>
            <a:rPr lang="en-IN" sz="2800" b="1" i="0" u="none">
              <a:solidFill>
                <a:srgbClr val="FF0000"/>
              </a:solidFill>
            </a:rPr>
            <a:t> </a:t>
          </a:r>
          <a:r>
            <a:rPr lang="en-IN" sz="2800" b="1" i="0" u="none">
              <a:solidFill>
                <a:srgbClr val="FF0000"/>
              </a:solidFill>
              <a:latin typeface="+mn-lt"/>
              <a:ea typeface="+mn-ea"/>
              <a:cs typeface="+mn-cs"/>
            </a:rPr>
            <a:t>FORECASTING 24-26</a:t>
          </a:r>
        </a:p>
        <a:p>
          <a:endParaRPr lang="en-IN" sz="2800" b="1" i="0" u="none">
            <a:solidFill>
              <a:srgbClr val="FF0000"/>
            </a:solidFill>
            <a:latin typeface="+mn-lt"/>
            <a:ea typeface="+mn-ea"/>
            <a:cs typeface="+mn-cs"/>
          </a:endParaRPr>
        </a:p>
      </xdr:txBody>
    </xdr:sp>
    <xdr:clientData/>
  </xdr:twoCellAnchor>
  <xdr:twoCellAnchor editAs="oneCell">
    <xdr:from>
      <xdr:col>2</xdr:col>
      <xdr:colOff>99060</xdr:colOff>
      <xdr:row>0</xdr:row>
      <xdr:rowOff>0</xdr:rowOff>
    </xdr:from>
    <xdr:to>
      <xdr:col>5</xdr:col>
      <xdr:colOff>563880</xdr:colOff>
      <xdr:row>7</xdr:row>
      <xdr:rowOff>167640</xdr:rowOff>
    </xdr:to>
    <xdr:pic>
      <xdr:nvPicPr>
        <xdr:cNvPr id="3" name="Picture 2">
          <a:extLst>
            <a:ext uri="{FF2B5EF4-FFF2-40B4-BE49-F238E27FC236}">
              <a16:creationId xmlns:a16="http://schemas.microsoft.com/office/drawing/2014/main" id="{888F867A-A2BF-DD89-C4EA-DC1AA3A829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18260" y="0"/>
          <a:ext cx="2293620" cy="1447800"/>
        </a:xfrm>
        <a:prstGeom prst="rect">
          <a:avLst/>
        </a:prstGeom>
        <a:effectLst>
          <a:glow>
            <a:schemeClr val="accent1"/>
          </a:glow>
          <a:reflection stA="0" endPos="68000" dist="50800" dir="5400000" sy="-100000" algn="bl" rotWithShape="0"/>
          <a:softEdge rad="355600"/>
        </a:effectLst>
      </xdr:spPr>
    </xdr:pic>
    <xdr:clientData/>
  </xdr:twoCellAnchor>
  <xdr:twoCellAnchor>
    <xdr:from>
      <xdr:col>0</xdr:col>
      <xdr:colOff>220980</xdr:colOff>
      <xdr:row>6</xdr:row>
      <xdr:rowOff>60960</xdr:rowOff>
    </xdr:from>
    <xdr:to>
      <xdr:col>18</xdr:col>
      <xdr:colOff>38100</xdr:colOff>
      <xdr:row>47</xdr:row>
      <xdr:rowOff>121920</xdr:rowOff>
    </xdr:to>
    <xdr:sp macro="" textlink="">
      <xdr:nvSpPr>
        <xdr:cNvPr id="1025" name="Text Box 1">
          <a:extLst>
            <a:ext uri="{FF2B5EF4-FFF2-40B4-BE49-F238E27FC236}">
              <a16:creationId xmlns:a16="http://schemas.microsoft.com/office/drawing/2014/main" id="{E6DCDFFE-C51B-9C5F-E547-B97F011D4EB0}"/>
            </a:ext>
          </a:extLst>
        </xdr:cNvPr>
        <xdr:cNvSpPr txBox="1">
          <a:spLocks noChangeArrowheads="1"/>
        </xdr:cNvSpPr>
      </xdr:nvSpPr>
      <xdr:spPr bwMode="auto">
        <a:xfrm>
          <a:off x="220980" y="1158240"/>
          <a:ext cx="10789920" cy="75590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400" b="1" i="0" u="none" strike="noStrike" baseline="0">
              <a:solidFill>
                <a:schemeClr val="bg1"/>
              </a:solidFill>
              <a:latin typeface="Calibri"/>
              <a:cs typeface="Calibri"/>
            </a:rPr>
            <a:t>This table shows financial data for the TATA-STEELS from 2020 to 2026, covering key metrics such as total assets, liabilities, shareholders' equity, debt-to-equity ratio, current assets, and liabilities, along with key ratios, retained earnings, total debt, shares outstanding, book value per share, and net income.</a:t>
          </a:r>
        </a:p>
        <a:p>
          <a:pPr algn="l" rtl="0">
            <a:defRPr sz="1000"/>
          </a:pPr>
          <a:endParaRPr lang="en-IN" sz="1400" b="1" i="0" u="none" strike="noStrike" baseline="0">
            <a:solidFill>
              <a:schemeClr val="bg1"/>
            </a:solidFill>
            <a:latin typeface="Calibri"/>
            <a:cs typeface="Calibri"/>
          </a:endParaRPr>
        </a:p>
        <a:p>
          <a:pPr algn="l" rtl="0">
            <a:defRPr sz="1000"/>
          </a:pPr>
          <a:r>
            <a:rPr lang="en-IN" sz="1400" b="1" i="0" u="none" strike="noStrike" baseline="0">
              <a:solidFill>
                <a:schemeClr val="bg1"/>
              </a:solidFill>
              <a:latin typeface="Calibri"/>
              <a:cs typeface="Calibri"/>
            </a:rPr>
            <a:t>Some notable trends:</a:t>
          </a:r>
        </a:p>
        <a:p>
          <a:pPr algn="l" rtl="0">
            <a:defRPr sz="1000"/>
          </a:pPr>
          <a:endParaRPr lang="en-IN" sz="1400" b="1" i="0" u="none" strike="noStrike" baseline="0">
            <a:solidFill>
              <a:schemeClr val="bg1"/>
            </a:solidFill>
            <a:latin typeface="Calibri"/>
            <a:cs typeface="Calibri"/>
          </a:endParaRPr>
        </a:p>
        <a:p>
          <a:pPr algn="l" rtl="0">
            <a:defRPr sz="1000"/>
          </a:pPr>
          <a:r>
            <a:rPr lang="en-IN" sz="1400" b="1" i="0" u="none" strike="noStrike" baseline="0">
              <a:solidFill>
                <a:schemeClr val="bg1"/>
              </a:solidFill>
              <a:latin typeface="Calibri"/>
              <a:cs typeface="Calibri"/>
            </a:rPr>
            <a:t>Total Assets and Liabilities: Both seem to be fluctuating slightly with an increase in 2022, dipping in 2024, then rising again in 2025 and 2026.</a:t>
          </a:r>
        </a:p>
        <a:p>
          <a:pPr algn="l" rtl="0">
            <a:defRPr sz="1000"/>
          </a:pPr>
          <a:endParaRPr lang="en-IN" sz="1400" b="1" i="0" u="none" strike="noStrike" baseline="0">
            <a:solidFill>
              <a:schemeClr val="bg1"/>
            </a:solidFill>
            <a:latin typeface="Calibri"/>
            <a:cs typeface="Calibri"/>
          </a:endParaRPr>
        </a:p>
        <a:p>
          <a:pPr algn="l"/>
          <a:r>
            <a:rPr lang="en-IN" sz="1400" b="1" i="0" u="none" strike="noStrike" baseline="0">
              <a:solidFill>
                <a:schemeClr val="bg1"/>
              </a:solidFill>
              <a:latin typeface="Calibri"/>
              <a:cs typeface="Calibri"/>
            </a:rPr>
            <a:t>1. </a:t>
          </a:r>
          <a:r>
            <a:rPr lang="en-IN" sz="1400" b="1">
              <a:solidFill>
                <a:schemeClr val="bg1"/>
              </a:solidFill>
            </a:rPr>
            <a:t>Debt Management Improvement</a:t>
          </a:r>
        </a:p>
        <a:p>
          <a:pPr algn="l"/>
          <a:r>
            <a:rPr lang="en-IN" sz="1400" b="1">
              <a:solidFill>
                <a:schemeClr val="bg1"/>
              </a:solidFill>
            </a:rPr>
            <a:t>Insight: The company's debt-to-equity ratio has improved significantly from 2.27 in 2020 to 1.54 in 2026, showing a strong commitment to reducing leverage and improving the financial health of the business.</a:t>
          </a:r>
        </a:p>
        <a:p>
          <a:pPr algn="l"/>
          <a:endParaRPr lang="en-IN" sz="1400" b="1">
            <a:solidFill>
              <a:schemeClr val="bg1"/>
            </a:solidFill>
          </a:endParaRPr>
        </a:p>
        <a:p>
          <a:pPr algn="l"/>
          <a:r>
            <a:rPr lang="en-IN" sz="1400" b="1">
              <a:solidFill>
                <a:schemeClr val="bg1"/>
              </a:solidFill>
            </a:rPr>
            <a:t>2.Volatility in Net Income</a:t>
          </a:r>
        </a:p>
        <a:p>
          <a:pPr algn="l"/>
          <a:r>
            <a:rPr lang="en-IN" sz="1400" b="1">
              <a:solidFill>
                <a:schemeClr val="bg1"/>
              </a:solidFill>
            </a:rPr>
            <a:t>Insight: Net income shows a large fluctuation, peaking at ₹40,153.93 in 2022, followed by a significant drop to a loss of ₹-4,437.44 in 2024, but recovering slightly in 2025 and 2026. This could indicate challenges in maintaining consistent profitability, possibly due to external market factors or operational inefficiencies.</a:t>
          </a:r>
        </a:p>
        <a:p>
          <a:pPr algn="l"/>
          <a:endParaRPr lang="en-IN" sz="1400" b="1">
            <a:solidFill>
              <a:schemeClr val="bg1"/>
            </a:solidFill>
          </a:endParaRPr>
        </a:p>
        <a:p>
          <a:pPr algn="l"/>
          <a:r>
            <a:rPr lang="en-IN" sz="1400" b="1">
              <a:solidFill>
                <a:schemeClr val="bg1"/>
              </a:solidFill>
            </a:rPr>
            <a:t>3.Growth in Retained Earnings</a:t>
          </a:r>
        </a:p>
        <a:p>
          <a:pPr algn="l"/>
          <a:r>
            <a:rPr lang="en-IN" sz="1400" b="1">
              <a:solidFill>
                <a:schemeClr val="bg1"/>
              </a:solidFill>
            </a:rPr>
            <a:t>Insight: Despite the fluctuations in net income, the company has shown a steady growth in retained earnings, rising from ₹32,214.68 in 2020 to ₹1,20,867.52 in 2026. This reflects a strategy of reinvesting profits back into the business, which may help with future growth and resilience.</a:t>
          </a:r>
        </a:p>
        <a:p>
          <a:pPr algn="l"/>
          <a:endParaRPr lang="en-IN" sz="1400" b="0">
            <a:solidFill>
              <a:schemeClr val="bg1"/>
            </a:solidFill>
          </a:endParaRPr>
        </a:p>
        <a:p>
          <a:pPr algn="l"/>
          <a:endParaRPr lang="en-IN" sz="1400" b="1">
            <a:solidFill>
              <a:schemeClr val="bg1"/>
            </a:solidFill>
          </a:endParaRPr>
        </a:p>
        <a:p>
          <a:pPr algn="l"/>
          <a:r>
            <a:rPr lang="en-IN" sz="1400" b="1">
              <a:solidFill>
                <a:schemeClr val="bg1"/>
              </a:solidFill>
            </a:rPr>
            <a:t>4.Shareholders' Equity Growth</a:t>
          </a:r>
        </a:p>
        <a:p>
          <a:pPr algn="l"/>
          <a:r>
            <a:rPr lang="en-IN" sz="1400" b="1">
              <a:solidFill>
                <a:schemeClr val="bg1"/>
              </a:solidFill>
            </a:rPr>
            <a:t>Insight: The company’s shareholders' equity has increased over time, from ₹76,162.90 in 2020 to ₹1,13,928.17 in 2026. This suggests improved financial stability, enhancing investor confidence in the company's ability to generate returns over time.</a:t>
          </a:r>
        </a:p>
        <a:p>
          <a:pPr algn="l"/>
          <a:endParaRPr lang="en-IN" sz="1400" b="1">
            <a:solidFill>
              <a:schemeClr val="bg1"/>
            </a:solidFill>
          </a:endParaRPr>
        </a:p>
        <a:p>
          <a:pPr algn="l"/>
          <a:endParaRPr lang="en-IN" sz="1400" b="1">
            <a:solidFill>
              <a:schemeClr val="bg1"/>
            </a:solidFill>
          </a:endParaRPr>
        </a:p>
        <a:p>
          <a:pPr algn="l"/>
          <a:r>
            <a:rPr lang="en-IN" sz="1400" b="1">
              <a:solidFill>
                <a:schemeClr val="bg1"/>
              </a:solidFill>
            </a:rPr>
            <a:t>5.Challenges in 2024</a:t>
          </a:r>
        </a:p>
        <a:p>
          <a:pPr algn="l"/>
          <a:r>
            <a:rPr lang="en-IN" sz="1400" b="1">
              <a:solidFill>
                <a:schemeClr val="bg1"/>
              </a:solidFill>
            </a:rPr>
            <a:t>Insight: 2024 appears to be a challenging year, as seen by the negative net income (₹-4,437.44), a dip in current ratio (0.72), and a decline in total assets. However, the company made a recovery in 2025 and 2026, as indicated by improvements in net income, shareholders' equity, and total assets.</a:t>
          </a:r>
        </a:p>
        <a:p>
          <a:pPr algn="l"/>
          <a:endParaRPr lang="en-IN" sz="14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55928</xdr:colOff>
      <xdr:row>0</xdr:row>
      <xdr:rowOff>0</xdr:rowOff>
    </xdr:from>
    <xdr:to>
      <xdr:col>2</xdr:col>
      <xdr:colOff>706074</xdr:colOff>
      <xdr:row>4</xdr:row>
      <xdr:rowOff>3494</xdr:rowOff>
    </xdr:to>
    <xdr:pic>
      <xdr:nvPicPr>
        <xdr:cNvPr id="4" name="Picture 3">
          <a:extLst>
            <a:ext uri="{FF2B5EF4-FFF2-40B4-BE49-F238E27FC236}">
              <a16:creationId xmlns:a16="http://schemas.microsoft.com/office/drawing/2014/main" id="{5E882BC7-43A0-78FE-C483-5DCA8F3CC0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6772" y="0"/>
          <a:ext cx="1510017" cy="849384"/>
        </a:xfrm>
        <a:prstGeom prst="rect">
          <a:avLst/>
        </a:prstGeom>
      </xdr:spPr>
    </xdr:pic>
    <xdr:clientData/>
  </xdr:twoCellAnchor>
  <xdr:twoCellAnchor>
    <xdr:from>
      <xdr:col>3</xdr:col>
      <xdr:colOff>755009</xdr:colOff>
      <xdr:row>200</xdr:row>
      <xdr:rowOff>153798</xdr:rowOff>
    </xdr:from>
    <xdr:to>
      <xdr:col>6</xdr:col>
      <xdr:colOff>608202</xdr:colOff>
      <xdr:row>215</xdr:row>
      <xdr:rowOff>170576</xdr:rowOff>
    </xdr:to>
    <xdr:graphicFrame macro="">
      <xdr:nvGraphicFramePr>
        <xdr:cNvPr id="24" name="Chart 23">
          <a:extLst>
            <a:ext uri="{FF2B5EF4-FFF2-40B4-BE49-F238E27FC236}">
              <a16:creationId xmlns:a16="http://schemas.microsoft.com/office/drawing/2014/main" id="{46CDC2F6-BE02-44D0-8E92-D04A63D10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5574.438708680558" createdVersion="8" refreshedVersion="8" minRefreshableVersion="3" recordCount="7" xr:uid="{15651AF8-7E3F-47AF-999C-323949A5FB52}">
  <cacheSource type="worksheet">
    <worksheetSource ref="C91:O98" sheet="BALANCE_SHEET"/>
  </cacheSource>
  <cacheFields count="13">
    <cacheField name="YEAR" numFmtId="0">
      <sharedItems containsSemiMixedTypes="0" containsString="0" containsNumber="1" containsInteger="1" minValue="2020" maxValue="2026" count="7">
        <n v="2020"/>
        <n v="2021"/>
        <n v="2022"/>
        <n v="2023"/>
        <n v="2024"/>
        <n v="2025"/>
        <n v="2026"/>
      </sharedItems>
    </cacheField>
    <cacheField name="TOTAL ASSET" numFmtId="4">
      <sharedItems containsSemiMixedTypes="0" containsString="0" containsNumber="1" minValue="243909.19" maxValue="298762.91200000048" count="7">
        <n v="249149.12"/>
        <n v="243909.19"/>
        <n v="282421.67"/>
        <n v="285395.78000000003"/>
        <n v="269312.42"/>
        <n v="290581.59300000034"/>
        <n v="298762.91200000048"/>
      </sharedItems>
    </cacheField>
    <cacheField name="TOTAL LIABILITY" numFmtId="4">
      <sharedItems containsSemiMixedTypes="0" containsString="0" containsNumber="1" minValue="165323.21" maxValue="184466.62419999857" count="7">
        <n v="172986.22"/>
        <n v="166400.74"/>
        <n v="165323.21"/>
        <n v="180220.57"/>
        <n v="176879.68"/>
        <n v="178844.10899999924"/>
        <n v="184466.62419999857"/>
      </sharedItems>
    </cacheField>
    <cacheField name="SHARE HOLDERS EQUITY" numFmtId="4">
      <sharedItems containsSemiMixedTypes="0" containsString="0" containsNumber="1" minValue="76162.899999999994" maxValue="117098.46" count="7">
        <n v="76162.899999999994"/>
        <n v="77508.45"/>
        <n v="117098.46"/>
        <n v="105175.21"/>
        <n v="92432.74"/>
        <n v="111737.48399999924"/>
        <n v="113928.17319999821"/>
      </sharedItems>
    </cacheField>
    <cacheField name="DEBT TO EQUITY RATIO" numFmtId="0">
      <sharedItems containsSemiMixedTypes="0" containsString="0" containsNumber="1" minValue="1.4118307789871871" maxValue="2.2712661939080578"/>
    </cacheField>
    <cacheField name="CURRENT ASSET" numFmtId="4">
      <sharedItems containsSemiMixedTypes="0" containsString="0" containsNumber="1" minValue="58732.72" maxValue="92556.61" count="7">
        <n v="58732.72"/>
        <n v="60211.9"/>
        <n v="92556.61"/>
        <n v="86606.14"/>
        <n v="70503.58"/>
        <n v="88702.977999998257"/>
        <n v="90194.979399997741"/>
      </sharedItems>
    </cacheField>
    <cacheField name="CURRENT LIABILITY" numFmtId="4">
      <sharedItems containsSemiMixedTypes="0" containsString="0" containsNumber="1" minValue="61660.91" maxValue="122244.61160000414" count="7">
        <n v="61660.91"/>
        <n v="70867.13"/>
        <n v="90588"/>
        <n v="97295.13"/>
        <n v="98403.48"/>
        <n v="113736.87200000137"/>
        <n v="122244.61160000414"/>
      </sharedItems>
    </cacheField>
    <cacheField name="CURRENT RATIO " numFmtId="0">
      <sharedItems containsSemiMixedTypes="0" containsString="0" containsNumber="1" minValue="0.69953463200779709" maxValue="1.0217314655362741"/>
    </cacheField>
    <cacheField name="RETAINED EARNING" numFmtId="0">
      <sharedItems containsSemiMixedTypes="0" containsString="0" containsNumber="1" minValue="32214.68" maxValue="120867.51859999821" count="7">
        <n v="32214.68"/>
        <n v="33126.82"/>
        <n v="72824.05"/>
        <n v="65348.27"/>
        <n v="90788.32"/>
        <n v="103671.04699999839"/>
        <n v="120867.51859999821"/>
      </sharedItems>
    </cacheField>
    <cacheField name="TOTAL DEBT" numFmtId="4">
      <sharedItems containsSemiMixedTypes="0" containsString="0" containsNumber="1" minValue="40767" maxValue="110969.73800000176" count="7">
        <n v="40767"/>
        <n v="88501.41"/>
        <n v="75561.350000000006"/>
        <n v="84893.05"/>
        <n v="87082.12"/>
        <n v="102067.55000000075"/>
        <n v="110969.73800000176"/>
      </sharedItems>
    </cacheField>
    <cacheField name="SHARES OUTSTANDING" numFmtId="0">
      <sharedItems containsSemiMixedTypes="0" containsString="0" containsNumber="1" minValue="1203.33" maxValue="1261.586000000003"/>
    </cacheField>
    <cacheField name="BOOK VALUE PER SHARE" numFmtId="4">
      <sharedItems containsSemiMixedTypes="0" containsString="0" containsNumber="1" minValue="202.4949274399761" maxValue="236.81533561723083"/>
    </cacheField>
    <cacheField name="NET INCOME" numFmtId="4">
      <sharedItems containsSemiMixedTypes="0" containsString="0" containsNumber="1" minValue="-4437.4399999999996" maxValue="40153.93" count="7">
        <n v="1556.54"/>
        <n v="7490.22"/>
        <n v="40153.93"/>
        <n v="8760.4"/>
        <n v="-4437.4399999999996"/>
        <n v="7489.3959999997169"/>
        <n v="6417.6179999997839"/>
      </sharedItems>
    </cacheField>
  </cacheFields>
  <extLst>
    <ext xmlns:x14="http://schemas.microsoft.com/office/spreadsheetml/2009/9/main" uri="{725AE2AE-9491-48be-B2B4-4EB974FC3084}">
      <x14:pivotCacheDefinition pivotCacheId="1422253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x v="0"/>
    <n v="2.2712661939080578"/>
    <x v="0"/>
    <x v="0"/>
    <n v="0.95251140471329399"/>
    <x v="0"/>
    <x v="0"/>
    <n v="1203.33"/>
    <n v="207.04970373879152"/>
    <x v="0"/>
  </r>
  <r>
    <x v="1"/>
    <x v="1"/>
    <x v="1"/>
    <x v="1"/>
    <n v="2.1468722442520782"/>
    <x v="1"/>
    <x v="1"/>
    <n v="0.84964496234008624"/>
    <x v="1"/>
    <x v="1"/>
    <n v="1204.52"/>
    <n v="202.4949274399761"/>
    <x v="1"/>
  </r>
  <r>
    <x v="2"/>
    <x v="2"/>
    <x v="2"/>
    <x v="2"/>
    <n v="1.4118307789871871"/>
    <x v="2"/>
    <x v="2"/>
    <n v="1.0217314655362741"/>
    <x v="2"/>
    <x v="2"/>
    <n v="1221.57"/>
    <n v="231.1956498604255"/>
    <x v="2"/>
  </r>
  <r>
    <x v="3"/>
    <x v="3"/>
    <x v="3"/>
    <x v="3"/>
    <n v="1.7135270754391647"/>
    <x v="3"/>
    <x v="3"/>
    <n v="0.89013848894595238"/>
    <x v="3"/>
    <x v="3"/>
    <n v="1221.24"/>
    <n v="233.69344273033968"/>
    <x v="3"/>
  </r>
  <r>
    <x v="4"/>
    <x v="4"/>
    <x v="4"/>
    <x v="4"/>
    <n v="1.9136042056093976"/>
    <x v="4"/>
    <x v="4"/>
    <n v="0.71647445801713516"/>
    <x v="4"/>
    <x v="4"/>
    <n v="1247.43"/>
    <n v="215.89381368092796"/>
    <x v="4"/>
  </r>
  <r>
    <x v="5"/>
    <x v="5"/>
    <x v="5"/>
    <x v="5"/>
    <n v="1.5468193560161296"/>
    <x v="5"/>
    <x v="5"/>
    <n v="0.75662604587462567"/>
    <x v="5"/>
    <x v="5"/>
    <n v="1251.094000000001"/>
    <n v="232.26199869873895"/>
    <x v="5"/>
  </r>
  <r>
    <x v="6"/>
    <x v="6"/>
    <x v="6"/>
    <x v="6"/>
    <n v="1.5370310271059111"/>
    <x v="6"/>
    <x v="6"/>
    <n v="0.69953463200779709"/>
    <x v="6"/>
    <x v="6"/>
    <n v="1261.586000000003"/>
    <n v="236.8153356172308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6E6CD-96B8-4E30-A4A0-93AC8D6349D0}"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51:C159" firstHeaderRow="1" firstDataRow="1" firstDataCol="1"/>
  <pivotFields count="13">
    <pivotField axis="axisRow" showAll="0">
      <items count="8">
        <item x="0"/>
        <item x="1"/>
        <item x="2"/>
        <item x="3"/>
        <item x="4"/>
        <item x="5"/>
        <item x="6"/>
        <item t="default"/>
      </items>
    </pivotField>
    <pivotField numFmtId="4" showAll="0"/>
    <pivotField numFmtId="4" showAll="0"/>
    <pivotField numFmtId="4" showAll="0"/>
    <pivotField showAll="0"/>
    <pivotField numFmtId="4" showAll="0"/>
    <pivotField numFmtId="4" showAll="0"/>
    <pivotField showAll="0"/>
    <pivotField showAll="0"/>
    <pivotField dataField="1" numFmtId="4" showAll="0"/>
    <pivotField showAll="0"/>
    <pivotField numFmtId="4" showAll="0"/>
    <pivotField numFmtId="4" showAll="0">
      <items count="8">
        <item x="4"/>
        <item x="0"/>
        <item x="6"/>
        <item x="5"/>
        <item x="1"/>
        <item x="3"/>
        <item x="2"/>
        <item t="default"/>
      </items>
    </pivotField>
  </pivotFields>
  <rowFields count="1">
    <field x="0"/>
  </rowFields>
  <rowItems count="8">
    <i>
      <x/>
    </i>
    <i>
      <x v="1"/>
    </i>
    <i>
      <x v="2"/>
    </i>
    <i>
      <x v="3"/>
    </i>
    <i>
      <x v="4"/>
    </i>
    <i>
      <x v="5"/>
    </i>
    <i>
      <x v="6"/>
    </i>
    <i t="grand">
      <x/>
    </i>
  </rowItems>
  <colItems count="1">
    <i/>
  </colItems>
  <dataFields count="1">
    <dataField name=" TOTAL DEBT"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FBD06C6-6CB2-4E25-82D8-D0AD4ECAED81}" sourceName="YEAR">
  <pivotTables>
    <pivotTable tabId="2" name="PivotTable7"/>
  </pivotTables>
  <data>
    <tabular pivotCacheId="1422253955">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7A0110B-9751-4864-8115-F77C5D22DE93}" cache="Slicer_YEAR" caption="YEAR" columnCount="4"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BBD3-5D29-4ADA-B4FC-5D2C1F6A64A6}">
  <dimension ref="M15:N15"/>
  <sheetViews>
    <sheetView showGridLines="0" tabSelected="1" workbookViewId="0">
      <selection activeCell="V11" sqref="V11"/>
    </sheetView>
  </sheetViews>
  <sheetFormatPr defaultRowHeight="14.4" x14ac:dyDescent="0.3"/>
  <sheetData>
    <row r="15" spans="13:14" x14ac:dyDescent="0.3">
      <c r="M15" s="91"/>
      <c r="N15" s="9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1155B-FC2A-4FA7-86C2-EE450B24C33B}">
  <dimension ref="N12"/>
  <sheetViews>
    <sheetView showGridLines="0" workbookViewId="0">
      <selection activeCell="K19" sqref="K19"/>
    </sheetView>
  </sheetViews>
  <sheetFormatPr defaultRowHeight="14.4" x14ac:dyDescent="0.3"/>
  <sheetData>
    <row r="12" spans="14:14" x14ac:dyDescent="0.3">
      <c r="N1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1F9B-E4A6-4134-8159-0E65B76FBACC}">
  <dimension ref="A2:AJ159"/>
  <sheetViews>
    <sheetView zoomScale="109" zoomScaleNormal="70" workbookViewId="0">
      <selection activeCell="C91" sqref="C91"/>
    </sheetView>
  </sheetViews>
  <sheetFormatPr defaultRowHeight="14.4" outlineLevelRow="1" x14ac:dyDescent="0.3"/>
  <cols>
    <col min="1" max="1" width="1.88671875" customWidth="1"/>
    <col min="2" max="3" width="12.5546875" bestFit="1" customWidth="1"/>
    <col min="4" max="4" width="18.77734375" bestFit="1" customWidth="1"/>
    <col min="5" max="5" width="21.44140625" bestFit="1" customWidth="1"/>
    <col min="6" max="6" width="28.6640625" bestFit="1" customWidth="1"/>
    <col min="7" max="7" width="21.44140625" bestFit="1" customWidth="1"/>
    <col min="8" max="8" width="24" bestFit="1" customWidth="1"/>
    <col min="9" max="9" width="18.5546875" bestFit="1" customWidth="1"/>
    <col min="10" max="10" width="27.5546875" bestFit="1" customWidth="1"/>
    <col min="11" max="11" width="18" bestFit="1" customWidth="1"/>
    <col min="12" max="13" width="24.5546875" bestFit="1" customWidth="1"/>
    <col min="14" max="14" width="9.21875" bestFit="1" customWidth="1"/>
    <col min="15" max="15" width="19.88671875" customWidth="1"/>
  </cols>
  <sheetData>
    <row r="2" spans="1:16" ht="23.4" x14ac:dyDescent="0.45">
      <c r="E2" s="69" t="s">
        <v>31</v>
      </c>
    </row>
    <row r="5" spans="1:16" x14ac:dyDescent="0.3">
      <c r="C5" t="s">
        <v>32</v>
      </c>
      <c r="K5" s="42" t="s">
        <v>16</v>
      </c>
      <c r="L5" s="41" t="s">
        <v>19</v>
      </c>
    </row>
    <row r="6" spans="1:16" ht="15" thickBot="1" x14ac:dyDescent="0.35">
      <c r="A6" t="s">
        <v>34</v>
      </c>
      <c r="B6" s="54" t="str">
        <f>"BALANCE SHEET"&amp;" - "&amp;+C5</f>
        <v>BALANCE SHEET - TATA STEEL</v>
      </c>
      <c r="C6" s="18"/>
      <c r="D6" s="18"/>
      <c r="E6" s="43">
        <v>2020</v>
      </c>
      <c r="F6" s="43">
        <v>2021</v>
      </c>
      <c r="G6" s="43">
        <v>2022</v>
      </c>
      <c r="H6" s="43">
        <v>2023</v>
      </c>
      <c r="I6" s="43">
        <v>2024</v>
      </c>
      <c r="J6" s="44">
        <v>2025</v>
      </c>
      <c r="K6" s="45">
        <v>2026</v>
      </c>
      <c r="P6" s="10"/>
    </row>
    <row r="7" spans="1:16" ht="15" outlineLevel="1" thickBot="1" x14ac:dyDescent="0.35">
      <c r="B7" s="55" t="s">
        <v>0</v>
      </c>
      <c r="C7" s="11"/>
      <c r="D7" s="11"/>
      <c r="E7" s="47">
        <v>249149.12</v>
      </c>
      <c r="F7" s="48">
        <v>243909.19</v>
      </c>
      <c r="G7" s="47">
        <v>282421.67</v>
      </c>
      <c r="H7" s="47">
        <v>285395.78000000003</v>
      </c>
      <c r="I7" s="47">
        <v>269312.42</v>
      </c>
      <c r="J7" s="15">
        <f>_xlfn.FORECAST.LINEAR(2025,E7:I7,E6:I6)</f>
        <v>290581.59300000034</v>
      </c>
      <c r="K7" s="19">
        <f>_xlfn.FORECAST.LINEAR(2026,E7:I7,E6:I6)</f>
        <v>298762.91200000048</v>
      </c>
      <c r="N7" s="46" t="s">
        <v>6</v>
      </c>
      <c r="O7" s="46" t="s">
        <v>5</v>
      </c>
      <c r="P7" s="10"/>
    </row>
    <row r="8" spans="1:16" ht="15" outlineLevel="1" thickBot="1" x14ac:dyDescent="0.35">
      <c r="B8" s="52" t="s">
        <v>1</v>
      </c>
      <c r="C8" s="3"/>
      <c r="D8" s="3"/>
      <c r="E8" s="47">
        <v>172986.22</v>
      </c>
      <c r="F8" s="47">
        <v>166400.74</v>
      </c>
      <c r="G8" s="47">
        <v>165323.21</v>
      </c>
      <c r="H8" s="47">
        <v>180220.57</v>
      </c>
      <c r="I8" s="47">
        <v>176879.68</v>
      </c>
      <c r="J8" s="15">
        <f>_xlfn.FORECAST.LINEAR(2025,E8:I8,E6:I6)</f>
        <v>178844.10899999924</v>
      </c>
      <c r="K8" s="15">
        <f>_xlfn.FORECAST.LINEAR(2026,F8:J8,F6:J6)</f>
        <v>184466.62419999857</v>
      </c>
      <c r="N8" s="50">
        <v>2020</v>
      </c>
      <c r="O8" s="21">
        <f>E$18/E$9*100</f>
        <v>2.0436984411045271</v>
      </c>
      <c r="P8" s="10"/>
    </row>
    <row r="9" spans="1:16" ht="15" outlineLevel="1" thickBot="1" x14ac:dyDescent="0.35">
      <c r="B9" s="52" t="s">
        <v>2</v>
      </c>
      <c r="C9" s="3"/>
      <c r="D9" s="3"/>
      <c r="E9" s="49">
        <v>76162.899999999994</v>
      </c>
      <c r="F9" s="49">
        <v>77508.45</v>
      </c>
      <c r="G9" s="49">
        <v>117098.46</v>
      </c>
      <c r="H9" s="49">
        <v>105175.21</v>
      </c>
      <c r="I9" s="49">
        <v>92432.74</v>
      </c>
      <c r="J9" s="15">
        <f>_xlfn.FORECAST.LINEAR(2025,E9:I9,E6:I6)</f>
        <v>111737.48399999924</v>
      </c>
      <c r="K9" s="15">
        <f>_xlfn.FORECAST.LINEAR(2026,F9:J9,F$6:J$6)</f>
        <v>113928.17319999821</v>
      </c>
      <c r="N9" s="50">
        <v>2021</v>
      </c>
      <c r="O9" s="21">
        <f>$F18/$F9*100</f>
        <v>9.6637463399151962</v>
      </c>
      <c r="P9" s="10"/>
    </row>
    <row r="10" spans="1:16" ht="15" outlineLevel="1" thickBot="1" x14ac:dyDescent="0.35">
      <c r="B10" s="52" t="s">
        <v>3</v>
      </c>
      <c r="C10" s="3"/>
      <c r="D10" s="3"/>
      <c r="E10" s="5">
        <f>E8/E9</f>
        <v>2.2712661939080578</v>
      </c>
      <c r="F10" s="5">
        <f t="shared" ref="F10:I10" si="0">F8/F9</f>
        <v>2.1468722442520782</v>
      </c>
      <c r="G10" s="5">
        <f t="shared" si="0"/>
        <v>1.4118307789871871</v>
      </c>
      <c r="H10" s="5">
        <f t="shared" si="0"/>
        <v>1.7135270754391647</v>
      </c>
      <c r="I10" s="5">
        <f t="shared" si="0"/>
        <v>1.9136042056093976</v>
      </c>
      <c r="J10" s="15">
        <f>_xlfn.FORECAST.LINEAR(2025,E10:I10,$E6:$I6)</f>
        <v>1.5468193560161296</v>
      </c>
      <c r="K10" s="15">
        <f t="shared" ref="K10:K14" si="1">_xlfn.FORECAST.LINEAR(2026,F10:J10,F$6:J$6)</f>
        <v>1.5370310271059111</v>
      </c>
      <c r="N10" s="50">
        <v>2022</v>
      </c>
      <c r="O10" s="21">
        <f>G18/G9*100</f>
        <v>34.290741312908814</v>
      </c>
      <c r="P10" s="10"/>
    </row>
    <row r="11" spans="1:16" ht="15" outlineLevel="1" thickBot="1" x14ac:dyDescent="0.35">
      <c r="B11" s="52" t="s">
        <v>9</v>
      </c>
      <c r="C11" s="3"/>
      <c r="D11" s="3"/>
      <c r="E11" s="49">
        <v>58732.72</v>
      </c>
      <c r="F11" s="49">
        <v>60211.9</v>
      </c>
      <c r="G11" s="49">
        <v>92556.61</v>
      </c>
      <c r="H11" s="49">
        <v>86606.14</v>
      </c>
      <c r="I11" s="49">
        <v>70503.58</v>
      </c>
      <c r="J11" s="15">
        <f>_xlfn.FORECAST.LINEAR(2025,E11:I11,E$6:I$6)</f>
        <v>88702.977999998257</v>
      </c>
      <c r="K11" s="15">
        <f t="shared" si="1"/>
        <v>90194.979399997741</v>
      </c>
      <c r="N11" s="50">
        <v>2023</v>
      </c>
      <c r="O11" s="21">
        <f>H18/H9*100</f>
        <v>8.3293392045520989</v>
      </c>
      <c r="P11" s="10"/>
    </row>
    <row r="12" spans="1:16" ht="15" outlineLevel="1" thickBot="1" x14ac:dyDescent="0.35">
      <c r="B12" s="52" t="s">
        <v>10</v>
      </c>
      <c r="C12" s="3"/>
      <c r="D12" s="3"/>
      <c r="E12" s="49">
        <v>61660.91</v>
      </c>
      <c r="F12" s="49">
        <v>70867.13</v>
      </c>
      <c r="G12" s="49">
        <v>90588</v>
      </c>
      <c r="H12" s="49">
        <v>97295.13</v>
      </c>
      <c r="I12" s="49">
        <v>98403.48</v>
      </c>
      <c r="J12" s="15">
        <f t="shared" ref="J12:J14" si="2">_xlfn.FORECAST.LINEAR(2025,E12:I12,E$6:I$6)</f>
        <v>113736.87200000137</v>
      </c>
      <c r="K12" s="15">
        <f t="shared" si="1"/>
        <v>122244.61160000414</v>
      </c>
      <c r="N12" s="50">
        <v>2024</v>
      </c>
      <c r="O12" s="21">
        <f>I18/I9*100</f>
        <v>-4.8007232069502637</v>
      </c>
      <c r="P12" s="10"/>
    </row>
    <row r="13" spans="1:16" ht="15" outlineLevel="1" thickBot="1" x14ac:dyDescent="0.35">
      <c r="B13" s="52" t="s">
        <v>4</v>
      </c>
      <c r="C13" s="3"/>
      <c r="D13" s="3"/>
      <c r="E13" s="5">
        <f>E11/E12</f>
        <v>0.95251140471329399</v>
      </c>
      <c r="F13" s="5">
        <f t="shared" ref="F13:I13" si="3">F11/F12</f>
        <v>0.84964496234008624</v>
      </c>
      <c r="G13" s="5">
        <f t="shared" si="3"/>
        <v>1.0217314655362741</v>
      </c>
      <c r="H13" s="5">
        <f t="shared" si="3"/>
        <v>0.89013848894595238</v>
      </c>
      <c r="I13" s="5">
        <f t="shared" si="3"/>
        <v>0.71647445801713516</v>
      </c>
      <c r="J13" s="15">
        <f t="shared" si="2"/>
        <v>0.75662604587462567</v>
      </c>
      <c r="K13" s="15">
        <f t="shared" si="1"/>
        <v>0.69953463200779709</v>
      </c>
      <c r="N13" s="51">
        <v>2025</v>
      </c>
      <c r="O13" s="22">
        <f>J18/J9*100</f>
        <v>6.7026710571000221</v>
      </c>
      <c r="P13" s="10"/>
    </row>
    <row r="14" spans="1:16" ht="15" outlineLevel="1" thickBot="1" x14ac:dyDescent="0.35">
      <c r="B14" s="52" t="s">
        <v>11</v>
      </c>
      <c r="C14" s="3"/>
      <c r="D14" s="3"/>
      <c r="E14" s="52">
        <v>32214.68</v>
      </c>
      <c r="F14" s="49">
        <v>33126.82</v>
      </c>
      <c r="G14" s="49">
        <v>72824.05</v>
      </c>
      <c r="H14" s="49">
        <v>65348.27</v>
      </c>
      <c r="I14" s="49">
        <v>90788.32</v>
      </c>
      <c r="J14" s="15">
        <f t="shared" si="2"/>
        <v>103671.04699999839</v>
      </c>
      <c r="K14" s="15">
        <f t="shared" si="1"/>
        <v>120867.51859999821</v>
      </c>
      <c r="N14" s="51">
        <v>2026</v>
      </c>
      <c r="O14" s="22">
        <f>K18/K9*100</f>
        <v>5.6330386240230563</v>
      </c>
    </row>
    <row r="15" spans="1:16" outlineLevel="1" x14ac:dyDescent="0.3">
      <c r="B15" s="56" t="s">
        <v>13</v>
      </c>
      <c r="C15" s="6"/>
      <c r="D15" s="7"/>
      <c r="E15" s="53">
        <v>40767</v>
      </c>
      <c r="F15" s="53">
        <v>88501.41</v>
      </c>
      <c r="G15" s="53">
        <v>75561.350000000006</v>
      </c>
      <c r="H15" s="53">
        <v>84893.05</v>
      </c>
      <c r="I15" s="53">
        <v>87082.12</v>
      </c>
      <c r="J15" s="16">
        <f>_xlfn.FORECAST.LINEAR(2025,E15:I15,E6:I6)</f>
        <v>102067.55000000075</v>
      </c>
      <c r="K15" s="16">
        <f>_xlfn.FORECAST.LINEAR(2026,E15:J15,E6:J6)</f>
        <v>110969.73800000176</v>
      </c>
      <c r="N15" s="9"/>
      <c r="O15" s="9"/>
    </row>
    <row r="16" spans="1:16" ht="15" outlineLevel="1" thickBot="1" x14ac:dyDescent="0.35">
      <c r="B16" s="52" t="s">
        <v>14</v>
      </c>
      <c r="C16" s="3"/>
      <c r="D16" s="3"/>
      <c r="E16" s="53">
        <v>1203.33</v>
      </c>
      <c r="F16" s="53">
        <v>1204.52</v>
      </c>
      <c r="G16" s="53">
        <v>1221.57</v>
      </c>
      <c r="H16" s="53">
        <v>1221.24</v>
      </c>
      <c r="I16" s="53">
        <v>1247.43</v>
      </c>
      <c r="J16" s="8">
        <f>_xlfn.FORECAST.LINEAR(2025,E16:I16,E6:I6)</f>
        <v>1251.094000000001</v>
      </c>
      <c r="K16" s="8">
        <f>_xlfn.FORECAST.LINEAR(2026,E16:J16,E6:J6)</f>
        <v>1261.586000000003</v>
      </c>
      <c r="N16" s="46" t="s">
        <v>6</v>
      </c>
      <c r="O16" s="46" t="s">
        <v>7</v>
      </c>
    </row>
    <row r="17" spans="1:36" outlineLevel="1" x14ac:dyDescent="0.3">
      <c r="B17" s="57" t="s">
        <v>15</v>
      </c>
      <c r="C17" s="25"/>
      <c r="D17" s="25"/>
      <c r="E17" s="26">
        <f t="shared" ref="E17:K17" si="4">E$7/E$16</f>
        <v>207.04970373879152</v>
      </c>
      <c r="F17" s="26">
        <f t="shared" si="4"/>
        <v>202.4949274399761</v>
      </c>
      <c r="G17" s="26">
        <f t="shared" si="4"/>
        <v>231.1956498604255</v>
      </c>
      <c r="H17" s="26">
        <f t="shared" si="4"/>
        <v>233.69344273033968</v>
      </c>
      <c r="I17" s="26">
        <f t="shared" si="4"/>
        <v>215.89381368092796</v>
      </c>
      <c r="J17" s="27">
        <f t="shared" si="4"/>
        <v>232.26199869873895</v>
      </c>
      <c r="K17" s="27">
        <f t="shared" si="4"/>
        <v>236.81533561723083</v>
      </c>
      <c r="N17" s="50">
        <v>2020</v>
      </c>
      <c r="O17" s="21">
        <f>E15/E7</f>
        <v>0.16362490062176419</v>
      </c>
    </row>
    <row r="18" spans="1:36" ht="15" outlineLevel="1" thickBot="1" x14ac:dyDescent="0.35">
      <c r="B18" s="58" t="s">
        <v>12</v>
      </c>
      <c r="C18" s="28"/>
      <c r="D18" s="29"/>
      <c r="E18" s="59">
        <v>1556.54</v>
      </c>
      <c r="F18" s="59">
        <v>7490.22</v>
      </c>
      <c r="G18" s="59">
        <v>40153.93</v>
      </c>
      <c r="H18" s="59">
        <v>8760.4</v>
      </c>
      <c r="I18" s="59">
        <v>-4437.4399999999996</v>
      </c>
      <c r="J18" s="30">
        <f>_xlfn.FORECAST.LINEAR(2025,E18:I18,E6:I6)</f>
        <v>7489.3959999997169</v>
      </c>
      <c r="K18" s="31">
        <f>_xlfn.FORECAST.LINEAR(2026,E18:J18,E6:J6)</f>
        <v>6417.6179999997839</v>
      </c>
      <c r="L18" s="6"/>
      <c r="M18" s="6"/>
      <c r="N18" s="50">
        <v>2021</v>
      </c>
      <c r="O18" s="40">
        <f>F15/F7</f>
        <v>0.36284573779282364</v>
      </c>
      <c r="P18" s="12"/>
      <c r="Q18" s="12"/>
      <c r="R18" s="12"/>
      <c r="S18" s="12"/>
      <c r="T18" s="16"/>
      <c r="U18" s="16"/>
      <c r="W18" s="3"/>
      <c r="X18" s="3"/>
      <c r="Y18" s="3"/>
      <c r="Z18" s="4"/>
      <c r="AA18" s="4"/>
      <c r="AB18" s="4"/>
      <c r="AC18" s="4"/>
      <c r="AD18" s="4"/>
      <c r="AE18" s="20"/>
      <c r="AF18" s="20"/>
      <c r="AI18" s="50">
        <v>2021</v>
      </c>
      <c r="AJ18" s="21">
        <f>F15/F7</f>
        <v>0.36284573779282364</v>
      </c>
    </row>
    <row r="19" spans="1:36" ht="15" outlineLevel="1" thickTop="1" x14ac:dyDescent="0.3">
      <c r="N19" s="50">
        <v>2022</v>
      </c>
      <c r="O19" s="21">
        <f>G15/G7</f>
        <v>0.26754798950094733</v>
      </c>
    </row>
    <row r="20" spans="1:36" outlineLevel="1" x14ac:dyDescent="0.3">
      <c r="A20" s="7"/>
      <c r="N20" s="50">
        <v>2023</v>
      </c>
      <c r="O20" s="21">
        <f>H15/H7</f>
        <v>0.2974572714424859</v>
      </c>
    </row>
    <row r="21" spans="1:36" ht="15" thickBot="1" x14ac:dyDescent="0.35">
      <c r="A21" t="s">
        <v>34</v>
      </c>
      <c r="B21" s="54" t="str">
        <f>"ASSUMPTION DRIVER"&amp;" - "&amp;+C5</f>
        <v>ASSUMPTION DRIVER - TATA STEEL</v>
      </c>
      <c r="C21" s="17"/>
      <c r="D21" s="17"/>
      <c r="E21" s="43">
        <v>2020</v>
      </c>
      <c r="F21" s="43">
        <v>2021</v>
      </c>
      <c r="G21" s="43">
        <v>2022</v>
      </c>
      <c r="H21" s="43">
        <v>2023</v>
      </c>
      <c r="I21" s="43">
        <v>2024</v>
      </c>
      <c r="J21" s="44">
        <v>2025</v>
      </c>
      <c r="K21" s="45">
        <v>2026</v>
      </c>
      <c r="N21" s="50">
        <v>2024</v>
      </c>
      <c r="O21" s="21">
        <f>I15/I7</f>
        <v>0.32334981060286783</v>
      </c>
    </row>
    <row r="22" spans="1:36" ht="15" outlineLevel="1" thickBot="1" x14ac:dyDescent="0.35">
      <c r="B22" s="55" t="s">
        <v>20</v>
      </c>
      <c r="C22" s="11"/>
      <c r="E22" s="60" t="s">
        <v>17</v>
      </c>
      <c r="F22" s="23">
        <f>(F7-E7)/F7*100</f>
        <v>-2.148311836876664</v>
      </c>
      <c r="G22" s="14">
        <f>(G7-F7)/G7*100%</f>
        <v>0.13636517339480353</v>
      </c>
      <c r="H22" s="14">
        <f t="shared" ref="H22:K22" si="5">(H7-G7)/H7*100%</f>
        <v>1.0421002020422461E-2</v>
      </c>
      <c r="I22" s="14">
        <f t="shared" si="5"/>
        <v>-5.9720082720284659E-2</v>
      </c>
      <c r="J22" s="14">
        <f t="shared" si="5"/>
        <v>7.3195183426502636E-2</v>
      </c>
      <c r="K22" s="14">
        <f t="shared" si="5"/>
        <v>2.7383984662728556E-2</v>
      </c>
      <c r="N22" s="51">
        <v>2025</v>
      </c>
      <c r="O22" s="22">
        <f>J15/J7</f>
        <v>0.35125263423000308</v>
      </c>
    </row>
    <row r="23" spans="1:36" ht="15" outlineLevel="1" thickBot="1" x14ac:dyDescent="0.35">
      <c r="B23" s="52" t="s">
        <v>21</v>
      </c>
      <c r="C23" s="3"/>
      <c r="E23" s="14">
        <f>(E7-E8)/E7*100%</f>
        <v>0.30569202893431852</v>
      </c>
      <c r="F23" s="14">
        <f t="shared" ref="F23:K23" si="6">(F7-F8)/F7*100%</f>
        <v>0.31777584928226776</v>
      </c>
      <c r="G23" s="14">
        <f t="shared" si="6"/>
        <v>0.41462278726699692</v>
      </c>
      <c r="H23" s="14">
        <f t="shared" si="6"/>
        <v>0.36852405456030224</v>
      </c>
      <c r="I23" s="14">
        <f t="shared" si="6"/>
        <v>0.34321751666707384</v>
      </c>
      <c r="J23" s="14">
        <f t="shared" si="6"/>
        <v>0.38453049570831205</v>
      </c>
      <c r="K23" s="14">
        <f t="shared" si="6"/>
        <v>0.38256518198618217</v>
      </c>
      <c r="N23" s="51">
        <v>2026</v>
      </c>
      <c r="O23" s="22">
        <f>K15/K7</f>
        <v>0.37143076848843132</v>
      </c>
    </row>
    <row r="24" spans="1:36" ht="15" outlineLevel="1" thickBot="1" x14ac:dyDescent="0.35">
      <c r="B24" s="52" t="s">
        <v>22</v>
      </c>
      <c r="C24" s="3"/>
      <c r="E24" s="14">
        <f>(E7-E9)/E7*100%</f>
        <v>0.69430797106568154</v>
      </c>
      <c r="F24" s="14">
        <f t="shared" ref="F24:K24" si="7">(F7-F9)/F7*100%</f>
        <v>0.68222415071773224</v>
      </c>
      <c r="G24" s="14">
        <f t="shared" si="7"/>
        <v>0.58537721273300303</v>
      </c>
      <c r="H24" s="14">
        <f t="shared" si="7"/>
        <v>0.63147594543969776</v>
      </c>
      <c r="I24" s="14">
        <f t="shared" si="7"/>
        <v>0.6567824833329261</v>
      </c>
      <c r="J24" s="14">
        <f t="shared" si="7"/>
        <v>0.61546950429169434</v>
      </c>
      <c r="K24" s="14">
        <f t="shared" si="7"/>
        <v>0.61866694752259599</v>
      </c>
      <c r="N24" s="9"/>
      <c r="O24" s="9"/>
    </row>
    <row r="25" spans="1:36" ht="15" outlineLevel="1" thickBot="1" x14ac:dyDescent="0.35">
      <c r="B25" s="52" t="s">
        <v>23</v>
      </c>
      <c r="C25" s="3"/>
      <c r="E25" s="61">
        <v>2.2712661939080578</v>
      </c>
      <c r="F25" s="61">
        <v>2.1468722442520782</v>
      </c>
      <c r="G25" s="61">
        <v>1.4118307789871871</v>
      </c>
      <c r="H25" s="61">
        <v>1.7135270754391647</v>
      </c>
      <c r="I25" s="61">
        <v>1.9136042056093976</v>
      </c>
      <c r="J25" s="62">
        <v>1.5468193560161296</v>
      </c>
      <c r="K25" s="62">
        <v>1.5370310271059111</v>
      </c>
      <c r="N25" s="46" t="s">
        <v>6</v>
      </c>
      <c r="O25" s="46" t="s">
        <v>8</v>
      </c>
    </row>
    <row r="26" spans="1:36" ht="15" outlineLevel="1" thickBot="1" x14ac:dyDescent="0.35">
      <c r="B26" s="52" t="s">
        <v>24</v>
      </c>
      <c r="C26" s="3"/>
      <c r="E26" s="14">
        <f>(E7-E11)/E7*100%</f>
        <v>0.76426679733004876</v>
      </c>
      <c r="F26" s="14">
        <f t="shared" ref="F26:K26" si="8">(F7-F11)/F7*100%</f>
        <v>0.75313804289211084</v>
      </c>
      <c r="G26" s="14">
        <f t="shared" si="8"/>
        <v>0.67227511260024775</v>
      </c>
      <c r="H26" s="14">
        <f t="shared" si="8"/>
        <v>0.6965402221434388</v>
      </c>
      <c r="I26" s="14">
        <f t="shared" si="8"/>
        <v>0.7382089544923327</v>
      </c>
      <c r="J26" s="14">
        <f t="shared" si="8"/>
        <v>0.69473985917615177</v>
      </c>
      <c r="K26" s="14">
        <f t="shared" si="8"/>
        <v>0.69810516708312975</v>
      </c>
      <c r="N26" s="50">
        <v>2020</v>
      </c>
      <c r="O26" s="21">
        <f>50/E$17</f>
        <v>0.24148790892779393</v>
      </c>
    </row>
    <row r="27" spans="1:36" ht="15" outlineLevel="1" thickBot="1" x14ac:dyDescent="0.35">
      <c r="B27" s="52" t="s">
        <v>25</v>
      </c>
      <c r="C27" s="3"/>
      <c r="E27" s="14">
        <f>(E7-E12)/E7*100%</f>
        <v>0.75251403657375948</v>
      </c>
      <c r="F27" s="14">
        <f t="shared" ref="F27:K27" si="9">(F7-F12)/F7*100%</f>
        <v>0.70945280905569819</v>
      </c>
      <c r="G27" s="14">
        <f t="shared" si="9"/>
        <v>0.67924557630439619</v>
      </c>
      <c r="H27" s="14">
        <f t="shared" si="9"/>
        <v>0.65908700542103327</v>
      </c>
      <c r="I27" s="14">
        <f t="shared" si="9"/>
        <v>0.6346121727323234</v>
      </c>
      <c r="J27" s="14">
        <f t="shared" si="9"/>
        <v>0.60858886199305395</v>
      </c>
      <c r="K27" s="14">
        <f t="shared" si="9"/>
        <v>0.59083069989623094</v>
      </c>
      <c r="N27" s="50">
        <v>2021</v>
      </c>
      <c r="O27" s="21">
        <f>55/F$17</f>
        <v>0.27161174205859157</v>
      </c>
    </row>
    <row r="28" spans="1:36" ht="15" outlineLevel="1" thickBot="1" x14ac:dyDescent="0.35">
      <c r="B28" s="52" t="s">
        <v>26</v>
      </c>
      <c r="C28" s="3"/>
      <c r="E28" s="61">
        <v>0.95251140471329399</v>
      </c>
      <c r="F28" s="61">
        <v>0.84964496234008624</v>
      </c>
      <c r="G28" s="61">
        <v>1.0217314655362741</v>
      </c>
      <c r="H28" s="61">
        <v>0.89013848894595238</v>
      </c>
      <c r="I28" s="61">
        <v>0.71647445801713516</v>
      </c>
      <c r="J28" s="62">
        <v>0.75662604587462567</v>
      </c>
      <c r="K28" s="62">
        <v>0.69953463200779709</v>
      </c>
      <c r="N28" s="50">
        <v>2022</v>
      </c>
      <c r="O28" s="21">
        <f>130/G17</f>
        <v>0.56229431686315012</v>
      </c>
    </row>
    <row r="29" spans="1:36" ht="15" outlineLevel="1" thickBot="1" x14ac:dyDescent="0.35">
      <c r="B29" s="52" t="s">
        <v>27</v>
      </c>
      <c r="C29" s="3"/>
      <c r="E29" s="14">
        <f>(E7-E14)/E7*100%</f>
        <v>0.87070120897878345</v>
      </c>
      <c r="F29" s="14">
        <f t="shared" ref="F29:K29" si="10">(F7-F14)/F7*100%</f>
        <v>0.86418379725667571</v>
      </c>
      <c r="G29" s="14">
        <f t="shared" si="10"/>
        <v>0.7421442554319575</v>
      </c>
      <c r="H29" s="14">
        <f t="shared" si="10"/>
        <v>0.77102580143266319</v>
      </c>
      <c r="I29" s="14">
        <f t="shared" si="10"/>
        <v>0.6628884772562661</v>
      </c>
      <c r="J29" s="14">
        <f t="shared" si="10"/>
        <v>0.64322913254867364</v>
      </c>
      <c r="K29" s="14">
        <f t="shared" si="10"/>
        <v>0.59544001699917148</v>
      </c>
      <c r="N29" s="50">
        <v>2023</v>
      </c>
      <c r="O29" s="21">
        <f>100/H17</f>
        <v>0.42791102237040779</v>
      </c>
    </row>
    <row r="30" spans="1:36" outlineLevel="1" x14ac:dyDescent="0.3">
      <c r="B30" s="63" t="s">
        <v>28</v>
      </c>
      <c r="C30" s="6"/>
      <c r="E30" s="24">
        <f>E18</f>
        <v>1556.54</v>
      </c>
      <c r="F30" s="14">
        <f>(F18-E18)/F18*100%</f>
        <v>0.79219034954914547</v>
      </c>
      <c r="G30" s="14">
        <f t="shared" ref="G30:K30" si="11">(G18-F18)/G18*100%</f>
        <v>0.81346234353648572</v>
      </c>
      <c r="H30" s="14">
        <f t="shared" si="11"/>
        <v>-3.5835726679147073</v>
      </c>
      <c r="I30" s="14">
        <f t="shared" si="11"/>
        <v>2.9742013413139112</v>
      </c>
      <c r="J30" s="14">
        <f t="shared" si="11"/>
        <v>1.5924963775450205</v>
      </c>
      <c r="K30" s="14">
        <f t="shared" si="11"/>
        <v>-0.16700557745879688</v>
      </c>
      <c r="N30" s="50">
        <v>2024</v>
      </c>
      <c r="O30" s="21">
        <f>150/I17</f>
        <v>0.69478600355676146</v>
      </c>
    </row>
    <row r="31" spans="1:36" outlineLevel="1" x14ac:dyDescent="0.3">
      <c r="B31" s="56" t="s">
        <v>29</v>
      </c>
      <c r="C31" s="6"/>
      <c r="E31" s="14">
        <f>(E7-E15)/E7*100%</f>
        <v>0.83637509937823584</v>
      </c>
      <c r="F31" s="14">
        <f t="shared" ref="F31:K31" si="12">(F7-F15)/F7*100%</f>
        <v>0.6371542622071763</v>
      </c>
      <c r="G31" s="14">
        <f t="shared" si="12"/>
        <v>0.73245201049905262</v>
      </c>
      <c r="H31" s="14">
        <f t="shared" si="12"/>
        <v>0.7025427285575141</v>
      </c>
      <c r="I31" s="14">
        <f t="shared" si="12"/>
        <v>0.67665018939713217</v>
      </c>
      <c r="J31" s="14">
        <f t="shared" si="12"/>
        <v>0.64874736576999692</v>
      </c>
      <c r="K31" s="14">
        <f t="shared" si="12"/>
        <v>0.62856923151156863</v>
      </c>
      <c r="N31" s="51">
        <v>2025</v>
      </c>
      <c r="O31" s="22">
        <f>170/J17</f>
        <v>0.73193204636330811</v>
      </c>
    </row>
    <row r="32" spans="1:36" outlineLevel="1" x14ac:dyDescent="0.3">
      <c r="B32" s="57" t="s">
        <v>30</v>
      </c>
      <c r="C32" s="25"/>
      <c r="E32" s="24">
        <f>E16</f>
        <v>1203.33</v>
      </c>
      <c r="F32" s="14">
        <f>(E16-F16)/E16*100%</f>
        <v>-9.8892240698732247E-4</v>
      </c>
      <c r="G32" s="14">
        <f t="shared" ref="G32:K32" si="13">(F16-G16)/F16*100%</f>
        <v>-1.4155016106000694E-2</v>
      </c>
      <c r="H32" s="14">
        <f t="shared" si="13"/>
        <v>2.7014415874647153E-4</v>
      </c>
      <c r="I32" s="14">
        <f t="shared" si="13"/>
        <v>-2.1445416134420796E-2</v>
      </c>
      <c r="J32" s="14">
        <f t="shared" si="13"/>
        <v>-2.9372389633092813E-3</v>
      </c>
      <c r="K32" s="14">
        <f t="shared" si="13"/>
        <v>-8.3862603449477019E-3</v>
      </c>
      <c r="N32" s="51">
        <v>2026</v>
      </c>
      <c r="O32" s="22">
        <f>200/K17</f>
        <v>0.84453990058846462</v>
      </c>
    </row>
    <row r="33" spans="1:11" ht="15" outlineLevel="1" thickBot="1" x14ac:dyDescent="0.35">
      <c r="B33" s="64" t="s">
        <v>15</v>
      </c>
      <c r="C33" s="32"/>
      <c r="D33" s="33"/>
      <c r="E33" s="34">
        <f>E17</f>
        <v>207.04970373879152</v>
      </c>
      <c r="F33" s="35">
        <f>(E17-F17)/E17*100%</f>
        <v>2.199846808069628E-2</v>
      </c>
      <c r="G33" s="35">
        <f t="shared" ref="G33:K33" si="14">(F17-G17)/F17*100%</f>
        <v>-0.14173551299924256</v>
      </c>
      <c r="H33" s="35">
        <f t="shared" si="14"/>
        <v>-1.080380565733877E-2</v>
      </c>
      <c r="I33" s="35">
        <f t="shared" si="14"/>
        <v>7.61665746434778E-2</v>
      </c>
      <c r="J33" s="35">
        <f t="shared" si="14"/>
        <v>-7.5815905693350352E-2</v>
      </c>
      <c r="K33" s="35">
        <f t="shared" si="14"/>
        <v>-1.9604312991372712E-2</v>
      </c>
    </row>
    <row r="34" spans="1:11" ht="15" thickTop="1" x14ac:dyDescent="0.3"/>
    <row r="36" spans="1:11" x14ac:dyDescent="0.3">
      <c r="A36" t="s">
        <v>34</v>
      </c>
      <c r="B36" s="66" t="str">
        <f>"C0MMON SIZE STATEMENT"&amp;" - "&amp;+C5</f>
        <v>C0MMON SIZE STATEMENT - TATA STEEL</v>
      </c>
      <c r="C36" s="36"/>
      <c r="D36" s="36"/>
      <c r="E36" s="65">
        <v>2020</v>
      </c>
      <c r="F36" s="65">
        <v>2021</v>
      </c>
      <c r="G36" s="65">
        <v>2022</v>
      </c>
      <c r="H36" s="65">
        <v>2023</v>
      </c>
      <c r="I36" s="65">
        <v>2024</v>
      </c>
      <c r="J36" s="65">
        <v>2025</v>
      </c>
      <c r="K36" s="65">
        <v>2026</v>
      </c>
    </row>
    <row r="37" spans="1:11" outlineLevel="1" x14ac:dyDescent="0.3">
      <c r="B37" s="42" t="s">
        <v>0</v>
      </c>
      <c r="E37" s="14">
        <f>E7/E7</f>
        <v>1</v>
      </c>
      <c r="F37" s="14">
        <f t="shared" ref="F37:K37" si="15">F7/F7</f>
        <v>1</v>
      </c>
      <c r="G37" s="14">
        <f t="shared" si="15"/>
        <v>1</v>
      </c>
      <c r="H37" s="14">
        <f t="shared" si="15"/>
        <v>1</v>
      </c>
      <c r="I37" s="14">
        <f t="shared" si="15"/>
        <v>1</v>
      </c>
      <c r="J37" s="14">
        <f t="shared" si="15"/>
        <v>1</v>
      </c>
      <c r="K37" s="14">
        <f t="shared" si="15"/>
        <v>1</v>
      </c>
    </row>
    <row r="38" spans="1:11" outlineLevel="1" x14ac:dyDescent="0.3">
      <c r="B38" s="42" t="s">
        <v>1</v>
      </c>
      <c r="E38" s="14">
        <f>E8/E$7*100%</f>
        <v>0.69430797106568154</v>
      </c>
      <c r="F38" s="14">
        <f t="shared" ref="F38:K38" si="16">F8/F$7*100%</f>
        <v>0.68222415071773224</v>
      </c>
      <c r="G38" s="14">
        <f t="shared" si="16"/>
        <v>0.58537721273300314</v>
      </c>
      <c r="H38" s="14">
        <f t="shared" si="16"/>
        <v>0.63147594543969776</v>
      </c>
      <c r="I38" s="14">
        <f t="shared" si="16"/>
        <v>0.6567824833329261</v>
      </c>
      <c r="J38" s="14">
        <f t="shared" si="16"/>
        <v>0.61546950429168801</v>
      </c>
      <c r="K38" s="14">
        <f t="shared" si="16"/>
        <v>0.61743481801381783</v>
      </c>
    </row>
    <row r="39" spans="1:11" outlineLevel="1" x14ac:dyDescent="0.3">
      <c r="B39" s="42" t="s">
        <v>2</v>
      </c>
      <c r="E39" s="14">
        <f t="shared" ref="E39:K39" si="17">E9/E$7*100%</f>
        <v>0.30569202893431852</v>
      </c>
      <c r="F39" s="14">
        <f t="shared" si="17"/>
        <v>0.31777584928226771</v>
      </c>
      <c r="G39" s="14">
        <f t="shared" si="17"/>
        <v>0.41462278726699697</v>
      </c>
      <c r="H39" s="14">
        <f t="shared" si="17"/>
        <v>0.36852405456030218</v>
      </c>
      <c r="I39" s="14">
        <f t="shared" si="17"/>
        <v>0.3432175166670739</v>
      </c>
      <c r="J39" s="14">
        <f t="shared" si="17"/>
        <v>0.38453049570830561</v>
      </c>
      <c r="K39" s="14">
        <f t="shared" si="17"/>
        <v>0.38133305247740401</v>
      </c>
    </row>
    <row r="40" spans="1:11" outlineLevel="1" x14ac:dyDescent="0.3">
      <c r="B40" s="42" t="s">
        <v>9</v>
      </c>
      <c r="E40" s="14">
        <f t="shared" ref="E40:K41" si="18">E11/E$7*100%</f>
        <v>0.23573320266995124</v>
      </c>
      <c r="F40" s="14">
        <f t="shared" si="18"/>
        <v>0.24686195710788922</v>
      </c>
      <c r="G40" s="14">
        <f t="shared" si="18"/>
        <v>0.32772488739975231</v>
      </c>
      <c r="H40" s="14">
        <f t="shared" si="18"/>
        <v>0.30345977785656114</v>
      </c>
      <c r="I40" s="14">
        <f t="shared" si="18"/>
        <v>0.2617910455076673</v>
      </c>
      <c r="J40" s="14">
        <f t="shared" si="18"/>
        <v>0.30526014082384823</v>
      </c>
      <c r="K40" s="14">
        <f t="shared" si="18"/>
        <v>0.30189483291687019</v>
      </c>
    </row>
    <row r="41" spans="1:11" outlineLevel="1" x14ac:dyDescent="0.3">
      <c r="B41" s="42" t="s">
        <v>10</v>
      </c>
      <c r="E41" s="14">
        <f t="shared" si="18"/>
        <v>0.24748596342624049</v>
      </c>
      <c r="F41" s="14">
        <f t="shared" si="18"/>
        <v>0.29054719094430187</v>
      </c>
      <c r="G41" s="14">
        <f t="shared" si="18"/>
        <v>0.32075442369560381</v>
      </c>
      <c r="H41" s="14">
        <f t="shared" si="18"/>
        <v>0.34091299457896679</v>
      </c>
      <c r="I41" s="14">
        <f t="shared" si="18"/>
        <v>0.36538782726767671</v>
      </c>
      <c r="J41" s="14">
        <f t="shared" si="18"/>
        <v>0.3914111380069461</v>
      </c>
      <c r="K41" s="14">
        <f t="shared" si="18"/>
        <v>0.40916930010376906</v>
      </c>
    </row>
    <row r="42" spans="1:11" outlineLevel="1" x14ac:dyDescent="0.3">
      <c r="B42" s="42" t="s">
        <v>11</v>
      </c>
      <c r="E42" s="14">
        <f t="shared" ref="E42:K43" si="19">E14/E$7*100%</f>
        <v>0.12929879102121652</v>
      </c>
      <c r="F42" s="14">
        <f t="shared" si="19"/>
        <v>0.13581620274332426</v>
      </c>
      <c r="G42" s="14">
        <f t="shared" si="19"/>
        <v>0.25785574456804256</v>
      </c>
      <c r="H42" s="14">
        <f t="shared" si="19"/>
        <v>0.22897419856733689</v>
      </c>
      <c r="I42" s="14">
        <f t="shared" si="19"/>
        <v>0.3371115227437339</v>
      </c>
      <c r="J42" s="14">
        <f t="shared" si="19"/>
        <v>0.35677086745132636</v>
      </c>
      <c r="K42" s="14">
        <f t="shared" si="19"/>
        <v>0.40455998300082846</v>
      </c>
    </row>
    <row r="43" spans="1:11" outlineLevel="1" x14ac:dyDescent="0.3">
      <c r="B43" s="42" t="s">
        <v>13</v>
      </c>
      <c r="E43" s="14">
        <f t="shared" si="19"/>
        <v>0.16362490062176419</v>
      </c>
      <c r="F43" s="14">
        <f t="shared" si="19"/>
        <v>0.36284573779282364</v>
      </c>
      <c r="G43" s="14">
        <f t="shared" si="19"/>
        <v>0.26754798950094733</v>
      </c>
      <c r="H43" s="14">
        <f t="shared" si="19"/>
        <v>0.2974572714424859</v>
      </c>
      <c r="I43" s="14">
        <f t="shared" si="19"/>
        <v>0.32334981060286783</v>
      </c>
      <c r="J43" s="14">
        <f t="shared" si="19"/>
        <v>0.35125263423000308</v>
      </c>
      <c r="K43" s="14">
        <f t="shared" si="19"/>
        <v>0.37143076848843132</v>
      </c>
    </row>
    <row r="44" spans="1:11" outlineLevel="1" x14ac:dyDescent="0.3">
      <c r="B44" s="42" t="s">
        <v>12</v>
      </c>
      <c r="E44" s="14">
        <f t="shared" ref="E44:K44" si="20">E18/E$7*100%</f>
        <v>6.2474232299114685E-3</v>
      </c>
      <c r="F44" s="14">
        <f t="shared" si="20"/>
        <v>3.0709052004149577E-2</v>
      </c>
      <c r="G44" s="14">
        <f t="shared" si="20"/>
        <v>0.14217722740609814</v>
      </c>
      <c r="H44" s="14">
        <f t="shared" si="20"/>
        <v>3.0695618554696213E-2</v>
      </c>
      <c r="I44" s="14">
        <f t="shared" si="20"/>
        <v>-1.6476922972954607E-2</v>
      </c>
      <c r="J44" s="14">
        <f t="shared" si="20"/>
        <v>2.5773814241563841E-2</v>
      </c>
      <c r="K44" s="14">
        <f t="shared" si="20"/>
        <v>2.1480638132218278E-2</v>
      </c>
    </row>
    <row r="46" spans="1:11" x14ac:dyDescent="0.3">
      <c r="E46" s="14"/>
      <c r="F46" s="14"/>
      <c r="G46" s="14"/>
      <c r="H46" s="14"/>
      <c r="I46" s="14"/>
      <c r="J46" s="14"/>
      <c r="K46" s="14"/>
    </row>
    <row r="47" spans="1:11" x14ac:dyDescent="0.3">
      <c r="A47" t="s">
        <v>34</v>
      </c>
      <c r="B47" s="67" t="str">
        <f>"CHANGE ANALYSIS"&amp;" - "&amp;+C5</f>
        <v>CHANGE ANALYSIS - TATA STEEL</v>
      </c>
      <c r="C47" s="37"/>
      <c r="D47" s="37"/>
      <c r="E47" s="38"/>
      <c r="F47" s="38"/>
      <c r="G47" s="38"/>
      <c r="H47" s="38"/>
      <c r="I47" s="38"/>
      <c r="J47" s="38"/>
      <c r="K47" s="38"/>
    </row>
    <row r="49" spans="2:11" outlineLevel="1" x14ac:dyDescent="0.3">
      <c r="C49" s="14"/>
      <c r="D49" s="68">
        <v>0.1</v>
      </c>
    </row>
    <row r="50" spans="2:11" outlineLevel="1" x14ac:dyDescent="0.3">
      <c r="B50" s="42" t="s">
        <v>18</v>
      </c>
      <c r="D50" s="39"/>
      <c r="E50" s="42">
        <v>2020</v>
      </c>
      <c r="F50" s="42">
        <v>2021</v>
      </c>
      <c r="G50" s="42">
        <v>2022</v>
      </c>
      <c r="H50" s="42">
        <v>2023</v>
      </c>
      <c r="I50" s="42">
        <v>2024</v>
      </c>
      <c r="J50" s="42">
        <v>2025</v>
      </c>
      <c r="K50" s="42">
        <v>2026</v>
      </c>
    </row>
    <row r="51" spans="2:11" outlineLevel="1" x14ac:dyDescent="0.3">
      <c r="B51" s="42" t="s">
        <v>0</v>
      </c>
      <c r="E51" s="2">
        <f>E7*(1+$D$49)</f>
        <v>274064.03200000001</v>
      </c>
      <c r="F51" s="2">
        <f t="shared" ref="F51:K51" si="21">F7*(1+$D$49)</f>
        <v>268300.109</v>
      </c>
      <c r="G51" s="2">
        <f t="shared" si="21"/>
        <v>310663.837</v>
      </c>
      <c r="H51" s="2">
        <f t="shared" si="21"/>
        <v>313935.35800000007</v>
      </c>
      <c r="I51" s="2">
        <f t="shared" si="21"/>
        <v>296243.66200000001</v>
      </c>
      <c r="J51" s="2">
        <f t="shared" si="21"/>
        <v>319639.7523000004</v>
      </c>
      <c r="K51" s="2">
        <f t="shared" si="21"/>
        <v>328639.20320000057</v>
      </c>
    </row>
    <row r="52" spans="2:11" outlineLevel="1" x14ac:dyDescent="0.3">
      <c r="B52" s="42" t="s">
        <v>1</v>
      </c>
      <c r="E52" s="2">
        <f t="shared" ref="E52:K52" si="22">E8*(1+$D$49)</f>
        <v>190284.842</v>
      </c>
      <c r="F52" s="2">
        <f t="shared" si="22"/>
        <v>183040.81400000001</v>
      </c>
      <c r="G52" s="2">
        <f t="shared" si="22"/>
        <v>181855.53100000002</v>
      </c>
      <c r="H52" s="2">
        <f t="shared" si="22"/>
        <v>198242.62700000004</v>
      </c>
      <c r="I52" s="2">
        <f t="shared" si="22"/>
        <v>194567.64800000002</v>
      </c>
      <c r="J52" s="2">
        <f t="shared" si="22"/>
        <v>196728.51989999917</v>
      </c>
      <c r="K52" s="2">
        <f t="shared" si="22"/>
        <v>202913.28661999843</v>
      </c>
    </row>
    <row r="53" spans="2:11" outlineLevel="1" x14ac:dyDescent="0.3">
      <c r="B53" s="42" t="s">
        <v>2</v>
      </c>
      <c r="E53" s="2">
        <f t="shared" ref="E53:K53" si="23">E9*(1+$D$49)</f>
        <v>83779.19</v>
      </c>
      <c r="F53" s="2">
        <f t="shared" si="23"/>
        <v>85259.294999999998</v>
      </c>
      <c r="G53" s="2">
        <f t="shared" si="23"/>
        <v>128808.30600000001</v>
      </c>
      <c r="H53" s="2">
        <f t="shared" si="23"/>
        <v>115692.73100000001</v>
      </c>
      <c r="I53" s="2">
        <f t="shared" si="23"/>
        <v>101676.01400000001</v>
      </c>
      <c r="J53" s="2">
        <f t="shared" si="23"/>
        <v>122911.23239999918</v>
      </c>
      <c r="K53" s="2">
        <f t="shared" si="23"/>
        <v>125320.99051999804</v>
      </c>
    </row>
    <row r="54" spans="2:11" outlineLevel="1" x14ac:dyDescent="0.3">
      <c r="B54" s="42" t="s">
        <v>3</v>
      </c>
      <c r="E54" s="2">
        <f t="shared" ref="E54:K54" si="24">E10*(1+$D$49)</f>
        <v>2.4983928132988638</v>
      </c>
      <c r="F54" s="2">
        <f t="shared" si="24"/>
        <v>2.3615594686772861</v>
      </c>
      <c r="G54" s="2">
        <f t="shared" si="24"/>
        <v>1.553013856885906</v>
      </c>
      <c r="H54" s="2">
        <f t="shared" si="24"/>
        <v>1.8848797829830812</v>
      </c>
      <c r="I54" s="2">
        <f t="shared" si="24"/>
        <v>2.1049646261703376</v>
      </c>
      <c r="J54" s="2">
        <f t="shared" si="24"/>
        <v>1.7015012916177428</v>
      </c>
      <c r="K54" s="2">
        <f t="shared" si="24"/>
        <v>1.6907341298165024</v>
      </c>
    </row>
    <row r="55" spans="2:11" outlineLevel="1" x14ac:dyDescent="0.3">
      <c r="B55" s="42" t="s">
        <v>9</v>
      </c>
      <c r="E55" s="2">
        <f t="shared" ref="E55:K55" si="25">E11*(1+$D$49)</f>
        <v>64605.992000000006</v>
      </c>
      <c r="F55" s="2">
        <f t="shared" si="25"/>
        <v>66233.090000000011</v>
      </c>
      <c r="G55" s="2">
        <f t="shared" si="25"/>
        <v>101812.27100000001</v>
      </c>
      <c r="H55" s="2">
        <f t="shared" si="25"/>
        <v>95266.754000000001</v>
      </c>
      <c r="I55" s="2">
        <f t="shared" si="25"/>
        <v>77553.938000000009</v>
      </c>
      <c r="J55" s="2">
        <f t="shared" si="25"/>
        <v>97573.275799998097</v>
      </c>
      <c r="K55" s="2">
        <f t="shared" si="25"/>
        <v>99214.477339997524</v>
      </c>
    </row>
    <row r="56" spans="2:11" outlineLevel="1" x14ac:dyDescent="0.3">
      <c r="B56" s="42" t="s">
        <v>10</v>
      </c>
      <c r="E56" s="2">
        <f t="shared" ref="E56:K56" si="26">E12*(1+$D$49)</f>
        <v>67827.001000000004</v>
      </c>
      <c r="F56" s="2">
        <f t="shared" si="26"/>
        <v>77953.843000000008</v>
      </c>
      <c r="G56" s="2">
        <f t="shared" si="26"/>
        <v>99646.8</v>
      </c>
      <c r="H56" s="2">
        <f t="shared" si="26"/>
        <v>107024.64300000001</v>
      </c>
      <c r="I56" s="2">
        <f t="shared" si="26"/>
        <v>108243.82800000001</v>
      </c>
      <c r="J56" s="2">
        <f t="shared" si="26"/>
        <v>125110.55920000152</v>
      </c>
      <c r="K56" s="2">
        <f t="shared" si="26"/>
        <v>134469.07276000455</v>
      </c>
    </row>
    <row r="57" spans="2:11" outlineLevel="1" x14ac:dyDescent="0.3">
      <c r="B57" s="42" t="s">
        <v>4</v>
      </c>
      <c r="E57" s="2">
        <f t="shared" ref="E57:K57" si="27">E13*(1+$D$49)</f>
        <v>1.0477625451846235</v>
      </c>
      <c r="F57" s="2">
        <f t="shared" si="27"/>
        <v>0.93460945857409494</v>
      </c>
      <c r="G57" s="2">
        <f t="shared" si="27"/>
        <v>1.1239046120899017</v>
      </c>
      <c r="H57" s="2">
        <f t="shared" si="27"/>
        <v>0.97915233784054767</v>
      </c>
      <c r="I57" s="2">
        <f t="shared" si="27"/>
        <v>0.78812190381884872</v>
      </c>
      <c r="J57" s="2">
        <f t="shared" si="27"/>
        <v>0.83228865046208833</v>
      </c>
      <c r="K57" s="2">
        <f t="shared" si="27"/>
        <v>0.76948809520857686</v>
      </c>
    </row>
    <row r="58" spans="2:11" outlineLevel="1" x14ac:dyDescent="0.3">
      <c r="B58" s="42" t="s">
        <v>11</v>
      </c>
      <c r="E58" s="2">
        <f t="shared" ref="E58:K58" si="28">E14*(1+$D$49)</f>
        <v>35436.148000000001</v>
      </c>
      <c r="F58" s="2">
        <f t="shared" si="28"/>
        <v>36439.502</v>
      </c>
      <c r="G58" s="2">
        <f t="shared" si="28"/>
        <v>80106.455000000016</v>
      </c>
      <c r="H58" s="2">
        <f t="shared" si="28"/>
        <v>71883.097000000009</v>
      </c>
      <c r="I58" s="2">
        <f t="shared" si="28"/>
        <v>99867.152000000016</v>
      </c>
      <c r="J58" s="2">
        <f t="shared" si="28"/>
        <v>114038.15169999824</v>
      </c>
      <c r="K58" s="2">
        <f t="shared" si="28"/>
        <v>132954.27045999805</v>
      </c>
    </row>
    <row r="59" spans="2:11" outlineLevel="1" x14ac:dyDescent="0.3">
      <c r="B59" s="42" t="s">
        <v>13</v>
      </c>
      <c r="E59" s="2">
        <f t="shared" ref="E59:K59" si="29">E15*(1+$D$49)</f>
        <v>44843.700000000004</v>
      </c>
      <c r="F59" s="2">
        <f t="shared" si="29"/>
        <v>97351.551000000007</v>
      </c>
      <c r="G59" s="2">
        <f t="shared" si="29"/>
        <v>83117.485000000015</v>
      </c>
      <c r="H59" s="2">
        <f t="shared" si="29"/>
        <v>93382.35500000001</v>
      </c>
      <c r="I59" s="2">
        <f t="shared" si="29"/>
        <v>95790.332000000009</v>
      </c>
      <c r="J59" s="2">
        <f t="shared" si="29"/>
        <v>112274.30500000082</v>
      </c>
      <c r="K59" s="2">
        <f t="shared" si="29"/>
        <v>122066.71180000194</v>
      </c>
    </row>
    <row r="60" spans="2:11" outlineLevel="1" x14ac:dyDescent="0.3">
      <c r="B60" s="42" t="s">
        <v>14</v>
      </c>
      <c r="E60" s="2">
        <f t="shared" ref="E60:K60" si="30">E16*(1+$D$49)</f>
        <v>1323.663</v>
      </c>
      <c r="F60" s="2">
        <f t="shared" si="30"/>
        <v>1324.972</v>
      </c>
      <c r="G60" s="2">
        <f t="shared" si="30"/>
        <v>1343.7270000000001</v>
      </c>
      <c r="H60" s="2">
        <f t="shared" si="30"/>
        <v>1343.364</v>
      </c>
      <c r="I60" s="2">
        <f t="shared" si="30"/>
        <v>1372.1730000000002</v>
      </c>
      <c r="J60" s="2">
        <f t="shared" si="30"/>
        <v>1376.2034000000012</v>
      </c>
      <c r="K60" s="2">
        <f t="shared" si="30"/>
        <v>1387.7446000000034</v>
      </c>
    </row>
    <row r="61" spans="2:11" outlineLevel="1" x14ac:dyDescent="0.3">
      <c r="B61" s="42" t="s">
        <v>15</v>
      </c>
      <c r="E61" s="2">
        <f t="shared" ref="E61:K61" si="31">E17*(1+$D$49)</f>
        <v>227.7546741126707</v>
      </c>
      <c r="F61" s="2">
        <f t="shared" si="31"/>
        <v>222.74442018397372</v>
      </c>
      <c r="G61" s="2">
        <f t="shared" si="31"/>
        <v>254.31521484646808</v>
      </c>
      <c r="H61" s="2">
        <f t="shared" si="31"/>
        <v>257.06278700337367</v>
      </c>
      <c r="I61" s="2">
        <f t="shared" si="31"/>
        <v>237.48319504902076</v>
      </c>
      <c r="J61" s="2">
        <f t="shared" si="31"/>
        <v>255.48819856861286</v>
      </c>
      <c r="K61" s="2">
        <f t="shared" si="31"/>
        <v>260.49686917895394</v>
      </c>
    </row>
    <row r="62" spans="2:11" outlineLevel="1" x14ac:dyDescent="0.3">
      <c r="B62" s="42" t="s">
        <v>12</v>
      </c>
      <c r="E62" s="2">
        <f t="shared" ref="E62:K62" si="32">E18*(1+$D$49)</f>
        <v>1712.1940000000002</v>
      </c>
      <c r="F62" s="2">
        <f t="shared" si="32"/>
        <v>8239.2420000000002</v>
      </c>
      <c r="G62" s="2">
        <f t="shared" si="32"/>
        <v>44169.323000000004</v>
      </c>
      <c r="H62" s="2">
        <f t="shared" si="32"/>
        <v>9636.44</v>
      </c>
      <c r="I62" s="2">
        <f t="shared" si="32"/>
        <v>-4881.1840000000002</v>
      </c>
      <c r="J62" s="2">
        <f t="shared" si="32"/>
        <v>8238.3355999996893</v>
      </c>
      <c r="K62" s="2">
        <f t="shared" si="32"/>
        <v>7059.3797999997632</v>
      </c>
    </row>
    <row r="65" spans="1:11" x14ac:dyDescent="0.3">
      <c r="A65" t="s">
        <v>34</v>
      </c>
      <c r="B65" s="13" t="s">
        <v>33</v>
      </c>
    </row>
    <row r="66" spans="1:11" x14ac:dyDescent="0.3">
      <c r="B66" t="s">
        <v>2</v>
      </c>
      <c r="D66" s="42">
        <v>0.1</v>
      </c>
      <c r="E66" s="2">
        <f>E9</f>
        <v>76162.899999999994</v>
      </c>
      <c r="F66" s="2">
        <f t="shared" ref="F66:K66" si="33">F9</f>
        <v>77508.45</v>
      </c>
      <c r="G66" s="2">
        <f t="shared" si="33"/>
        <v>117098.46</v>
      </c>
      <c r="H66" s="2">
        <f t="shared" si="33"/>
        <v>105175.21</v>
      </c>
      <c r="I66" s="2">
        <f t="shared" si="33"/>
        <v>92432.74</v>
      </c>
      <c r="J66" s="2">
        <f t="shared" si="33"/>
        <v>111737.48399999924</v>
      </c>
      <c r="K66" s="2">
        <f t="shared" si="33"/>
        <v>113928.17319999821</v>
      </c>
    </row>
    <row r="67" spans="1:11" x14ac:dyDescent="0.3">
      <c r="B67" t="s">
        <v>9</v>
      </c>
      <c r="D67" s="42">
        <v>0.2</v>
      </c>
      <c r="E67" s="2">
        <f>E11</f>
        <v>58732.72</v>
      </c>
      <c r="F67" s="2">
        <f t="shared" ref="F67:K67" si="34">F11</f>
        <v>60211.9</v>
      </c>
      <c r="G67" s="2">
        <f t="shared" si="34"/>
        <v>92556.61</v>
      </c>
      <c r="H67" s="2">
        <f t="shared" si="34"/>
        <v>86606.14</v>
      </c>
      <c r="I67" s="2">
        <f t="shared" si="34"/>
        <v>70503.58</v>
      </c>
      <c r="J67" s="2">
        <f t="shared" si="34"/>
        <v>88702.977999998257</v>
      </c>
      <c r="K67" s="2">
        <f t="shared" si="34"/>
        <v>90194.979399997741</v>
      </c>
    </row>
    <row r="68" spans="1:11" x14ac:dyDescent="0.3">
      <c r="B68" t="s">
        <v>11</v>
      </c>
      <c r="D68" s="42">
        <v>0.2</v>
      </c>
      <c r="E68" s="2">
        <f>E14</f>
        <v>32214.68</v>
      </c>
      <c r="F68" s="2">
        <f t="shared" ref="F68:K68" si="35">F14</f>
        <v>33126.82</v>
      </c>
      <c r="G68" s="2">
        <f t="shared" si="35"/>
        <v>72824.05</v>
      </c>
      <c r="H68" s="2">
        <f t="shared" si="35"/>
        <v>65348.27</v>
      </c>
      <c r="I68" s="2">
        <f t="shared" si="35"/>
        <v>90788.32</v>
      </c>
      <c r="J68" s="2">
        <f t="shared" si="35"/>
        <v>103671.04699999839</v>
      </c>
      <c r="K68" s="2">
        <f t="shared" si="35"/>
        <v>120867.51859999821</v>
      </c>
    </row>
    <row r="69" spans="1:11" x14ac:dyDescent="0.3">
      <c r="B69" t="s">
        <v>14</v>
      </c>
      <c r="D69" s="42">
        <v>0.3</v>
      </c>
      <c r="E69" s="2">
        <f>E16</f>
        <v>1203.33</v>
      </c>
      <c r="F69" s="2">
        <f t="shared" ref="F69:K69" si="36">F16</f>
        <v>1204.52</v>
      </c>
      <c r="G69" s="2">
        <f t="shared" si="36"/>
        <v>1221.57</v>
      </c>
      <c r="H69" s="2">
        <f t="shared" si="36"/>
        <v>1221.24</v>
      </c>
      <c r="I69" s="2">
        <f t="shared" si="36"/>
        <v>1247.43</v>
      </c>
      <c r="J69" s="2">
        <f t="shared" si="36"/>
        <v>1251.094000000001</v>
      </c>
      <c r="K69" s="2">
        <f t="shared" si="36"/>
        <v>1261.586000000003</v>
      </c>
    </row>
    <row r="70" spans="1:11" x14ac:dyDescent="0.3">
      <c r="B70" t="s">
        <v>12</v>
      </c>
      <c r="D70" s="42">
        <v>0.2</v>
      </c>
      <c r="E70" s="2">
        <f>E18</f>
        <v>1556.54</v>
      </c>
      <c r="F70" s="2">
        <f t="shared" ref="F70:K70" si="37">F18</f>
        <v>7490.22</v>
      </c>
      <c r="G70" s="2">
        <f t="shared" si="37"/>
        <v>40153.93</v>
      </c>
      <c r="H70" s="2">
        <f t="shared" si="37"/>
        <v>8760.4</v>
      </c>
      <c r="I70" s="2">
        <f t="shared" si="37"/>
        <v>-4437.4399999999996</v>
      </c>
      <c r="J70" s="2">
        <f t="shared" si="37"/>
        <v>7489.3959999997169</v>
      </c>
      <c r="K70" s="2">
        <f t="shared" si="37"/>
        <v>6417.6179999997839</v>
      </c>
    </row>
    <row r="71" spans="1:11" x14ac:dyDescent="0.3">
      <c r="B71" s="70" t="s">
        <v>35</v>
      </c>
      <c r="C71" s="71"/>
      <c r="D71" s="70">
        <f>SUM(D66:D70)</f>
        <v>1</v>
      </c>
      <c r="E71" s="72">
        <f>SUM(E66:E70)</f>
        <v>169870.16999999998</v>
      </c>
      <c r="F71" s="72">
        <f t="shared" ref="F71:K71" si="38">SUM(F66:F70)</f>
        <v>179541.91</v>
      </c>
      <c r="G71" s="72">
        <f t="shared" si="38"/>
        <v>323854.62</v>
      </c>
      <c r="H71" s="72">
        <f t="shared" si="38"/>
        <v>267111.26</v>
      </c>
      <c r="I71" s="72">
        <f t="shared" si="38"/>
        <v>250534.63</v>
      </c>
      <c r="J71" s="72">
        <f t="shared" si="38"/>
        <v>312851.99899999559</v>
      </c>
      <c r="K71" s="72">
        <f t="shared" si="38"/>
        <v>332669.87519999396</v>
      </c>
    </row>
    <row r="74" spans="1:11" x14ac:dyDescent="0.3">
      <c r="B74" s="13" t="s">
        <v>36</v>
      </c>
      <c r="E74" s="2">
        <f>AVERAGE(E66:E70)</f>
        <v>33974.034</v>
      </c>
      <c r="F74" s="2">
        <f t="shared" ref="F74:K74" si="39">AVERAGE(F66:F70)</f>
        <v>35908.381999999998</v>
      </c>
      <c r="G74" s="2">
        <f t="shared" si="39"/>
        <v>64770.923999999999</v>
      </c>
      <c r="H74" s="2">
        <f t="shared" si="39"/>
        <v>53422.252</v>
      </c>
      <c r="I74" s="2">
        <f t="shared" si="39"/>
        <v>50106.925999999999</v>
      </c>
      <c r="J74" s="2">
        <f t="shared" si="39"/>
        <v>62570.399799999119</v>
      </c>
      <c r="K74" s="2">
        <f t="shared" si="39"/>
        <v>66533.975039998797</v>
      </c>
    </row>
    <row r="75" spans="1:11" x14ac:dyDescent="0.3">
      <c r="B75" s="13" t="s">
        <v>37</v>
      </c>
      <c r="E75" s="2">
        <f>SUMPRODUCT($D$66:$D$70,E66:E70)</f>
        <v>26478.077000000005</v>
      </c>
      <c r="F75" s="2">
        <f t="shared" ref="F75:K75" si="40">SUMPRODUCT($D$66:$D$70,F66:F70)</f>
        <v>28277.989000000005</v>
      </c>
      <c r="G75" s="2">
        <f t="shared" si="40"/>
        <v>53183.235000000001</v>
      </c>
      <c r="H75" s="2">
        <f t="shared" si="40"/>
        <v>43026.855000000003</v>
      </c>
      <c r="I75" s="2">
        <f t="shared" si="40"/>
        <v>40988.395000000004</v>
      </c>
      <c r="J75" s="2">
        <f t="shared" si="40"/>
        <v>51521.760799999203</v>
      </c>
      <c r="K75" s="2">
        <f t="shared" si="40"/>
        <v>55267.316319998972</v>
      </c>
    </row>
    <row r="76" spans="1:11" x14ac:dyDescent="0.3">
      <c r="B76" s="13" t="s">
        <v>38</v>
      </c>
      <c r="E76" s="2">
        <f>MEDIAN(E66:E70)</f>
        <v>32214.68</v>
      </c>
      <c r="F76" s="2">
        <f t="shared" ref="F76:K76" si="41">MEDIAN(F66:F70)</f>
        <v>33126.82</v>
      </c>
      <c r="G76" s="2">
        <f t="shared" si="41"/>
        <v>72824.05</v>
      </c>
      <c r="H76" s="2">
        <f t="shared" si="41"/>
        <v>65348.27</v>
      </c>
      <c r="I76" s="2">
        <f t="shared" si="41"/>
        <v>70503.58</v>
      </c>
      <c r="J76" s="2">
        <f t="shared" si="41"/>
        <v>88702.977999998257</v>
      </c>
      <c r="K76" s="2">
        <f t="shared" si="41"/>
        <v>90194.979399997741</v>
      </c>
    </row>
    <row r="77" spans="1:11" x14ac:dyDescent="0.3">
      <c r="E77" s="2"/>
      <c r="F77" s="2"/>
      <c r="G77" s="2"/>
      <c r="H77" s="2"/>
      <c r="I77" s="2"/>
      <c r="J77" s="2"/>
      <c r="K77" s="2"/>
    </row>
    <row r="78" spans="1:11" x14ac:dyDescent="0.3">
      <c r="E78" s="2"/>
      <c r="F78" s="2"/>
      <c r="G78" s="2"/>
      <c r="H78" s="2"/>
      <c r="I78" s="2"/>
      <c r="J78" s="2"/>
      <c r="K78" s="2"/>
    </row>
    <row r="79" spans="1:11" x14ac:dyDescent="0.3">
      <c r="B79" s="13" t="s">
        <v>39</v>
      </c>
      <c r="E79" s="2">
        <f>MIN(E66:E70)</f>
        <v>1203.33</v>
      </c>
      <c r="F79" s="2">
        <f t="shared" ref="F79:K79" si="42">MIN(F66:F70)</f>
        <v>1204.52</v>
      </c>
      <c r="G79" s="2">
        <f t="shared" si="42"/>
        <v>1221.57</v>
      </c>
      <c r="H79" s="2">
        <f t="shared" si="42"/>
        <v>1221.24</v>
      </c>
      <c r="I79" s="2">
        <f t="shared" si="42"/>
        <v>-4437.4399999999996</v>
      </c>
      <c r="J79" s="2">
        <f t="shared" si="42"/>
        <v>1251.094000000001</v>
      </c>
      <c r="K79" s="2">
        <f t="shared" si="42"/>
        <v>1261.586000000003</v>
      </c>
    </row>
    <row r="80" spans="1:11" x14ac:dyDescent="0.3">
      <c r="B80" s="13" t="s">
        <v>40</v>
      </c>
      <c r="E80" s="2">
        <f>MAX(E66:E70)</f>
        <v>76162.899999999994</v>
      </c>
      <c r="F80" s="2">
        <f t="shared" ref="F80:K80" si="43">MAX(F66:F70)</f>
        <v>77508.45</v>
      </c>
      <c r="G80" s="2">
        <f t="shared" si="43"/>
        <v>117098.46</v>
      </c>
      <c r="H80" s="2">
        <f t="shared" si="43"/>
        <v>105175.21</v>
      </c>
      <c r="I80" s="2">
        <f t="shared" si="43"/>
        <v>92432.74</v>
      </c>
      <c r="J80" s="2">
        <f t="shared" si="43"/>
        <v>111737.48399999924</v>
      </c>
      <c r="K80" s="2">
        <f t="shared" si="43"/>
        <v>120867.51859999821</v>
      </c>
    </row>
    <row r="81" spans="2:15" x14ac:dyDescent="0.3">
      <c r="B81" s="13" t="s">
        <v>41</v>
      </c>
      <c r="D81" s="41">
        <v>2</v>
      </c>
      <c r="E81" s="2">
        <f>SMALL(E66:E70,$D$81)</f>
        <v>1556.54</v>
      </c>
      <c r="F81" s="2">
        <f t="shared" ref="F81:K81" si="44">SMALL(F66:F70,$D$81)</f>
        <v>7490.22</v>
      </c>
      <c r="G81" s="2">
        <f t="shared" si="44"/>
        <v>40153.93</v>
      </c>
      <c r="H81" s="2">
        <f t="shared" si="44"/>
        <v>8760.4</v>
      </c>
      <c r="I81" s="2">
        <f t="shared" si="44"/>
        <v>1247.43</v>
      </c>
      <c r="J81" s="2">
        <f t="shared" si="44"/>
        <v>7489.3959999997169</v>
      </c>
      <c r="K81" s="2">
        <f t="shared" si="44"/>
        <v>6417.6179999997839</v>
      </c>
    </row>
    <row r="82" spans="2:15" x14ac:dyDescent="0.3">
      <c r="B82" s="13" t="s">
        <v>42</v>
      </c>
      <c r="D82" s="41">
        <v>2</v>
      </c>
      <c r="E82" s="2">
        <f>LARGE(E66:E70,$D$82)</f>
        <v>58732.72</v>
      </c>
      <c r="F82" s="2">
        <f t="shared" ref="F82:K82" si="45">LARGE(F66:F70,$D$82)</f>
        <v>60211.9</v>
      </c>
      <c r="G82" s="2">
        <f t="shared" si="45"/>
        <v>92556.61</v>
      </c>
      <c r="H82" s="2">
        <f t="shared" si="45"/>
        <v>86606.14</v>
      </c>
      <c r="I82" s="2">
        <f t="shared" si="45"/>
        <v>90788.32</v>
      </c>
      <c r="J82" s="2">
        <f t="shared" si="45"/>
        <v>103671.04699999839</v>
      </c>
      <c r="K82" s="2">
        <f t="shared" si="45"/>
        <v>113928.17319999821</v>
      </c>
    </row>
    <row r="85" spans="2:15" x14ac:dyDescent="0.3">
      <c r="B85" s="13" t="s">
        <v>43</v>
      </c>
    </row>
    <row r="86" spans="2:15" x14ac:dyDescent="0.3">
      <c r="B86" s="13" t="s">
        <v>44</v>
      </c>
      <c r="D86" s="41">
        <v>200000</v>
      </c>
      <c r="E86">
        <f>IF(E71&lt;$D$86,E71,0)</f>
        <v>169870.16999999998</v>
      </c>
      <c r="F86">
        <f t="shared" ref="F86:K86" si="46">IF(F71&lt;$D$86,F71,0)</f>
        <v>179541.91</v>
      </c>
      <c r="G86">
        <f t="shared" si="46"/>
        <v>0</v>
      </c>
      <c r="H86">
        <f t="shared" si="46"/>
        <v>0</v>
      </c>
      <c r="I86">
        <f t="shared" si="46"/>
        <v>0</v>
      </c>
      <c r="J86">
        <f t="shared" si="46"/>
        <v>0</v>
      </c>
      <c r="K86">
        <f t="shared" si="46"/>
        <v>0</v>
      </c>
    </row>
    <row r="87" spans="2:15" x14ac:dyDescent="0.3">
      <c r="B87" s="13" t="s">
        <v>45</v>
      </c>
      <c r="D87" s="41"/>
      <c r="E87" s="2">
        <f>IF(E71&gt;$D$86,E71,0)</f>
        <v>0</v>
      </c>
      <c r="F87" s="2">
        <f t="shared" ref="F87:K87" si="47">IF(F71&gt;$D$86,F71,0)</f>
        <v>0</v>
      </c>
      <c r="G87" s="2">
        <f t="shared" si="47"/>
        <v>323854.62</v>
      </c>
      <c r="H87" s="2">
        <f t="shared" si="47"/>
        <v>267111.26</v>
      </c>
      <c r="I87" s="2">
        <f t="shared" si="47"/>
        <v>250534.63</v>
      </c>
      <c r="J87" s="2">
        <f t="shared" si="47"/>
        <v>312851.99899999559</v>
      </c>
      <c r="K87" s="2">
        <f t="shared" si="47"/>
        <v>332669.87519999396</v>
      </c>
    </row>
    <row r="91" spans="2:15" x14ac:dyDescent="0.3">
      <c r="C91" s="73" t="s">
        <v>6</v>
      </c>
      <c r="D91" s="74" t="s">
        <v>0</v>
      </c>
      <c r="E91" s="75" t="s">
        <v>1</v>
      </c>
      <c r="F91" s="75" t="s">
        <v>2</v>
      </c>
      <c r="G91" s="75" t="s">
        <v>3</v>
      </c>
      <c r="H91" s="75" t="s">
        <v>9</v>
      </c>
      <c r="I91" s="75" t="s">
        <v>10</v>
      </c>
      <c r="J91" s="75" t="s">
        <v>4</v>
      </c>
      <c r="K91" s="75" t="s">
        <v>11</v>
      </c>
      <c r="L91" s="76" t="s">
        <v>13</v>
      </c>
      <c r="M91" s="75" t="s">
        <v>14</v>
      </c>
      <c r="N91" s="75" t="s">
        <v>15</v>
      </c>
      <c r="O91" s="77" t="s">
        <v>12</v>
      </c>
    </row>
    <row r="92" spans="2:15" x14ac:dyDescent="0.3">
      <c r="C92" s="78">
        <v>2020</v>
      </c>
      <c r="D92" s="79">
        <v>249149.12</v>
      </c>
      <c r="E92" s="79">
        <v>172986.22</v>
      </c>
      <c r="F92" s="80">
        <v>76162.899999999994</v>
      </c>
      <c r="G92" s="81">
        <f>E92/F92</f>
        <v>2.2712661939080578</v>
      </c>
      <c r="H92" s="80">
        <v>58732.72</v>
      </c>
      <c r="I92" s="80">
        <v>61660.91</v>
      </c>
      <c r="J92" s="81">
        <f>H92/I92</f>
        <v>0.95251140471329399</v>
      </c>
      <c r="K92" s="75">
        <v>32214.68</v>
      </c>
      <c r="L92" s="82">
        <v>40767</v>
      </c>
      <c r="M92" s="82">
        <v>1203.33</v>
      </c>
      <c r="N92" s="83">
        <f>$D92/$M92</f>
        <v>207.04970373879152</v>
      </c>
      <c r="O92" s="82">
        <v>1556.54</v>
      </c>
    </row>
    <row r="93" spans="2:15" x14ac:dyDescent="0.3">
      <c r="C93" s="78">
        <v>2021</v>
      </c>
      <c r="D93" s="84">
        <v>243909.19</v>
      </c>
      <c r="E93" s="79">
        <v>166400.74</v>
      </c>
      <c r="F93" s="80">
        <v>77508.45</v>
      </c>
      <c r="G93" s="81">
        <f>E93/F93</f>
        <v>2.1468722442520782</v>
      </c>
      <c r="H93" s="80">
        <v>60211.9</v>
      </c>
      <c r="I93" s="80">
        <v>70867.13</v>
      </c>
      <c r="J93" s="81">
        <f>H93/I93</f>
        <v>0.84964496234008624</v>
      </c>
      <c r="K93" s="80">
        <v>33126.82</v>
      </c>
      <c r="L93" s="82">
        <v>88501.41</v>
      </c>
      <c r="M93" s="82">
        <v>1204.52</v>
      </c>
      <c r="N93" s="83">
        <f>$D93/$M93</f>
        <v>202.4949274399761</v>
      </c>
      <c r="O93" s="82">
        <v>7490.22</v>
      </c>
    </row>
    <row r="94" spans="2:15" x14ac:dyDescent="0.3">
      <c r="C94" s="78">
        <v>2022</v>
      </c>
      <c r="D94" s="79">
        <v>282421.67</v>
      </c>
      <c r="E94" s="79">
        <v>165323.21</v>
      </c>
      <c r="F94" s="80">
        <v>117098.46</v>
      </c>
      <c r="G94" s="81">
        <f>E94/F94</f>
        <v>1.4118307789871871</v>
      </c>
      <c r="H94" s="80">
        <v>92556.61</v>
      </c>
      <c r="I94" s="80">
        <v>90588</v>
      </c>
      <c r="J94" s="81">
        <f>H94/I94</f>
        <v>1.0217314655362741</v>
      </c>
      <c r="K94" s="80">
        <v>72824.05</v>
      </c>
      <c r="L94" s="82">
        <v>75561.350000000006</v>
      </c>
      <c r="M94" s="82">
        <v>1221.57</v>
      </c>
      <c r="N94" s="83">
        <f>$D94/$M94</f>
        <v>231.1956498604255</v>
      </c>
      <c r="O94" s="82">
        <v>40153.93</v>
      </c>
    </row>
    <row r="95" spans="2:15" x14ac:dyDescent="0.3">
      <c r="C95" s="78">
        <v>2023</v>
      </c>
      <c r="D95" s="79">
        <v>285395.78000000003</v>
      </c>
      <c r="E95" s="79">
        <v>180220.57</v>
      </c>
      <c r="F95" s="80">
        <v>105175.21</v>
      </c>
      <c r="G95" s="81">
        <f>E95/F95</f>
        <v>1.7135270754391647</v>
      </c>
      <c r="H95" s="80">
        <v>86606.14</v>
      </c>
      <c r="I95" s="80">
        <v>97295.13</v>
      </c>
      <c r="J95" s="81">
        <f>H95/I95</f>
        <v>0.89013848894595238</v>
      </c>
      <c r="K95" s="80">
        <v>65348.27</v>
      </c>
      <c r="L95" s="82">
        <v>84893.05</v>
      </c>
      <c r="M95" s="82">
        <v>1221.24</v>
      </c>
      <c r="N95" s="83">
        <f>$D95/$M95</f>
        <v>233.69344273033968</v>
      </c>
      <c r="O95" s="82">
        <v>8760.4</v>
      </c>
    </row>
    <row r="96" spans="2:15" x14ac:dyDescent="0.3">
      <c r="C96" s="78">
        <v>2024</v>
      </c>
      <c r="D96" s="79">
        <v>269312.42</v>
      </c>
      <c r="E96" s="79">
        <v>176879.68</v>
      </c>
      <c r="F96" s="80">
        <v>92432.74</v>
      </c>
      <c r="G96" s="81">
        <f>E96/F96</f>
        <v>1.9136042056093976</v>
      </c>
      <c r="H96" s="80">
        <v>70503.58</v>
      </c>
      <c r="I96" s="80">
        <v>98403.48</v>
      </c>
      <c r="J96" s="81">
        <f>H96/I96</f>
        <v>0.71647445801713516</v>
      </c>
      <c r="K96" s="80">
        <v>90788.32</v>
      </c>
      <c r="L96" s="82">
        <v>87082.12</v>
      </c>
      <c r="M96" s="82">
        <v>1247.43</v>
      </c>
      <c r="N96" s="83">
        <f>$D96/$M96</f>
        <v>215.89381368092796</v>
      </c>
      <c r="O96" s="82">
        <v>-4437.4399999999996</v>
      </c>
    </row>
    <row r="97" spans="3:15" x14ac:dyDescent="0.3">
      <c r="C97" s="85">
        <v>2025</v>
      </c>
      <c r="D97" s="86">
        <f>_xlfn.FORECAST.LINEAR(2025,D92:D96,C92:C96)</f>
        <v>290581.59300000034</v>
      </c>
      <c r="E97" s="86">
        <f>_xlfn.FORECAST.LINEAR(2025,E92:E96,C92:C96)</f>
        <v>178844.10899999924</v>
      </c>
      <c r="F97" s="86">
        <f>_xlfn.FORECAST.LINEAR(2025,F92:F96,C92:C96)</f>
        <v>111737.48399999924</v>
      </c>
      <c r="G97" s="86">
        <f>_xlfn.FORECAST.LINEAR(2025,G92:G96,$E6:$I6)</f>
        <v>1.5468193560161296</v>
      </c>
      <c r="H97" s="86">
        <f>_xlfn.FORECAST.LINEAR(2025,H92:H96,E$6:I$6)</f>
        <v>88702.977999998257</v>
      </c>
      <c r="I97" s="86">
        <f>_xlfn.FORECAST.LINEAR(2025,I92:I96,E$6:I$6)</f>
        <v>113736.87200000137</v>
      </c>
      <c r="J97" s="86">
        <f>_xlfn.FORECAST.LINEAR(2025,J92:J96,E$6:I$6)</f>
        <v>0.75662604587462567</v>
      </c>
      <c r="K97" s="86">
        <f>_xlfn.FORECAST.LINEAR(2025,K92:K96,E$6:I$6)</f>
        <v>103671.04699999839</v>
      </c>
      <c r="L97" s="86">
        <f>_xlfn.FORECAST.LINEAR(2025,L92:L96,C92:C96)</f>
        <v>102067.55000000075</v>
      </c>
      <c r="M97" s="87">
        <f>_xlfn.FORECAST.LINEAR(2025,M92:M96,C92:C96)</f>
        <v>1251.094000000001</v>
      </c>
      <c r="N97" s="88">
        <f>$D97/$M97</f>
        <v>232.26199869873895</v>
      </c>
      <c r="O97" s="86">
        <f>_xlfn.FORECAST.LINEAR(2025,O92:O96,C92:C96)</f>
        <v>7489.3959999997169</v>
      </c>
    </row>
    <row r="98" spans="3:15" x14ac:dyDescent="0.3">
      <c r="C98" s="85">
        <v>2026</v>
      </c>
      <c r="D98" s="86">
        <f>_xlfn.FORECAST.LINEAR(2026,D92:D96,C92:C96)</f>
        <v>298762.91200000048</v>
      </c>
      <c r="E98" s="86">
        <f>_xlfn.FORECAST.LINEAR(2026,E93:E97,C93:C97)</f>
        <v>184466.62419999857</v>
      </c>
      <c r="F98" s="86">
        <f>_xlfn.FORECAST.LINEAR(2026,F93:F97,F$6:J$6)</f>
        <v>113928.17319999821</v>
      </c>
      <c r="G98" s="86">
        <f>_xlfn.FORECAST.LINEAR(2026,G93:G97,F$6:J$6)</f>
        <v>1.5370310271059111</v>
      </c>
      <c r="H98" s="86">
        <f>_xlfn.FORECAST.LINEAR(2026,H93:H97,F$6:J$6)</f>
        <v>90194.979399997741</v>
      </c>
      <c r="I98" s="86">
        <f>_xlfn.FORECAST.LINEAR(2026,I93:I97,F$6:J$6)</f>
        <v>122244.61160000414</v>
      </c>
      <c r="J98" s="86">
        <f>_xlfn.FORECAST.LINEAR(2026,J93:J97,F$6:J$6)</f>
        <v>0.69953463200779709</v>
      </c>
      <c r="K98" s="86">
        <f>_xlfn.FORECAST.LINEAR(2026,K93:K97,F$6:J$6)</f>
        <v>120867.51859999821</v>
      </c>
      <c r="L98" s="86">
        <f>_xlfn.FORECAST.LINEAR(2026,L92:L97,C92:C97)</f>
        <v>110969.73800000176</v>
      </c>
      <c r="M98" s="87">
        <f>_xlfn.FORECAST.LINEAR(2026,M92:M97,C92:C97)</f>
        <v>1261.586000000003</v>
      </c>
      <c r="N98" s="88">
        <f>$D98/$M98</f>
        <v>236.81533561723083</v>
      </c>
      <c r="O98" s="86">
        <f>_xlfn.FORECAST.LINEAR(2026,O92:O97,C92:C97)</f>
        <v>6417.6179999997839</v>
      </c>
    </row>
    <row r="151" spans="2:3" x14ac:dyDescent="0.3">
      <c r="B151" s="90" t="s">
        <v>46</v>
      </c>
      <c r="C151" t="s">
        <v>48</v>
      </c>
    </row>
    <row r="152" spans="2:3" x14ac:dyDescent="0.3">
      <c r="B152" s="7">
        <v>2020</v>
      </c>
      <c r="C152" s="89">
        <v>40767</v>
      </c>
    </row>
    <row r="153" spans="2:3" x14ac:dyDescent="0.3">
      <c r="B153" s="7">
        <v>2021</v>
      </c>
      <c r="C153" s="89">
        <v>88501.41</v>
      </c>
    </row>
    <row r="154" spans="2:3" x14ac:dyDescent="0.3">
      <c r="B154" s="7">
        <v>2022</v>
      </c>
      <c r="C154" s="89">
        <v>75561.350000000006</v>
      </c>
    </row>
    <row r="155" spans="2:3" x14ac:dyDescent="0.3">
      <c r="B155" s="7">
        <v>2023</v>
      </c>
      <c r="C155" s="89">
        <v>84893.05</v>
      </c>
    </row>
    <row r="156" spans="2:3" x14ac:dyDescent="0.3">
      <c r="B156" s="7">
        <v>2024</v>
      </c>
      <c r="C156" s="89">
        <v>87082.12</v>
      </c>
    </row>
    <row r="157" spans="2:3" x14ac:dyDescent="0.3">
      <c r="B157" s="7">
        <v>2025</v>
      </c>
      <c r="C157" s="89">
        <v>102067.55000000075</v>
      </c>
    </row>
    <row r="158" spans="2:3" x14ac:dyDescent="0.3">
      <c r="B158" s="7">
        <v>2026</v>
      </c>
      <c r="C158" s="89">
        <v>110969.73800000176</v>
      </c>
    </row>
    <row r="159" spans="2:3" x14ac:dyDescent="0.3">
      <c r="B159" s="7" t="s">
        <v>47</v>
      </c>
      <c r="C159" s="89">
        <v>589842.21800000244</v>
      </c>
    </row>
  </sheetData>
  <pageMargins left="0.7" right="0.7" top="0.75" bottom="0.75" header="0.3" footer="0.3"/>
  <pageSetup paperSize="9" scale="79" fitToWidth="0" fitToHeight="0" orientation="portrait" r:id="rId2"/>
  <ignoredErrors>
    <ignoredError sqref="J7 J11:K14 K7:K10 J8:J9 J15:K16 J18:K18" formulaRange="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VIZ_DASHBOARD</vt:lpstr>
      <vt:lpstr>INSIGHTS</vt:lpstr>
      <vt:lpstr>BALANCE_SHEET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s</dc:creator>
  <cp:lastModifiedBy>arjun s</cp:lastModifiedBy>
  <dcterms:created xsi:type="dcterms:W3CDTF">2024-09-17T08:43:46Z</dcterms:created>
  <dcterms:modified xsi:type="dcterms:W3CDTF">2024-10-14T14:28:12Z</dcterms:modified>
</cp:coreProperties>
</file>