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swin tutor\"/>
    </mc:Choice>
  </mc:AlternateContent>
  <xr:revisionPtr revIDLastSave="0" documentId="8_{71072F00-1C4B-4D9D-A686-73883B5B2E53}" xr6:coauthVersionLast="47" xr6:coauthVersionMax="47" xr10:uidLastSave="{00000000-0000-0000-0000-000000000000}"/>
  <bookViews>
    <workbookView xWindow="-108" yWindow="-108" windowWidth="23256" windowHeight="12576" xr2:uid="{33785183-DE04-4020-B240-F9265A3E0FE6}"/>
  </bookViews>
  <sheets>
    <sheet name="Data Sheet" sheetId="1" r:id="rId1"/>
    <sheet name="historicalfs" sheetId="3" r:id="rId2"/>
    <sheet name="cashflow data" sheetId="5" r:id="rId3"/>
    <sheet name="Data&gt;" sheetId="6" r:id="rId4"/>
    <sheet name="financials" sheetId="7" r:id="rId5"/>
    <sheet name="FORECASTING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8" l="1"/>
  <c r="T14" i="8"/>
  <c r="T13" i="8"/>
  <c r="T12" i="8"/>
  <c r="T11" i="8"/>
  <c r="T10" i="8"/>
  <c r="T9" i="8"/>
  <c r="T8" i="8"/>
  <c r="T7" i="8"/>
  <c r="T6" i="8"/>
  <c r="L3" i="8"/>
  <c r="B3" i="8"/>
  <c r="G3" i="8"/>
  <c r="O6" i="8"/>
  <c r="N16" i="8"/>
  <c r="N17" i="8" s="1"/>
  <c r="O17" i="8" s="1"/>
  <c r="N15" i="8"/>
  <c r="O15" i="8" s="1"/>
  <c r="O7" i="8"/>
  <c r="O8" i="8"/>
  <c r="O9" i="8"/>
  <c r="O10" i="8"/>
  <c r="O11" i="8"/>
  <c r="O12" i="8"/>
  <c r="O13" i="8"/>
  <c r="O14" i="8"/>
  <c r="D5" i="8" a="1"/>
  <c r="D6" i="8" s="1"/>
  <c r="O25" i="7"/>
  <c r="N25" i="7"/>
  <c r="D39" i="7"/>
  <c r="E39" i="7"/>
  <c r="F39" i="7"/>
  <c r="G39" i="7"/>
  <c r="H39" i="7"/>
  <c r="I39" i="7"/>
  <c r="J39" i="7"/>
  <c r="K39" i="7"/>
  <c r="L39" i="7"/>
  <c r="D40" i="7"/>
  <c r="E40" i="7"/>
  <c r="F40" i="7"/>
  <c r="G40" i="7"/>
  <c r="H40" i="7"/>
  <c r="I40" i="7"/>
  <c r="J40" i="7"/>
  <c r="K40" i="7"/>
  <c r="L40" i="7"/>
  <c r="C40" i="7"/>
  <c r="C39" i="7"/>
  <c r="C5" i="7"/>
  <c r="B2" i="7"/>
  <c r="L3" i="7"/>
  <c r="K3" i="7"/>
  <c r="J3" i="7"/>
  <c r="I3" i="7"/>
  <c r="H3" i="7"/>
  <c r="G3" i="7"/>
  <c r="F3" i="7"/>
  <c r="E3" i="7"/>
  <c r="D3" i="7"/>
  <c r="C3" i="7"/>
  <c r="O39" i="7" l="1"/>
  <c r="N39" i="7"/>
  <c r="O40" i="7"/>
  <c r="N40" i="7"/>
  <c r="O16" i="8"/>
  <c r="T15" i="8"/>
  <c r="S16" i="8"/>
  <c r="T16" i="8" s="1"/>
  <c r="N18" i="8"/>
  <c r="O18" i="8" s="1"/>
  <c r="J9" i="8"/>
  <c r="J7" i="8"/>
  <c r="J14" i="8"/>
  <c r="J10" i="8"/>
  <c r="J6" i="8"/>
  <c r="D11" i="8"/>
  <c r="D13" i="8"/>
  <c r="D5" i="8"/>
  <c r="I16" i="8" s="1"/>
  <c r="D12" i="8"/>
  <c r="E12" i="8" s="1"/>
  <c r="D10" i="8"/>
  <c r="D9" i="8"/>
  <c r="E9" i="8" s="1"/>
  <c r="D8" i="8"/>
  <c r="E8" i="8" s="1"/>
  <c r="D7" i="8"/>
  <c r="E7" i="8" s="1"/>
  <c r="D14" i="8"/>
  <c r="S17" i="8" l="1"/>
  <c r="T17" i="8" s="1"/>
  <c r="J11" i="8"/>
  <c r="J12" i="8"/>
  <c r="J8" i="8"/>
  <c r="J13" i="8"/>
  <c r="E10" i="8"/>
  <c r="D15" i="8"/>
  <c r="E15" i="8" s="1"/>
  <c r="I18" i="8"/>
  <c r="D16" i="8"/>
  <c r="J15" i="8"/>
  <c r="D18" i="8"/>
  <c r="I17" i="8"/>
  <c r="J17" i="8" s="1"/>
  <c r="D17" i="8"/>
  <c r="E13" i="8"/>
  <c r="E11" i="8"/>
  <c r="E14" i="8"/>
  <c r="E6" i="8"/>
  <c r="C94" i="3"/>
  <c r="D94" i="3"/>
  <c r="E94" i="3"/>
  <c r="F94" i="3"/>
  <c r="G94" i="3"/>
  <c r="H94" i="3"/>
  <c r="I94" i="3"/>
  <c r="J94" i="3"/>
  <c r="K94" i="3"/>
  <c r="L94" i="3"/>
  <c r="C95" i="3"/>
  <c r="D95" i="3"/>
  <c r="E95" i="3"/>
  <c r="F95" i="3"/>
  <c r="G95" i="3"/>
  <c r="H95" i="3"/>
  <c r="I95" i="3"/>
  <c r="J95" i="3"/>
  <c r="K95" i="3"/>
  <c r="L95" i="3"/>
  <c r="C96" i="3"/>
  <c r="D96" i="3"/>
  <c r="E96" i="3"/>
  <c r="F96" i="3"/>
  <c r="G96" i="3"/>
  <c r="H96" i="3"/>
  <c r="I96" i="3"/>
  <c r="J96" i="3"/>
  <c r="K96" i="3"/>
  <c r="L96" i="3"/>
  <c r="C97" i="3"/>
  <c r="D97" i="3"/>
  <c r="E97" i="3"/>
  <c r="F97" i="3"/>
  <c r="G97" i="3"/>
  <c r="H97" i="3"/>
  <c r="I97" i="3"/>
  <c r="J97" i="3"/>
  <c r="K97" i="3"/>
  <c r="L97" i="3"/>
  <c r="D93" i="3"/>
  <c r="E93" i="3"/>
  <c r="F93" i="3"/>
  <c r="G93" i="3"/>
  <c r="H93" i="3"/>
  <c r="I93" i="3"/>
  <c r="J93" i="3"/>
  <c r="K93" i="3"/>
  <c r="L93" i="3"/>
  <c r="C93" i="3"/>
  <c r="D81" i="3"/>
  <c r="D90" i="3" s="1"/>
  <c r="E81" i="3"/>
  <c r="F81" i="3"/>
  <c r="F90" i="3" s="1"/>
  <c r="G81" i="3"/>
  <c r="G90" i="3" s="1"/>
  <c r="H81" i="3"/>
  <c r="H90" i="3" s="1"/>
  <c r="I81" i="3"/>
  <c r="I90" i="3" s="1"/>
  <c r="J81" i="3"/>
  <c r="J90" i="3" s="1"/>
  <c r="K81" i="3"/>
  <c r="K90" i="3" s="1"/>
  <c r="L81" i="3"/>
  <c r="L90" i="3" s="1"/>
  <c r="D82" i="3"/>
  <c r="E82" i="3"/>
  <c r="F82" i="3"/>
  <c r="G82" i="3"/>
  <c r="H82" i="3"/>
  <c r="I82" i="3"/>
  <c r="J82" i="3"/>
  <c r="K82" i="3"/>
  <c r="L82" i="3"/>
  <c r="D83" i="3"/>
  <c r="E83" i="3"/>
  <c r="F83" i="3"/>
  <c r="G83" i="3"/>
  <c r="H83" i="3"/>
  <c r="I83" i="3"/>
  <c r="J83" i="3"/>
  <c r="K83" i="3"/>
  <c r="L83" i="3"/>
  <c r="D84" i="3"/>
  <c r="E84" i="3"/>
  <c r="F84" i="3"/>
  <c r="G84" i="3"/>
  <c r="H84" i="3"/>
  <c r="I84" i="3"/>
  <c r="J84" i="3"/>
  <c r="K84" i="3"/>
  <c r="L84" i="3"/>
  <c r="D85" i="3"/>
  <c r="E85" i="3"/>
  <c r="F85" i="3"/>
  <c r="G85" i="3"/>
  <c r="H85" i="3"/>
  <c r="I85" i="3"/>
  <c r="J85" i="3"/>
  <c r="K85" i="3"/>
  <c r="L85" i="3"/>
  <c r="D86" i="3"/>
  <c r="E86" i="3"/>
  <c r="F86" i="3"/>
  <c r="G86" i="3"/>
  <c r="H86" i="3"/>
  <c r="I86" i="3"/>
  <c r="J86" i="3"/>
  <c r="K86" i="3"/>
  <c r="L86" i="3"/>
  <c r="D87" i="3"/>
  <c r="E87" i="3"/>
  <c r="F87" i="3"/>
  <c r="G87" i="3"/>
  <c r="H87" i="3"/>
  <c r="I87" i="3"/>
  <c r="J87" i="3"/>
  <c r="K87" i="3"/>
  <c r="L87" i="3"/>
  <c r="D88" i="3"/>
  <c r="E88" i="3"/>
  <c r="E90" i="3" s="1"/>
  <c r="F88" i="3"/>
  <c r="G88" i="3"/>
  <c r="H88" i="3"/>
  <c r="I88" i="3"/>
  <c r="J88" i="3"/>
  <c r="K88" i="3"/>
  <c r="L88" i="3"/>
  <c r="D89" i="3"/>
  <c r="E89" i="3"/>
  <c r="F89" i="3"/>
  <c r="G89" i="3"/>
  <c r="H89" i="3"/>
  <c r="I89" i="3"/>
  <c r="J89" i="3"/>
  <c r="K89" i="3"/>
  <c r="L89" i="3"/>
  <c r="C82" i="3"/>
  <c r="C83" i="3"/>
  <c r="C84" i="3"/>
  <c r="C85" i="3"/>
  <c r="C86" i="3"/>
  <c r="C90" i="3" s="1"/>
  <c r="C87" i="3"/>
  <c r="C88" i="3"/>
  <c r="C89" i="3"/>
  <c r="C81" i="3"/>
  <c r="D71" i="3"/>
  <c r="D78" i="3" s="1"/>
  <c r="D99" i="3" s="1"/>
  <c r="D38" i="7" s="1"/>
  <c r="E71" i="3"/>
  <c r="E78" i="3" s="1"/>
  <c r="E99" i="3" s="1"/>
  <c r="E38" i="7" s="1"/>
  <c r="F71" i="3"/>
  <c r="F78" i="3" s="1"/>
  <c r="F99" i="3" s="1"/>
  <c r="F38" i="7" s="1"/>
  <c r="G71" i="3"/>
  <c r="G78" i="3" s="1"/>
  <c r="H71" i="3"/>
  <c r="H78" i="3" s="1"/>
  <c r="I71" i="3"/>
  <c r="J71" i="3"/>
  <c r="K71" i="3"/>
  <c r="K78" i="3" s="1"/>
  <c r="K99" i="3" s="1"/>
  <c r="K38" i="7" s="1"/>
  <c r="L71" i="3"/>
  <c r="L78" i="3" s="1"/>
  <c r="L99" i="3" s="1"/>
  <c r="L38" i="7" s="1"/>
  <c r="D72" i="3"/>
  <c r="E72" i="3"/>
  <c r="F72" i="3"/>
  <c r="G72" i="3"/>
  <c r="H72" i="3"/>
  <c r="I72" i="3"/>
  <c r="J72" i="3"/>
  <c r="K72" i="3"/>
  <c r="L72" i="3"/>
  <c r="D73" i="3"/>
  <c r="E73" i="3"/>
  <c r="F73" i="3"/>
  <c r="G73" i="3"/>
  <c r="H73" i="3"/>
  <c r="I73" i="3"/>
  <c r="J73" i="3"/>
  <c r="K73" i="3"/>
  <c r="L73" i="3"/>
  <c r="D74" i="3"/>
  <c r="E74" i="3"/>
  <c r="F74" i="3"/>
  <c r="G74" i="3"/>
  <c r="H74" i="3"/>
  <c r="I74" i="3"/>
  <c r="J74" i="3"/>
  <c r="K74" i="3"/>
  <c r="L74" i="3"/>
  <c r="D75" i="3"/>
  <c r="E75" i="3"/>
  <c r="F75" i="3"/>
  <c r="G75" i="3"/>
  <c r="H75" i="3"/>
  <c r="I75" i="3"/>
  <c r="J75" i="3"/>
  <c r="K75" i="3"/>
  <c r="L75" i="3"/>
  <c r="D76" i="3"/>
  <c r="E76" i="3"/>
  <c r="F76" i="3"/>
  <c r="G76" i="3"/>
  <c r="H76" i="3"/>
  <c r="I76" i="3"/>
  <c r="J76" i="3"/>
  <c r="K76" i="3"/>
  <c r="L76" i="3"/>
  <c r="D77" i="3"/>
  <c r="E77" i="3"/>
  <c r="F77" i="3"/>
  <c r="G77" i="3"/>
  <c r="H77" i="3"/>
  <c r="I77" i="3"/>
  <c r="I78" i="3" s="1"/>
  <c r="I99" i="3" s="1"/>
  <c r="I38" i="7" s="1"/>
  <c r="J77" i="3"/>
  <c r="J78" i="3" s="1"/>
  <c r="J99" i="3" s="1"/>
  <c r="J38" i="7" s="1"/>
  <c r="K77" i="3"/>
  <c r="L77" i="3"/>
  <c r="C72" i="3"/>
  <c r="C78" i="3" s="1"/>
  <c r="C99" i="3" s="1"/>
  <c r="C38" i="7" s="1"/>
  <c r="C73" i="3"/>
  <c r="C74" i="3"/>
  <c r="C75" i="3"/>
  <c r="C76" i="3"/>
  <c r="C77" i="3"/>
  <c r="C71" i="3"/>
  <c r="D56" i="3"/>
  <c r="E56" i="3"/>
  <c r="F56" i="3"/>
  <c r="G56" i="3"/>
  <c r="H56" i="3"/>
  <c r="I56" i="3"/>
  <c r="J56" i="3"/>
  <c r="K56" i="3"/>
  <c r="L56" i="3"/>
  <c r="C56" i="3"/>
  <c r="F51" i="3"/>
  <c r="L57" i="3"/>
  <c r="D63" i="3"/>
  <c r="J63" i="3"/>
  <c r="K63" i="3"/>
  <c r="L63" i="3"/>
  <c r="C61" i="3"/>
  <c r="D61" i="3"/>
  <c r="E61" i="3"/>
  <c r="F61" i="3"/>
  <c r="G61" i="3"/>
  <c r="G63" i="3" s="1"/>
  <c r="G65" i="3" s="1"/>
  <c r="G67" i="3" s="1"/>
  <c r="H61" i="3"/>
  <c r="H63" i="3" s="1"/>
  <c r="I61" i="3"/>
  <c r="I63" i="3" s="1"/>
  <c r="J61" i="3"/>
  <c r="K61" i="3"/>
  <c r="L61" i="3"/>
  <c r="C62" i="3"/>
  <c r="D62" i="3"/>
  <c r="E62" i="3"/>
  <c r="F62" i="3"/>
  <c r="G62" i="3"/>
  <c r="H62" i="3"/>
  <c r="I62" i="3"/>
  <c r="J62" i="3"/>
  <c r="K62" i="3"/>
  <c r="L62" i="3"/>
  <c r="D60" i="3"/>
  <c r="E60" i="3"/>
  <c r="E63" i="3" s="1"/>
  <c r="F60" i="3"/>
  <c r="F63" i="3" s="1"/>
  <c r="G60" i="3"/>
  <c r="H60" i="3"/>
  <c r="I60" i="3"/>
  <c r="J60" i="3"/>
  <c r="K60" i="3"/>
  <c r="L60" i="3"/>
  <c r="C60" i="3"/>
  <c r="C63" i="3" s="1"/>
  <c r="C54" i="3"/>
  <c r="C57" i="3" s="1"/>
  <c r="C65" i="3" s="1"/>
  <c r="D54" i="3"/>
  <c r="E54" i="3"/>
  <c r="F54" i="3"/>
  <c r="G54" i="3"/>
  <c r="H54" i="3"/>
  <c r="I54" i="3"/>
  <c r="J54" i="3"/>
  <c r="K54" i="3"/>
  <c r="L54" i="3"/>
  <c r="C55" i="3"/>
  <c r="D55" i="3"/>
  <c r="E55" i="3"/>
  <c r="F55" i="3"/>
  <c r="G55" i="3"/>
  <c r="H55" i="3"/>
  <c r="I55" i="3"/>
  <c r="J55" i="3"/>
  <c r="K55" i="3"/>
  <c r="L55" i="3"/>
  <c r="D53" i="3"/>
  <c r="D57" i="3" s="1"/>
  <c r="D65" i="3" s="1"/>
  <c r="D67" i="3" s="1"/>
  <c r="E53" i="3"/>
  <c r="E57" i="3" s="1"/>
  <c r="E65" i="3" s="1"/>
  <c r="E67" i="3" s="1"/>
  <c r="F53" i="3"/>
  <c r="F57" i="3" s="1"/>
  <c r="F65" i="3" s="1"/>
  <c r="F67" i="3" s="1"/>
  <c r="G53" i="3"/>
  <c r="G57" i="3" s="1"/>
  <c r="H53" i="3"/>
  <c r="H57" i="3" s="1"/>
  <c r="H65" i="3" s="1"/>
  <c r="I53" i="3"/>
  <c r="J53" i="3"/>
  <c r="K53" i="3"/>
  <c r="L53" i="3"/>
  <c r="C53" i="3"/>
  <c r="C48" i="3"/>
  <c r="D48" i="3"/>
  <c r="D51" i="3" s="1"/>
  <c r="E48" i="3"/>
  <c r="E51" i="3" s="1"/>
  <c r="F48" i="3"/>
  <c r="G48" i="3"/>
  <c r="H48" i="3"/>
  <c r="I48" i="3"/>
  <c r="I51" i="3" s="1"/>
  <c r="J48" i="3"/>
  <c r="J51" i="3" s="1"/>
  <c r="K48" i="3"/>
  <c r="K51" i="3" s="1"/>
  <c r="L48" i="3"/>
  <c r="L51" i="3" s="1"/>
  <c r="C49" i="3"/>
  <c r="C51" i="3" s="1"/>
  <c r="D49" i="3"/>
  <c r="E49" i="3"/>
  <c r="F49" i="3"/>
  <c r="G49" i="3"/>
  <c r="H49" i="3"/>
  <c r="I49" i="3"/>
  <c r="J49" i="3"/>
  <c r="K49" i="3"/>
  <c r="L49" i="3"/>
  <c r="C50" i="3"/>
  <c r="D50" i="3"/>
  <c r="E50" i="3"/>
  <c r="F50" i="3"/>
  <c r="G50" i="3"/>
  <c r="H50" i="3"/>
  <c r="I50" i="3"/>
  <c r="J50" i="3"/>
  <c r="K50" i="3"/>
  <c r="L50" i="3"/>
  <c r="D47" i="3"/>
  <c r="E47" i="3"/>
  <c r="F47" i="3"/>
  <c r="G47" i="3"/>
  <c r="G51" i="3" s="1"/>
  <c r="H47" i="3"/>
  <c r="H51" i="3" s="1"/>
  <c r="I47" i="3"/>
  <c r="J47" i="3"/>
  <c r="K47" i="3"/>
  <c r="L47" i="3"/>
  <c r="C47" i="3"/>
  <c r="E41" i="3"/>
  <c r="M41" i="3"/>
  <c r="D36" i="3"/>
  <c r="D41" i="3" s="1"/>
  <c r="E36" i="3"/>
  <c r="F36" i="3"/>
  <c r="F41" i="3" s="1"/>
  <c r="E9" i="7" s="1"/>
  <c r="G36" i="3"/>
  <c r="G41" i="3" s="1"/>
  <c r="H36" i="3"/>
  <c r="H41" i="3" s="1"/>
  <c r="G9" i="7" s="1"/>
  <c r="I36" i="3"/>
  <c r="I41" i="3" s="1"/>
  <c r="H9" i="7" s="1"/>
  <c r="J36" i="3"/>
  <c r="J41" i="3" s="1"/>
  <c r="I9" i="7" s="1"/>
  <c r="K36" i="3"/>
  <c r="K41" i="3" s="1"/>
  <c r="L36" i="3"/>
  <c r="L41" i="3" s="1"/>
  <c r="K9" i="7" s="1"/>
  <c r="C36" i="3"/>
  <c r="C41" i="3" s="1"/>
  <c r="M30" i="3"/>
  <c r="D30" i="3"/>
  <c r="E30" i="3"/>
  <c r="F30" i="3"/>
  <c r="G30" i="3"/>
  <c r="H30" i="3"/>
  <c r="I30" i="3"/>
  <c r="J30" i="3"/>
  <c r="K30" i="3"/>
  <c r="L30" i="3"/>
  <c r="C30" i="3"/>
  <c r="M24" i="3"/>
  <c r="D24" i="3"/>
  <c r="E24" i="3"/>
  <c r="F24" i="3"/>
  <c r="G24" i="3"/>
  <c r="H24" i="3"/>
  <c r="I24" i="3"/>
  <c r="J24" i="3"/>
  <c r="K24" i="3"/>
  <c r="L24" i="3"/>
  <c r="L25" i="3" s="1"/>
  <c r="L18" i="7" s="1"/>
  <c r="C24" i="3"/>
  <c r="M21" i="3"/>
  <c r="D21" i="3"/>
  <c r="D22" i="3" s="1"/>
  <c r="E21" i="3"/>
  <c r="E22" i="3" s="1"/>
  <c r="F21" i="3"/>
  <c r="F22" i="3" s="1"/>
  <c r="G21" i="3"/>
  <c r="H21" i="3"/>
  <c r="I21" i="3"/>
  <c r="J21" i="3"/>
  <c r="K21" i="3"/>
  <c r="L21" i="3"/>
  <c r="L22" i="3" s="1"/>
  <c r="C21" i="3"/>
  <c r="C15" i="3"/>
  <c r="D15" i="3"/>
  <c r="E15" i="3"/>
  <c r="F15" i="3"/>
  <c r="G15" i="3"/>
  <c r="H15" i="3"/>
  <c r="I15" i="3"/>
  <c r="J15" i="3"/>
  <c r="J16" i="3" s="1"/>
  <c r="J17" i="7" s="1"/>
  <c r="K15" i="3"/>
  <c r="L15" i="3"/>
  <c r="M15" i="3"/>
  <c r="M9" i="3"/>
  <c r="D9" i="3"/>
  <c r="D10" i="3" s="1"/>
  <c r="E9" i="3"/>
  <c r="F9" i="3"/>
  <c r="G9" i="3"/>
  <c r="G10" i="3" s="1"/>
  <c r="H9" i="3"/>
  <c r="I9" i="3"/>
  <c r="J9" i="3"/>
  <c r="K9" i="3"/>
  <c r="L9" i="3"/>
  <c r="L10" i="3" s="1"/>
  <c r="C9" i="3"/>
  <c r="C10" i="3" s="1"/>
  <c r="B2" i="3"/>
  <c r="M6" i="3"/>
  <c r="D6" i="3"/>
  <c r="E6" i="3"/>
  <c r="F6" i="3"/>
  <c r="G6" i="3"/>
  <c r="H6" i="3"/>
  <c r="I6" i="3"/>
  <c r="J6" i="3"/>
  <c r="K6" i="3"/>
  <c r="L6" i="3"/>
  <c r="C6" i="3"/>
  <c r="L3" i="3"/>
  <c r="D3" i="3"/>
  <c r="E3" i="3"/>
  <c r="F3" i="3"/>
  <c r="G3" i="3"/>
  <c r="H3" i="3"/>
  <c r="I3" i="3"/>
  <c r="J3" i="3"/>
  <c r="K3" i="3"/>
  <c r="C3" i="3"/>
  <c r="H99" i="3" l="1"/>
  <c r="H38" i="7" s="1"/>
  <c r="C9" i="7"/>
  <c r="H67" i="3"/>
  <c r="C67" i="3"/>
  <c r="J9" i="7"/>
  <c r="G99" i="3"/>
  <c r="G38" i="7" s="1"/>
  <c r="N38" i="7" s="1"/>
  <c r="J25" i="3"/>
  <c r="J18" i="7" s="1"/>
  <c r="J28" i="7"/>
  <c r="J34" i="7" s="1"/>
  <c r="J29" i="7"/>
  <c r="J35" i="7" s="1"/>
  <c r="J27" i="7"/>
  <c r="J33" i="7" s="1"/>
  <c r="J30" i="7"/>
  <c r="J31" i="7"/>
  <c r="I30" i="7"/>
  <c r="I27" i="7"/>
  <c r="I33" i="7" s="1"/>
  <c r="I36" i="7" s="1"/>
  <c r="I29" i="7"/>
  <c r="I35" i="7" s="1"/>
  <c r="I28" i="7"/>
  <c r="I34" i="7" s="1"/>
  <c r="I31" i="7"/>
  <c r="K22" i="3"/>
  <c r="L65" i="3"/>
  <c r="L67" i="3" s="1"/>
  <c r="H16" i="3"/>
  <c r="H17" i="7" s="1"/>
  <c r="H30" i="7"/>
  <c r="H27" i="7"/>
  <c r="H33" i="7" s="1"/>
  <c r="H36" i="7" s="1"/>
  <c r="H31" i="7"/>
  <c r="H28" i="7"/>
  <c r="H34" i="7" s="1"/>
  <c r="H29" i="7"/>
  <c r="H35" i="7" s="1"/>
  <c r="G7" i="3"/>
  <c r="G5" i="7" s="1"/>
  <c r="G31" i="7"/>
  <c r="G28" i="7"/>
  <c r="G34" i="7" s="1"/>
  <c r="G30" i="7"/>
  <c r="G29" i="7"/>
  <c r="G35" i="7" s="1"/>
  <c r="G27" i="7"/>
  <c r="G33" i="7" s="1"/>
  <c r="L9" i="7"/>
  <c r="J10" i="3"/>
  <c r="E18" i="8"/>
  <c r="K12" i="3"/>
  <c r="K31" i="7"/>
  <c r="K28" i="7"/>
  <c r="K34" i="7" s="1"/>
  <c r="K29" i="7"/>
  <c r="K35" i="7" s="1"/>
  <c r="K27" i="7"/>
  <c r="K33" i="7" s="1"/>
  <c r="K30" i="7"/>
  <c r="M22" i="3"/>
  <c r="F28" i="7"/>
  <c r="F34" i="7" s="1"/>
  <c r="F29" i="7"/>
  <c r="F35" i="7" s="1"/>
  <c r="F30" i="7"/>
  <c r="F27" i="7"/>
  <c r="F33" i="7" s="1"/>
  <c r="F36" i="7" s="1"/>
  <c r="F31" i="7"/>
  <c r="K25" i="3"/>
  <c r="K18" i="7" s="1"/>
  <c r="K57" i="3"/>
  <c r="K65" i="3" s="1"/>
  <c r="K67" i="3" s="1"/>
  <c r="C12" i="3"/>
  <c r="C28" i="7"/>
  <c r="C31" i="7"/>
  <c r="C27" i="7"/>
  <c r="C30" i="7"/>
  <c r="C29" i="7"/>
  <c r="E12" i="3"/>
  <c r="E29" i="7"/>
  <c r="E35" i="7" s="1"/>
  <c r="E30" i="7"/>
  <c r="E27" i="7"/>
  <c r="E33" i="7" s="1"/>
  <c r="E28" i="7"/>
  <c r="E34" i="7" s="1"/>
  <c r="E31" i="7"/>
  <c r="J57" i="3"/>
  <c r="J65" i="3" s="1"/>
  <c r="J67" i="3" s="1"/>
  <c r="D9" i="7"/>
  <c r="N9" i="7" s="1"/>
  <c r="L7" i="3"/>
  <c r="L5" i="7" s="1"/>
  <c r="L30" i="7"/>
  <c r="L27" i="7"/>
  <c r="L33" i="7" s="1"/>
  <c r="L31" i="7"/>
  <c r="L29" i="7"/>
  <c r="L35" i="7" s="1"/>
  <c r="L28" i="7"/>
  <c r="L34" i="7" s="1"/>
  <c r="D30" i="7"/>
  <c r="D27" i="7"/>
  <c r="D31" i="7"/>
  <c r="D28" i="7"/>
  <c r="D29" i="7"/>
  <c r="F9" i="7"/>
  <c r="I57" i="3"/>
  <c r="I65" i="3" s="1"/>
  <c r="I67" i="3" s="1"/>
  <c r="E16" i="8"/>
  <c r="S18" i="8"/>
  <c r="T18" i="8" s="1"/>
  <c r="J18" i="8"/>
  <c r="J16" i="8"/>
  <c r="E17" i="8"/>
  <c r="J12" i="3"/>
  <c r="C25" i="3"/>
  <c r="C18" i="7" s="1"/>
  <c r="E25" i="3"/>
  <c r="E18" i="7" s="1"/>
  <c r="J7" i="3"/>
  <c r="J5" i="7" s="1"/>
  <c r="M12" i="3"/>
  <c r="F16" i="3"/>
  <c r="F17" i="7" s="1"/>
  <c r="J22" i="3"/>
  <c r="C22" i="3"/>
  <c r="D25" i="3"/>
  <c r="D18" i="7" s="1"/>
  <c r="L12" i="3"/>
  <c r="D12" i="3"/>
  <c r="M7" i="3"/>
  <c r="K7" i="3"/>
  <c r="K5" i="7" s="1"/>
  <c r="M16" i="3"/>
  <c r="E16" i="3"/>
  <c r="E17" i="7" s="1"/>
  <c r="I22" i="3"/>
  <c r="M25" i="3"/>
  <c r="L16" i="3"/>
  <c r="L17" i="7" s="1"/>
  <c r="D16" i="3"/>
  <c r="D17" i="7" s="1"/>
  <c r="H22" i="3"/>
  <c r="E7" i="3"/>
  <c r="E5" i="7" s="1"/>
  <c r="F7" i="3"/>
  <c r="F5" i="7" s="1"/>
  <c r="F10" i="3"/>
  <c r="K16" i="3"/>
  <c r="K17" i="7" s="1"/>
  <c r="C16" i="3"/>
  <c r="C17" i="7" s="1"/>
  <c r="G22" i="3"/>
  <c r="I25" i="3"/>
  <c r="I18" i="7" s="1"/>
  <c r="E10" i="3"/>
  <c r="H25" i="3"/>
  <c r="H18" i="7" s="1"/>
  <c r="G25" i="3"/>
  <c r="G18" i="7" s="1"/>
  <c r="K10" i="3"/>
  <c r="F25" i="3"/>
  <c r="F18" i="7" s="1"/>
  <c r="G12" i="3"/>
  <c r="H12" i="3"/>
  <c r="G16" i="3"/>
  <c r="G17" i="7" s="1"/>
  <c r="H7" i="3"/>
  <c r="H5" i="7" s="1"/>
  <c r="F12" i="3"/>
  <c r="I10" i="3"/>
  <c r="I16" i="3"/>
  <c r="I17" i="7" s="1"/>
  <c r="I12" i="3"/>
  <c r="I7" i="3"/>
  <c r="I5" i="7" s="1"/>
  <c r="H10" i="3"/>
  <c r="D7" i="3"/>
  <c r="D5" i="7" s="1"/>
  <c r="M10" i="3"/>
  <c r="O17" i="7" l="1"/>
  <c r="N17" i="7"/>
  <c r="C33" i="7"/>
  <c r="N27" i="7"/>
  <c r="H6" i="7"/>
  <c r="I13" i="3"/>
  <c r="I11" i="7" s="1"/>
  <c r="O18" i="7"/>
  <c r="N18" i="7"/>
  <c r="N31" i="7"/>
  <c r="J6" i="7"/>
  <c r="K13" i="3"/>
  <c r="K11" i="7" s="1"/>
  <c r="E36" i="7"/>
  <c r="N28" i="7"/>
  <c r="C34" i="7"/>
  <c r="N34" i="7" s="1"/>
  <c r="J36" i="7"/>
  <c r="O9" i="7"/>
  <c r="N5" i="7"/>
  <c r="O5" i="7"/>
  <c r="D13" i="3"/>
  <c r="D11" i="7" s="1"/>
  <c r="C6" i="7"/>
  <c r="O27" i="7"/>
  <c r="D33" i="7"/>
  <c r="N29" i="7"/>
  <c r="C35" i="7"/>
  <c r="N35" i="7" s="1"/>
  <c r="G6" i="7"/>
  <c r="H13" i="3"/>
  <c r="H11" i="7" s="1"/>
  <c r="L13" i="3"/>
  <c r="L11" i="7" s="1"/>
  <c r="K6" i="7"/>
  <c r="O30" i="7"/>
  <c r="N30" i="7"/>
  <c r="F6" i="7"/>
  <c r="G13" i="3"/>
  <c r="G11" i="7" s="1"/>
  <c r="I6" i="7"/>
  <c r="J13" i="3"/>
  <c r="J11" i="7" s="1"/>
  <c r="K18" i="3"/>
  <c r="D35" i="7"/>
  <c r="O35" i="7" s="1"/>
  <c r="O29" i="7"/>
  <c r="L36" i="7"/>
  <c r="C18" i="3"/>
  <c r="C13" i="3"/>
  <c r="C11" i="7" s="1"/>
  <c r="E6" i="7"/>
  <c r="F13" i="3"/>
  <c r="F11" i="7" s="1"/>
  <c r="D34" i="7"/>
  <c r="O34" i="7" s="1"/>
  <c r="O28" i="7"/>
  <c r="O38" i="7"/>
  <c r="M13" i="3"/>
  <c r="L6" i="7"/>
  <c r="O31" i="7"/>
  <c r="E18" i="3"/>
  <c r="E13" i="3"/>
  <c r="E11" i="7" s="1"/>
  <c r="D6" i="7"/>
  <c r="K36" i="7"/>
  <c r="G36" i="7"/>
  <c r="F18" i="3"/>
  <c r="G18" i="3"/>
  <c r="D18" i="3"/>
  <c r="K19" i="3"/>
  <c r="K13" i="7" s="1"/>
  <c r="K19" i="7" s="1"/>
  <c r="K27" i="3"/>
  <c r="J18" i="3"/>
  <c r="I18" i="3"/>
  <c r="L18" i="3"/>
  <c r="H18" i="3"/>
  <c r="M18" i="3"/>
  <c r="L7" i="7" s="1"/>
  <c r="O33" i="7" l="1"/>
  <c r="D36" i="7"/>
  <c r="O36" i="7" s="1"/>
  <c r="H21" i="7"/>
  <c r="G7" i="7"/>
  <c r="H12" i="7"/>
  <c r="O6" i="7"/>
  <c r="K7" i="7"/>
  <c r="L12" i="7"/>
  <c r="L21" i="7"/>
  <c r="C7" i="7"/>
  <c r="D12" i="7"/>
  <c r="D21" i="7"/>
  <c r="N6" i="7"/>
  <c r="K12" i="7"/>
  <c r="J7" i="7"/>
  <c r="K21" i="7"/>
  <c r="C36" i="7"/>
  <c r="N36" i="7" s="1"/>
  <c r="N33" i="7"/>
  <c r="N11" i="7"/>
  <c r="O11" i="7"/>
  <c r="C19" i="3"/>
  <c r="C13" i="7" s="1"/>
  <c r="C12" i="7"/>
  <c r="C21" i="7"/>
  <c r="C27" i="3"/>
  <c r="I21" i="7"/>
  <c r="H7" i="7"/>
  <c r="I12" i="7"/>
  <c r="G12" i="7"/>
  <c r="G21" i="7"/>
  <c r="F7" i="7"/>
  <c r="I7" i="7"/>
  <c r="J21" i="7"/>
  <c r="J12" i="7"/>
  <c r="F12" i="7"/>
  <c r="F21" i="7"/>
  <c r="E7" i="7"/>
  <c r="E19" i="3"/>
  <c r="E13" i="7" s="1"/>
  <c r="E19" i="7" s="1"/>
  <c r="D7" i="7"/>
  <c r="E21" i="7"/>
  <c r="E12" i="7"/>
  <c r="E27" i="3"/>
  <c r="K33" i="3"/>
  <c r="K28" i="3"/>
  <c r="K14" i="7" s="1"/>
  <c r="K31" i="3"/>
  <c r="J19" i="3"/>
  <c r="J13" i="7" s="1"/>
  <c r="J19" i="7" s="1"/>
  <c r="J27" i="3"/>
  <c r="D19" i="3"/>
  <c r="D13" i="7" s="1"/>
  <c r="D19" i="7" s="1"/>
  <c r="D27" i="3"/>
  <c r="M19" i="3"/>
  <c r="M27" i="3"/>
  <c r="G19" i="3"/>
  <c r="G13" i="7" s="1"/>
  <c r="G19" i="7" s="1"/>
  <c r="G27" i="3"/>
  <c r="H19" i="3"/>
  <c r="H13" i="7" s="1"/>
  <c r="H19" i="7" s="1"/>
  <c r="H27" i="3"/>
  <c r="F19" i="3"/>
  <c r="F13" i="7" s="1"/>
  <c r="F19" i="7" s="1"/>
  <c r="F27" i="3"/>
  <c r="L19" i="3"/>
  <c r="L13" i="7" s="1"/>
  <c r="L19" i="7" s="1"/>
  <c r="L27" i="3"/>
  <c r="I19" i="3"/>
  <c r="I13" i="7" s="1"/>
  <c r="I19" i="7" s="1"/>
  <c r="I27" i="3"/>
  <c r="N7" i="7" l="1"/>
  <c r="O12" i="7"/>
  <c r="N12" i="7"/>
  <c r="C28" i="3"/>
  <c r="C14" i="7" s="1"/>
  <c r="C31" i="3"/>
  <c r="C33" i="3"/>
  <c r="O21" i="7"/>
  <c r="N21" i="7"/>
  <c r="C19" i="7"/>
  <c r="N13" i="7"/>
  <c r="O13" i="7"/>
  <c r="J8" i="7"/>
  <c r="K23" i="7"/>
  <c r="O7" i="7"/>
  <c r="E33" i="3"/>
  <c r="E28" i="3"/>
  <c r="E14" i="7" s="1"/>
  <c r="E31" i="3"/>
  <c r="J28" i="3"/>
  <c r="J14" i="7" s="1"/>
  <c r="J33" i="3"/>
  <c r="J31" i="3"/>
  <c r="H31" i="3"/>
  <c r="H33" i="3"/>
  <c r="H28" i="3"/>
  <c r="H14" i="7" s="1"/>
  <c r="I33" i="3"/>
  <c r="I28" i="3"/>
  <c r="I14" i="7" s="1"/>
  <c r="I31" i="3"/>
  <c r="G33" i="3"/>
  <c r="G28" i="3"/>
  <c r="G14" i="7" s="1"/>
  <c r="G31" i="3"/>
  <c r="L33" i="3"/>
  <c r="L28" i="3"/>
  <c r="L14" i="7" s="1"/>
  <c r="L31" i="3"/>
  <c r="M33" i="3"/>
  <c r="M28" i="3"/>
  <c r="M31" i="3"/>
  <c r="F33" i="3"/>
  <c r="F28" i="3"/>
  <c r="F14" i="7" s="1"/>
  <c r="F31" i="3"/>
  <c r="D33" i="3"/>
  <c r="D28" i="3"/>
  <c r="D14" i="7" s="1"/>
  <c r="D31" i="3"/>
  <c r="K38" i="3"/>
  <c r="K34" i="3"/>
  <c r="K15" i="7" s="1"/>
  <c r="H23" i="7" l="1"/>
  <c r="G8" i="7"/>
  <c r="E23" i="7"/>
  <c r="D8" i="7"/>
  <c r="E38" i="3"/>
  <c r="E42" i="3" s="1"/>
  <c r="E44" i="3" s="1"/>
  <c r="E22" i="7" s="1"/>
  <c r="E34" i="3"/>
  <c r="E15" i="7" s="1"/>
  <c r="E8" i="7"/>
  <c r="F23" i="7"/>
  <c r="N14" i="7"/>
  <c r="O14" i="7"/>
  <c r="L8" i="7"/>
  <c r="I8" i="7"/>
  <c r="J23" i="7"/>
  <c r="L23" i="7"/>
  <c r="K8" i="7"/>
  <c r="F8" i="7"/>
  <c r="G23" i="7"/>
  <c r="C23" i="7"/>
  <c r="C38" i="3"/>
  <c r="C42" i="3" s="1"/>
  <c r="C44" i="3" s="1"/>
  <c r="C22" i="7" s="1"/>
  <c r="C34" i="3"/>
  <c r="C15" i="7" s="1"/>
  <c r="D23" i="7"/>
  <c r="C8" i="7"/>
  <c r="I23" i="7"/>
  <c r="H8" i="7"/>
  <c r="O19" i="7"/>
  <c r="N19" i="7"/>
  <c r="H34" i="3"/>
  <c r="H15" i="7" s="1"/>
  <c r="H38" i="3"/>
  <c r="K42" i="3"/>
  <c r="K44" i="3" s="1"/>
  <c r="K22" i="7" s="1"/>
  <c r="K24" i="7" s="1"/>
  <c r="F34" i="3"/>
  <c r="F15" i="7" s="1"/>
  <c r="F38" i="3"/>
  <c r="M38" i="3"/>
  <c r="M34" i="3"/>
  <c r="G34" i="3"/>
  <c r="G15" i="7" s="1"/>
  <c r="G38" i="3"/>
  <c r="D38" i="3"/>
  <c r="D34" i="3"/>
  <c r="D15" i="7" s="1"/>
  <c r="L38" i="3"/>
  <c r="L34" i="3"/>
  <c r="L15" i="7" s="1"/>
  <c r="J34" i="3"/>
  <c r="J15" i="7" s="1"/>
  <c r="J38" i="3"/>
  <c r="J39" i="3" s="1"/>
  <c r="I34" i="3"/>
  <c r="I15" i="7" s="1"/>
  <c r="I38" i="3"/>
  <c r="C24" i="7" l="1"/>
  <c r="O23" i="7"/>
  <c r="N23" i="7"/>
  <c r="O8" i="7"/>
  <c r="N15" i="7"/>
  <c r="O15" i="7"/>
  <c r="N8" i="7"/>
  <c r="E24" i="7"/>
  <c r="E39" i="3"/>
  <c r="F42" i="3"/>
  <c r="F44" i="3" s="1"/>
  <c r="F22" i="7" s="1"/>
  <c r="F24" i="7" s="1"/>
  <c r="L39" i="3"/>
  <c r="M42" i="3"/>
  <c r="M44" i="3" s="1"/>
  <c r="C39" i="3"/>
  <c r="D42" i="3"/>
  <c r="D44" i="3" s="1"/>
  <c r="D22" i="7" s="1"/>
  <c r="D24" i="7" s="1"/>
  <c r="D39" i="3"/>
  <c r="K39" i="3"/>
  <c r="L42" i="3"/>
  <c r="L44" i="3" s="1"/>
  <c r="L22" i="7" s="1"/>
  <c r="L24" i="7" s="1"/>
  <c r="H39" i="3"/>
  <c r="I42" i="3"/>
  <c r="I44" i="3" s="1"/>
  <c r="I22" i="7" s="1"/>
  <c r="I24" i="7" s="1"/>
  <c r="F39" i="3"/>
  <c r="G42" i="3"/>
  <c r="G44" i="3" s="1"/>
  <c r="G22" i="7" s="1"/>
  <c r="G24" i="7" s="1"/>
  <c r="G39" i="3"/>
  <c r="H42" i="3"/>
  <c r="H44" i="3" s="1"/>
  <c r="H22" i="7" s="1"/>
  <c r="H24" i="7" s="1"/>
  <c r="I39" i="3"/>
  <c r="J42" i="3"/>
  <c r="J44" i="3" s="1"/>
  <c r="J22" i="7" s="1"/>
  <c r="J24" i="7" s="1"/>
  <c r="O22" i="7" l="1"/>
  <c r="N22" i="7"/>
  <c r="N24" i="7"/>
  <c r="O24" i="7"/>
</calcChain>
</file>

<file path=xl/sharedStrings.xml><?xml version="1.0" encoding="utf-8"?>
<sst xmlns="http://schemas.openxmlformats.org/spreadsheetml/2006/main" count="219" uniqueCount="156">
  <si>
    <t>COMPANY NAME</t>
  </si>
  <si>
    <t>HCL TECHNOLOGIES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</si>
  <si>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</si>
  <si>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</si>
  <si>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</si>
  <si>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</si>
  <si>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</si>
  <si>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</si>
  <si>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</si>
  <si>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</si>
  <si>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</si>
  <si>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</si>
  <si>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</si>
  <si>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</si>
  <si>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</si>
  <si>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</si>
  <si>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</si>
  <si>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</si>
  <si>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</si>
  <si>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</si>
  <si>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</si>
  <si>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</si>
  <si>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</si>
  <si>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</si>
  <si>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</si>
  <si>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</si>
  <si>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</si>
  <si>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</si>
  <si>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</si>
  <si>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</si>
  <si>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</si>
  <si>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</si>
  <si>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</si>
  <si>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</si>
  <si>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</si>
  <si>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</si>
  <si>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</si>
  <si>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</si>
  <si>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</si>
  <si>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</si>
  <si>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</si>
  <si>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</si>
  <si>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</si>
  <si>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</si>
  <si>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</si>
  <si>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</si>
  <si>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</si>
  <si>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</si>
  <si>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</si>
  <si>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</si>
  <si>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</si>
  <si>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</si>
  <si>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</si>
  <si>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</si>
  <si>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/>
  </si>
  <si>
    <t>Year</t>
  </si>
  <si>
    <t>LTM</t>
  </si>
  <si>
    <t>#</t>
  </si>
  <si>
    <t>Incomestatement</t>
  </si>
  <si>
    <t>Sales growth</t>
  </si>
  <si>
    <t>-</t>
  </si>
  <si>
    <t>Cost of good sold</t>
  </si>
  <si>
    <t>Cogs % of sales</t>
  </si>
  <si>
    <t>Gross profit</t>
  </si>
  <si>
    <t>Selling&amp;general expns</t>
  </si>
  <si>
    <t>S&amp;g exp % of sales</t>
  </si>
  <si>
    <t>EBITDA</t>
  </si>
  <si>
    <t>EBITDA margins</t>
  </si>
  <si>
    <t>Interest % sales</t>
  </si>
  <si>
    <t>Depreciation% sales</t>
  </si>
  <si>
    <t>Gross profit %sales</t>
  </si>
  <si>
    <t>Earning before tax</t>
  </si>
  <si>
    <t>EBT % sales</t>
  </si>
  <si>
    <t>Effective tax rate</t>
  </si>
  <si>
    <t>Net margins</t>
  </si>
  <si>
    <t>No of equity shares</t>
  </si>
  <si>
    <t>Earning per share</t>
  </si>
  <si>
    <t>Divident per share</t>
  </si>
  <si>
    <t>Eps growth %</t>
  </si>
  <si>
    <t>Divident payout ratio</t>
  </si>
  <si>
    <t>Retained earnings</t>
  </si>
  <si>
    <t>Balancesheet</t>
  </si>
  <si>
    <t>Total liabilities</t>
  </si>
  <si>
    <t>Fixed asset net block</t>
  </si>
  <si>
    <t>Total non current asset</t>
  </si>
  <si>
    <t>Total current asset</t>
  </si>
  <si>
    <t>Total asset</t>
  </si>
  <si>
    <t>check</t>
  </si>
  <si>
    <t>Cash from Operating Activity 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</si>
  <si>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</si>
  <si>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</si>
  <si>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</si>
  <si>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</si>
  <si>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</si>
  <si>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</si>
  <si>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</si>
  <si>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</si>
  <si>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</si>
  <si>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</si>
  <si>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</si>
  <si>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</si>
  <si>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</si>
  <si>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</si>
  <si>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</si>
  <si>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</si>
  <si>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</si>
  <si>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</si>
  <si>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Dividends paid</t>
  </si>
  <si>
    <t>Financial liabilities</t>
  </si>
  <si>
    <t>Other financing items</t>
  </si>
  <si>
    <t>Cashflow statement</t>
  </si>
  <si>
    <t>opreating activity</t>
  </si>
  <si>
    <t>Cash from opreating activity</t>
  </si>
  <si>
    <t>Investing activity</t>
  </si>
  <si>
    <t>Cash from investing activity</t>
  </si>
  <si>
    <t>Financing activity</t>
  </si>
  <si>
    <t>cash from financing activity</t>
  </si>
  <si>
    <t>Net cashflow</t>
  </si>
  <si>
    <t xml:space="preserve"> #</t>
  </si>
  <si>
    <t>Ebitda margin</t>
  </si>
  <si>
    <t>Gross margin</t>
  </si>
  <si>
    <t>Ebit growth</t>
  </si>
  <si>
    <t>Net profit growth</t>
  </si>
  <si>
    <t>Divident growth</t>
  </si>
  <si>
    <t>EBT margin</t>
  </si>
  <si>
    <t>Net profit margin</t>
  </si>
  <si>
    <t>Sales expenses% sales</t>
  </si>
  <si>
    <t>Depreciation % sales</t>
  </si>
  <si>
    <t>Opreating income%sales</t>
  </si>
  <si>
    <t>Return on capital employed</t>
  </si>
  <si>
    <t>Retained earning %</t>
  </si>
  <si>
    <t>Return on equity %</t>
  </si>
  <si>
    <t>Self susteined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</si>
  <si>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</si>
  <si>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</si>
  <si>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</si>
  <si>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</si>
  <si>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</si>
  <si>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</si>
  <si>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 xml:space="preserve">Debtor days </t>
  </si>
  <si>
    <t xml:space="preserve">Payable days </t>
  </si>
  <si>
    <t>Inventory days</t>
  </si>
  <si>
    <t>Cash conversion cycle</t>
  </si>
  <si>
    <t>CFO/sales</t>
  </si>
  <si>
    <t>CFO/total asset</t>
  </si>
  <si>
    <t>CFO/total debt</t>
  </si>
  <si>
    <t>Ebitda growth</t>
  </si>
  <si>
    <t>Ebit margin</t>
  </si>
  <si>
    <t>Mean</t>
  </si>
  <si>
    <t>Median</t>
  </si>
  <si>
    <t>Trend</t>
  </si>
  <si>
    <t>year weight</t>
  </si>
  <si>
    <t>year</t>
  </si>
  <si>
    <t>sales</t>
  </si>
  <si>
    <t>sales growth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</si>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</sst>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\-#,##0.0\);\-"/>
    <numFmt numFmtId="167" formatCode="&quot;₹&quot;\ #,##0.0;&quot;₹&quot;\ \-#,##0.0"/>
    <numFmt numFmtId="168" formatCode="0.0%"/>
    <numFmt numFmtId="169" formatCode="0.00&quot;x&quot;"/>
    <numFmt numFmtId="170" formatCode="0&quot;days&quot;"/>
    <numFmt numFmtId="171" formatCode="0&quot;E&quot;"/>
    <numFmt numFmtId="172" formatCode="yyyy&quot;A&quot;"/>
    <numFmt numFmtId="173" formatCode="#,##0.0"/>
    <numFmt numFmtId="174" formatCode="#,##0.0;\-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FF8119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3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7D3C4A"/>
        <bgColor rgb="FFFFFFFF"/>
      </patternFill>
    </fill>
    <fill>
      <patternFill patternType="solid">
        <fgColor rgb="FF0275D8"/>
        <bgColor rgb="FF00000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43" fontId="6" fillId="0" borderId="0" xfId="1" applyFont="1" applyFill="1" applyBorder="1"/>
    <xf numFmtId="43" fontId="7" fillId="0" borderId="0" xfId="3" applyNumberFormat="1" applyFont="1" applyFill="1" applyBorder="1" applyAlignment="1" applyProtection="1">
      <alignment horizontal="center"/>
    </xf>
    <xf numFmtId="43" fontId="8" fillId="0" borderId="0" xfId="1" applyFont="1" applyFill="1" applyBorder="1"/>
    <xf numFmtId="43" fontId="9" fillId="3" borderId="0" xfId="2" applyNumberFormat="1" applyFont="1" applyFill="1" applyBorder="1" applyAlignment="1">
      <alignment horizontal="center"/>
    </xf>
    <xf numFmtId="0" fontId="8" fillId="0" borderId="0" xfId="0" applyFont="1"/>
    <xf numFmtId="164" fontId="9" fillId="4" borderId="0" xfId="1" applyNumberFormat="1" applyFont="1" applyFill="1" applyBorder="1"/>
    <xf numFmtId="164" fontId="9" fillId="4" borderId="0" xfId="0" applyNumberFormat="1" applyFont="1" applyFill="1" applyAlignment="1">
      <alignment horizontal="center"/>
    </xf>
    <xf numFmtId="43" fontId="5" fillId="0" borderId="0" xfId="1" applyFont="1" applyFill="1" applyBorder="1"/>
    <xf numFmtId="165" fontId="8" fillId="0" borderId="0" xfId="1" applyNumberFormat="1" applyFont="1" applyFill="1" applyBorder="1"/>
    <xf numFmtId="0" fontId="3" fillId="5" borderId="0" xfId="0" applyFont="1" applyFill="1"/>
    <xf numFmtId="17" fontId="3" fillId="5" borderId="0" xfId="0" applyNumberFormat="1" applyFont="1" applyFill="1"/>
    <xf numFmtId="17" fontId="3" fillId="5" borderId="0" xfId="0" applyNumberFormat="1" applyFont="1" applyFill="1" applyAlignment="1">
      <alignment horizontal="right" indent="1"/>
    </xf>
    <xf numFmtId="166" fontId="0" fillId="0" borderId="0" xfId="0" applyNumberFormat="1"/>
    <xf numFmtId="9" fontId="0" fillId="0" borderId="0" xfId="4" applyFont="1"/>
    <xf numFmtId="0" fontId="11" fillId="7" borderId="0" xfId="0" applyFont="1" applyFill="1"/>
    <xf numFmtId="0" fontId="11" fillId="7" borderId="0" xfId="0" applyFont="1" applyFill="1" applyAlignment="1">
      <alignment horizontal="right"/>
    </xf>
    <xf numFmtId="10" fontId="11" fillId="7" borderId="0" xfId="4" applyNumberFormat="1" applyFont="1" applyFill="1"/>
    <xf numFmtId="167" fontId="0" fillId="0" borderId="0" xfId="0" applyNumberFormat="1"/>
    <xf numFmtId="0" fontId="5" fillId="0" borderId="0" xfId="1" applyNumberFormat="1" applyFont="1" applyFill="1" applyBorder="1"/>
    <xf numFmtId="9" fontId="11" fillId="7" borderId="0" xfId="4" applyFont="1" applyFill="1" applyAlignment="1">
      <alignment horizontal="right"/>
    </xf>
    <xf numFmtId="0" fontId="10" fillId="0" borderId="0" xfId="0" applyFont="1"/>
    <xf numFmtId="0" fontId="10" fillId="8" borderId="0" xfId="0" applyFont="1" applyFill="1"/>
    <xf numFmtId="0" fontId="0" fillId="8" borderId="0" xfId="0" applyFill="1"/>
    <xf numFmtId="0" fontId="12" fillId="7" borderId="0" xfId="0" applyFont="1" applyFill="1"/>
    <xf numFmtId="17" fontId="0" fillId="0" borderId="0" xfId="0" applyNumberFormat="1"/>
    <xf numFmtId="3" fontId="0" fillId="0" borderId="0" xfId="0" applyNumberFormat="1"/>
    <xf numFmtId="0" fontId="2" fillId="6" borderId="0" xfId="0" applyFont="1" applyFill="1" applyAlignment="1">
      <alignment horizontal="center" vertical="top"/>
    </xf>
    <xf numFmtId="0" fontId="10" fillId="0" borderId="1" xfId="0" applyFont="1" applyBorder="1"/>
    <xf numFmtId="167" fontId="10" fillId="0" borderId="1" xfId="0" applyNumberFormat="1" applyFont="1" applyBorder="1"/>
    <xf numFmtId="0" fontId="0" fillId="0" borderId="2" xfId="0" applyBorder="1"/>
    <xf numFmtId="168" fontId="0" fillId="0" borderId="2" xfId="4" applyNumberFormat="1" applyFont="1" applyBorder="1"/>
    <xf numFmtId="9" fontId="0" fillId="0" borderId="2" xfId="4" applyFont="1" applyBorder="1"/>
    <xf numFmtId="9" fontId="0" fillId="0" borderId="0" xfId="4" applyFont="1" applyBorder="1"/>
    <xf numFmtId="0" fontId="0" fillId="0" borderId="3" xfId="0" applyBorder="1"/>
    <xf numFmtId="9" fontId="0" fillId="0" borderId="3" xfId="4" applyFont="1" applyBorder="1"/>
    <xf numFmtId="169" fontId="0" fillId="0" borderId="2" xfId="0" applyNumberFormat="1" applyBorder="1"/>
    <xf numFmtId="169" fontId="0" fillId="0" borderId="0" xfId="0" applyNumberFormat="1"/>
    <xf numFmtId="169" fontId="0" fillId="0" borderId="3" xfId="0" applyNumberFormat="1" applyBorder="1"/>
    <xf numFmtId="170" fontId="0" fillId="0" borderId="2" xfId="0" applyNumberFormat="1" applyBorder="1"/>
    <xf numFmtId="170" fontId="0" fillId="0" borderId="0" xfId="0" applyNumberFormat="1"/>
    <xf numFmtId="170" fontId="0" fillId="0" borderId="3" xfId="0" applyNumberFormat="1" applyBorder="1"/>
    <xf numFmtId="9" fontId="0" fillId="0" borderId="0" xfId="4" applyFont="1" applyFill="1" applyBorder="1"/>
    <xf numFmtId="0" fontId="0" fillId="0" borderId="0" xfId="0" applyAlignment="1">
      <alignment horizontal="left"/>
    </xf>
    <xf numFmtId="171" fontId="0" fillId="0" borderId="0" xfId="0" applyNumberFormat="1" applyAlignment="1">
      <alignment horizontal="right"/>
    </xf>
    <xf numFmtId="0" fontId="13" fillId="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right" vertical="center"/>
    </xf>
    <xf numFmtId="172" fontId="0" fillId="0" borderId="0" xfId="0" applyNumberFormat="1"/>
    <xf numFmtId="173" fontId="0" fillId="0" borderId="0" xfId="0" applyNumberFormat="1"/>
    <xf numFmtId="174" fontId="0" fillId="0" borderId="1" xfId="0" applyNumberFormat="1" applyBorder="1"/>
    <xf numFmtId="0" fontId="2" fillId="6" borderId="0" xfId="0" applyFont="1" applyFill="1" applyAlignment="1">
      <alignment horizontal="center" vertical="top"/>
    </xf>
    <xf numFmtId="0" fontId="10" fillId="9" borderId="0" xfId="0" applyFont="1" applyFill="1" applyAlignment="1">
      <alignment horizontal="center"/>
    </xf>
    <xf numFmtId="43" fontId="10" fillId="9" borderId="0" xfId="0" applyNumberFormat="1" applyFont="1" applyFill="1" applyAlignment="1">
      <alignment horizontal="center"/>
    </xf>
  </cellXfs>
  <cellStyles count="5">
    <cellStyle name="Accent6" xfId="2" builtinId="49"/>
    <cellStyle name="Comma" xfId="1" builtinId="3"/>
    <cellStyle name="Hyperlink" xfId="3" builtinId="8"/>
    <cellStyle name="Normal" xfId="0" builtinId="0"/>
    <cellStyle name="Percent" xfId="4" builtinId="5"/>
  </cellStyles>
  <dxfs count="1">
    <dxf>
      <font>
        <b/>
        <i val="0"/>
        <color rgb="FFFFFFFF"/>
      </font>
      <fill>
        <patternFill>
          <bgColor rgb="FFDA1F2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D540-E201-43A2-9832-5E09095DF95F}">
  <dimension ref="A1:K93"/>
  <sheetViews>
    <sheetView tabSelected="1" topLeftCell="A7" workbookViewId="0">
      <selection activeCell="B30" sqref="B30:K30"/>
    </sheetView>
  </sheetViews>
  <sheetFormatPr defaultRowHeight="14.4" x14ac:dyDescent="0.3"/>
  <cols>
    <col min="1" max="1" width="27.6640625" style="3" bestFit="1" customWidth="1"/>
    <col min="2" max="11" width="13.44140625" style="3" bestFit="1" customWidth="1"/>
  </cols>
  <sheetData>
    <row r="1" spans="1:11" x14ac:dyDescent="0.3">
      <c r="A1" s="1" t="s">
        <v>0</v>
      </c>
      <c r="B1" s="1" t="s">
        <v>1</v>
      </c>
      <c r="C1" s="1"/>
      <c r="D1" s="1"/>
      <c r="E1" s="2" t="s">
        <v>54</v>
      </c>
      <c r="F1" s="2"/>
      <c r="G1" s="2"/>
      <c r="H1" s="2"/>
      <c r="I1" s="2"/>
      <c r="J1" s="2"/>
      <c r="K1" s="2"/>
    </row>
    <row r="2" spans="1:11" x14ac:dyDescent="0.3">
      <c r="A2" s="1" t="s">
        <v>2</v>
      </c>
      <c r="B2" s="3">
        <v>2.1</v>
      </c>
      <c r="E2" s="4" t="s">
        <v>3</v>
      </c>
      <c r="F2" s="4"/>
      <c r="G2" s="4"/>
      <c r="H2" s="4"/>
      <c r="I2" s="4"/>
      <c r="J2" s="4"/>
      <c r="K2" s="4"/>
    </row>
    <row r="3" spans="1:11" x14ac:dyDescent="0.3">
      <c r="A3" s="1" t="s">
        <v>4</v>
      </c>
      <c r="B3" s="3">
        <v>2.1</v>
      </c>
    </row>
    <row r="4" spans="1:11" x14ac:dyDescent="0.3">
      <c r="A4" s="1"/>
    </row>
    <row r="5" spans="1:11" x14ac:dyDescent="0.3">
      <c r="A5" s="1" t="s">
        <v>5</v>
      </c>
    </row>
    <row r="6" spans="1:11" x14ac:dyDescent="0.3">
      <c r="A6" s="3" t="s">
        <v>6</v>
      </c>
      <c r="B6" s="3">
        <v>415.25707643572451</v>
      </c>
    </row>
    <row r="7" spans="1:11" x14ac:dyDescent="0.3">
      <c r="A7" s="3" t="s">
        <v>7</v>
      </c>
      <c r="B7" s="5">
        <v>2</v>
      </c>
    </row>
    <row r="8" spans="1:11" x14ac:dyDescent="0.3">
      <c r="A8" s="3" t="s">
        <v>8</v>
      </c>
      <c r="B8" s="5">
        <v>1858.95</v>
      </c>
    </row>
    <row r="9" spans="1:11" x14ac:dyDescent="0.3">
      <c r="A9" s="3" t="s">
        <v>9</v>
      </c>
      <c r="B9" s="5">
        <v>504456.77</v>
      </c>
    </row>
    <row r="15" spans="1:11" x14ac:dyDescent="0.3">
      <c r="A15" s="1" t="s">
        <v>10</v>
      </c>
    </row>
    <row r="16" spans="1:11" x14ac:dyDescent="0.3">
      <c r="A16" s="6" t="s">
        <v>11</v>
      </c>
      <c r="B16" s="7">
        <v>42185</v>
      </c>
      <c r="C16" s="7">
        <v>42460</v>
      </c>
      <c r="D16" s="7">
        <v>42825</v>
      </c>
      <c r="E16" s="7">
        <v>43190</v>
      </c>
      <c r="F16" s="7">
        <v>43555</v>
      </c>
      <c r="G16" s="7">
        <v>43921</v>
      </c>
      <c r="H16" s="7">
        <v>44286</v>
      </c>
      <c r="I16" s="7">
        <v>44651</v>
      </c>
      <c r="J16" s="7">
        <v>45016</v>
      </c>
      <c r="K16" s="7">
        <v>45382</v>
      </c>
    </row>
    <row r="17" spans="1:11" x14ac:dyDescent="0.3">
      <c r="A17" s="8" t="s">
        <v>12</v>
      </c>
      <c r="B17" s="5">
        <v>36701.22</v>
      </c>
      <c r="C17" s="5">
        <v>31135.94</v>
      </c>
      <c r="D17" s="5">
        <v>47568</v>
      </c>
      <c r="E17" s="5">
        <v>50569</v>
      </c>
      <c r="F17" s="5">
        <v>60427</v>
      </c>
      <c r="G17" s="5">
        <v>70676</v>
      </c>
      <c r="H17" s="5">
        <v>75379</v>
      </c>
      <c r="I17" s="5">
        <v>85651</v>
      </c>
      <c r="J17" s="5">
        <v>101456</v>
      </c>
      <c r="K17" s="5">
        <v>109913</v>
      </c>
    </row>
    <row r="18" spans="1:11" x14ac:dyDescent="0.3">
      <c r="A18" s="3" t="s">
        <v>13</v>
      </c>
      <c r="B18" s="8">
        <v>1306.3800000000001</v>
      </c>
      <c r="C18" s="8">
        <v>812.73</v>
      </c>
      <c r="D18" s="8">
        <v>826</v>
      </c>
      <c r="E18" s="8">
        <v>1251</v>
      </c>
      <c r="F18" s="8">
        <v>1615</v>
      </c>
      <c r="G18" s="8">
        <v>1536</v>
      </c>
      <c r="H18" s="8">
        <v>1698</v>
      </c>
      <c r="I18" s="8">
        <v>1473</v>
      </c>
      <c r="J18" s="8">
        <v>2072</v>
      </c>
      <c r="K18" s="8">
        <v>1754</v>
      </c>
    </row>
    <row r="19" spans="1:11" x14ac:dyDescent="0.3">
      <c r="A19" s="3" t="s">
        <v>14</v>
      </c>
      <c r="B19" s="8">
        <v>35.65</v>
      </c>
      <c r="C19" s="8">
        <v>108.75</v>
      </c>
      <c r="D19" s="8">
        <v>11</v>
      </c>
      <c r="E19" s="8">
        <v>-104</v>
      </c>
      <c r="F19" s="8">
        <v>-81</v>
      </c>
      <c r="G19" s="8"/>
      <c r="H19" s="8">
        <v>3</v>
      </c>
      <c r="I19" s="8">
        <v>67</v>
      </c>
      <c r="J19" s="8">
        <v>67</v>
      </c>
      <c r="K19" s="8">
        <v>-43</v>
      </c>
    </row>
    <row r="20" spans="1:11" x14ac:dyDescent="0.3">
      <c r="A20" s="3" t="s">
        <v>15</v>
      </c>
      <c r="B20" s="5">
        <v>264.88</v>
      </c>
      <c r="C20" s="5">
        <v>210.53</v>
      </c>
      <c r="D20" s="5">
        <v>307</v>
      </c>
      <c r="E20" s="5">
        <v>313</v>
      </c>
      <c r="F20" s="5">
        <v>336</v>
      </c>
      <c r="G20" s="5">
        <v>307</v>
      </c>
      <c r="H20" s="5">
        <v>275</v>
      </c>
      <c r="I20" s="5">
        <v>291</v>
      </c>
      <c r="J20" s="5">
        <v>328</v>
      </c>
      <c r="K20" s="5">
        <v>360</v>
      </c>
    </row>
    <row r="21" spans="1:11" x14ac:dyDescent="0.3">
      <c r="A21" s="3" t="s">
        <v>16</v>
      </c>
      <c r="B21" s="5">
        <v>5860.79</v>
      </c>
      <c r="C21" s="5">
        <v>5632.96</v>
      </c>
      <c r="D21" s="5">
        <v>9286</v>
      </c>
      <c r="E21" s="5">
        <v>9388</v>
      </c>
      <c r="F21" s="5">
        <v>10862</v>
      </c>
      <c r="G21" s="5">
        <v>12324</v>
      </c>
      <c r="H21" s="5">
        <v>12084</v>
      </c>
      <c r="I21" s="5">
        <v>14574</v>
      </c>
      <c r="J21" s="5">
        <v>17303</v>
      </c>
      <c r="K21" s="5">
        <v>16651</v>
      </c>
    </row>
    <row r="22" spans="1:11" x14ac:dyDescent="0.3">
      <c r="A22" s="3" t="s">
        <v>17</v>
      </c>
      <c r="B22" s="5">
        <v>17726.43</v>
      </c>
      <c r="C22" s="5">
        <v>15203.25</v>
      </c>
      <c r="D22" s="5">
        <v>22866</v>
      </c>
      <c r="E22" s="5">
        <v>24729</v>
      </c>
      <c r="F22" s="5">
        <v>29283</v>
      </c>
      <c r="G22" s="5">
        <v>34928</v>
      </c>
      <c r="H22" s="5">
        <v>38853</v>
      </c>
      <c r="I22" s="5">
        <v>46130</v>
      </c>
      <c r="J22" s="5">
        <v>55280</v>
      </c>
      <c r="K22" s="5">
        <v>62480</v>
      </c>
    </row>
    <row r="23" spans="1:11" x14ac:dyDescent="0.3">
      <c r="A23" s="3" t="s">
        <v>18</v>
      </c>
      <c r="B23" s="5">
        <v>2853.17</v>
      </c>
      <c r="C23" s="5">
        <v>2205.52</v>
      </c>
      <c r="D23" s="5">
        <v>2988</v>
      </c>
      <c r="E23" s="5">
        <v>2810</v>
      </c>
      <c r="F23" s="5">
        <v>3519</v>
      </c>
      <c r="G23" s="5">
        <v>3050</v>
      </c>
      <c r="H23" s="5">
        <v>1681</v>
      </c>
      <c r="I23" s="5">
        <v>1866</v>
      </c>
      <c r="J23" s="5">
        <v>2687</v>
      </c>
      <c r="K23" s="5">
        <v>2858</v>
      </c>
    </row>
    <row r="24" spans="1:11" x14ac:dyDescent="0.3">
      <c r="A24" s="3" t="s">
        <v>19</v>
      </c>
      <c r="B24" s="5">
        <v>239.15</v>
      </c>
      <c r="C24" s="5">
        <v>526.15</v>
      </c>
      <c r="D24" s="5">
        <v>916</v>
      </c>
      <c r="E24" s="5">
        <v>728</v>
      </c>
      <c r="F24" s="5">
        <v>805</v>
      </c>
      <c r="G24" s="5">
        <v>1215</v>
      </c>
      <c r="H24" s="5">
        <v>743</v>
      </c>
      <c r="I24" s="5">
        <v>855</v>
      </c>
      <c r="J24" s="5">
        <v>1225</v>
      </c>
      <c r="K24" s="5">
        <v>1569</v>
      </c>
    </row>
    <row r="25" spans="1:11" x14ac:dyDescent="0.3">
      <c r="A25" s="8" t="s">
        <v>20</v>
      </c>
      <c r="B25" s="5">
        <v>1125.97</v>
      </c>
      <c r="C25" s="5">
        <v>870.89</v>
      </c>
      <c r="D25" s="5">
        <v>1069</v>
      </c>
      <c r="E25" s="5">
        <v>1230</v>
      </c>
      <c r="F25" s="5">
        <v>943</v>
      </c>
      <c r="G25" s="5">
        <v>589</v>
      </c>
      <c r="H25" s="5">
        <v>927</v>
      </c>
      <c r="I25" s="5">
        <v>1067</v>
      </c>
      <c r="J25" s="5">
        <v>1358</v>
      </c>
      <c r="K25" s="5">
        <v>1495</v>
      </c>
    </row>
    <row r="26" spans="1:11" x14ac:dyDescent="0.3">
      <c r="A26" s="8" t="s">
        <v>21</v>
      </c>
      <c r="B26" s="5">
        <v>403.75</v>
      </c>
      <c r="C26" s="5">
        <v>409.86</v>
      </c>
      <c r="D26" s="5">
        <v>828</v>
      </c>
      <c r="E26" s="5">
        <v>1383</v>
      </c>
      <c r="F26" s="5">
        <v>2073</v>
      </c>
      <c r="G26" s="5">
        <v>3420</v>
      </c>
      <c r="H26" s="5">
        <v>4611</v>
      </c>
      <c r="I26" s="5">
        <v>4326</v>
      </c>
      <c r="J26" s="5">
        <v>4145</v>
      </c>
      <c r="K26" s="5">
        <v>4173</v>
      </c>
    </row>
    <row r="27" spans="1:11" x14ac:dyDescent="0.3">
      <c r="A27" s="8" t="s">
        <v>22</v>
      </c>
      <c r="B27" s="5">
        <v>91.23</v>
      </c>
      <c r="C27" s="19">
        <v>73.900000000000006</v>
      </c>
      <c r="D27" s="19">
        <v>89</v>
      </c>
      <c r="E27" s="19">
        <v>69</v>
      </c>
      <c r="F27" s="19">
        <v>174</v>
      </c>
      <c r="G27" s="5">
        <v>505</v>
      </c>
      <c r="H27" s="5">
        <v>511</v>
      </c>
      <c r="I27" s="5">
        <v>319</v>
      </c>
      <c r="J27" s="5">
        <v>353</v>
      </c>
      <c r="K27" s="5">
        <v>553</v>
      </c>
    </row>
    <row r="28" spans="1:11" x14ac:dyDescent="0.3">
      <c r="A28" s="8" t="s">
        <v>23</v>
      </c>
      <c r="B28" s="5">
        <v>9117.06</v>
      </c>
      <c r="C28" s="5">
        <v>7040.68</v>
      </c>
      <c r="D28" s="5">
        <v>10542</v>
      </c>
      <c r="E28" s="5">
        <v>11024</v>
      </c>
      <c r="F28" s="5">
        <v>12622</v>
      </c>
      <c r="G28" s="5">
        <v>13980</v>
      </c>
      <c r="H28" s="5">
        <v>15853</v>
      </c>
      <c r="I28" s="5">
        <v>16951</v>
      </c>
      <c r="J28" s="5">
        <v>19488</v>
      </c>
      <c r="K28" s="5">
        <v>20967</v>
      </c>
    </row>
    <row r="29" spans="1:11" x14ac:dyDescent="0.3">
      <c r="A29" s="8" t="s">
        <v>24</v>
      </c>
      <c r="B29" s="5">
        <v>1815.11</v>
      </c>
      <c r="C29" s="5">
        <v>1439</v>
      </c>
      <c r="D29" s="5">
        <v>1936</v>
      </c>
      <c r="E29" s="5">
        <v>2302</v>
      </c>
      <c r="F29" s="5">
        <v>2502</v>
      </c>
      <c r="G29" s="5">
        <v>2923</v>
      </c>
      <c r="H29" s="5">
        <v>4684</v>
      </c>
      <c r="I29" s="5">
        <v>3428</v>
      </c>
      <c r="J29" s="5">
        <v>4643</v>
      </c>
      <c r="K29" s="5">
        <v>5257</v>
      </c>
    </row>
    <row r="30" spans="1:11" x14ac:dyDescent="0.3">
      <c r="A30" s="8" t="s">
        <v>25</v>
      </c>
      <c r="B30" s="5">
        <v>7317.07</v>
      </c>
      <c r="C30" s="5">
        <v>5602.43</v>
      </c>
      <c r="D30" s="5">
        <v>8606</v>
      </c>
      <c r="E30" s="5">
        <v>8721</v>
      </c>
      <c r="F30" s="5">
        <v>10120</v>
      </c>
      <c r="G30" s="5">
        <v>11057</v>
      </c>
      <c r="H30" s="5">
        <v>11145</v>
      </c>
      <c r="I30" s="5">
        <v>13499</v>
      </c>
      <c r="J30" s="5">
        <v>14851</v>
      </c>
      <c r="K30" s="5">
        <v>15702</v>
      </c>
    </row>
    <row r="31" spans="1:11" x14ac:dyDescent="0.3">
      <c r="A31" s="8" t="s">
        <v>26</v>
      </c>
      <c r="B31" s="5">
        <v>4218</v>
      </c>
      <c r="C31" s="5">
        <v>2256.64</v>
      </c>
      <c r="D31" s="5">
        <v>3420</v>
      </c>
      <c r="E31" s="5">
        <v>1668</v>
      </c>
      <c r="F31" s="5">
        <v>1084</v>
      </c>
      <c r="G31" s="5">
        <v>2715</v>
      </c>
      <c r="H31" s="5">
        <v>2715</v>
      </c>
      <c r="I31" s="5">
        <v>11403</v>
      </c>
      <c r="J31" s="5">
        <v>13032</v>
      </c>
      <c r="K31" s="5">
        <v>14118</v>
      </c>
    </row>
    <row r="32" spans="1:1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3">
      <c r="A33" s="8"/>
    </row>
    <row r="34" spans="1:11" x14ac:dyDescent="0.3">
      <c r="A34" s="8"/>
    </row>
    <row r="35" spans="1:11" x14ac:dyDescent="0.3">
      <c r="A35" s="8"/>
    </row>
    <row r="36" spans="1:11" x14ac:dyDescent="0.3">
      <c r="A36" s="8"/>
    </row>
    <row r="37" spans="1:11" x14ac:dyDescent="0.3">
      <c r="A37" s="8"/>
    </row>
    <row r="38" spans="1:11" x14ac:dyDescent="0.3">
      <c r="A38" s="8"/>
    </row>
    <row r="39" spans="1:11" x14ac:dyDescent="0.3">
      <c r="A39" s="8"/>
    </row>
    <row r="40" spans="1:11" x14ac:dyDescent="0.3">
      <c r="A40" s="1" t="s">
        <v>27</v>
      </c>
    </row>
    <row r="41" spans="1:11" x14ac:dyDescent="0.3">
      <c r="A41" s="6" t="s">
        <v>11</v>
      </c>
      <c r="B41" s="7">
        <v>44742</v>
      </c>
      <c r="C41" s="7">
        <v>44834</v>
      </c>
      <c r="D41" s="7">
        <v>44926</v>
      </c>
      <c r="E41" s="7">
        <v>45016</v>
      </c>
      <c r="F41" s="7">
        <v>45107</v>
      </c>
      <c r="G41" s="7">
        <v>45199</v>
      </c>
      <c r="H41" s="7">
        <v>45291</v>
      </c>
      <c r="I41" s="7">
        <v>45382</v>
      </c>
      <c r="J41" s="7">
        <v>45473</v>
      </c>
      <c r="K41" s="7">
        <v>45565</v>
      </c>
    </row>
    <row r="42" spans="1:11" x14ac:dyDescent="0.3">
      <c r="A42" s="8" t="s">
        <v>12</v>
      </c>
      <c r="B42" s="5">
        <v>23464</v>
      </c>
      <c r="C42" s="5">
        <v>24686</v>
      </c>
      <c r="D42" s="5">
        <v>26700</v>
      </c>
      <c r="E42" s="5">
        <v>26606</v>
      </c>
      <c r="F42" s="5">
        <v>26296</v>
      </c>
      <c r="G42" s="5">
        <v>26672</v>
      </c>
      <c r="H42" s="5">
        <v>28446</v>
      </c>
      <c r="I42" s="5">
        <v>28499</v>
      </c>
      <c r="J42" s="5">
        <v>28057</v>
      </c>
      <c r="K42" s="5">
        <v>28862</v>
      </c>
    </row>
    <row r="43" spans="1:11" x14ac:dyDescent="0.3">
      <c r="A43" s="8" t="s">
        <v>28</v>
      </c>
      <c r="B43" s="5">
        <v>18489</v>
      </c>
      <c r="C43" s="5">
        <v>19261</v>
      </c>
      <c r="D43" s="5">
        <v>20335</v>
      </c>
      <c r="E43" s="5">
        <v>20743</v>
      </c>
      <c r="F43" s="5">
        <v>20931</v>
      </c>
      <c r="G43" s="5">
        <v>20743</v>
      </c>
      <c r="H43" s="5">
        <v>21659</v>
      </c>
      <c r="I43" s="5">
        <v>22382</v>
      </c>
      <c r="J43" s="5">
        <v>22264</v>
      </c>
      <c r="K43" s="5">
        <v>22493</v>
      </c>
    </row>
    <row r="44" spans="1:11" x14ac:dyDescent="0.3">
      <c r="A44" s="8" t="s">
        <v>20</v>
      </c>
      <c r="B44" s="5">
        <v>409</v>
      </c>
      <c r="C44" s="5">
        <v>236</v>
      </c>
      <c r="D44" s="5">
        <v>260</v>
      </c>
      <c r="E44" s="5">
        <v>453</v>
      </c>
      <c r="F44" s="5">
        <v>344</v>
      </c>
      <c r="G44" s="5">
        <v>365</v>
      </c>
      <c r="H44" s="5">
        <v>370</v>
      </c>
      <c r="I44" s="5">
        <v>416</v>
      </c>
      <c r="J44" s="5">
        <v>1103</v>
      </c>
      <c r="K44" s="5">
        <v>456</v>
      </c>
    </row>
    <row r="45" spans="1:11" x14ac:dyDescent="0.3">
      <c r="A45" s="8" t="s">
        <v>21</v>
      </c>
      <c r="B45" s="5">
        <v>983</v>
      </c>
      <c r="C45" s="5">
        <v>998</v>
      </c>
      <c r="D45" s="5">
        <v>1137</v>
      </c>
      <c r="E45" s="5">
        <v>1027</v>
      </c>
      <c r="F45" s="5">
        <v>927</v>
      </c>
      <c r="G45" s="5">
        <v>1010</v>
      </c>
      <c r="H45" s="5">
        <v>1143</v>
      </c>
      <c r="I45" s="5">
        <v>1093</v>
      </c>
      <c r="J45" s="5">
        <v>998</v>
      </c>
      <c r="K45" s="5">
        <v>1007</v>
      </c>
    </row>
    <row r="46" spans="1:11" x14ac:dyDescent="0.3">
      <c r="A46" s="8" t="s">
        <v>22</v>
      </c>
      <c r="B46" s="5">
        <v>64</v>
      </c>
      <c r="C46" s="5">
        <v>79</v>
      </c>
      <c r="D46" s="5">
        <v>116</v>
      </c>
      <c r="E46" s="5">
        <v>94</v>
      </c>
      <c r="F46" s="5">
        <v>86</v>
      </c>
      <c r="G46" s="5">
        <v>156</v>
      </c>
      <c r="H46" s="5">
        <v>140</v>
      </c>
      <c r="I46" s="5">
        <v>171</v>
      </c>
      <c r="J46" s="5">
        <v>191</v>
      </c>
      <c r="K46" s="5">
        <v>131</v>
      </c>
    </row>
    <row r="47" spans="1:11" x14ac:dyDescent="0.3">
      <c r="A47" s="8" t="s">
        <v>23</v>
      </c>
      <c r="B47" s="5">
        <v>4337</v>
      </c>
      <c r="C47" s="5">
        <v>4584</v>
      </c>
      <c r="D47" s="5">
        <v>5372</v>
      </c>
      <c r="E47" s="5">
        <v>5195</v>
      </c>
      <c r="F47" s="5">
        <v>4696</v>
      </c>
      <c r="G47" s="5">
        <v>5128</v>
      </c>
      <c r="H47" s="5">
        <v>5874</v>
      </c>
      <c r="I47" s="5">
        <v>5269</v>
      </c>
      <c r="J47" s="5">
        <v>5707</v>
      </c>
      <c r="K47" s="5">
        <v>5687</v>
      </c>
    </row>
    <row r="48" spans="1:11" x14ac:dyDescent="0.3">
      <c r="A48" s="8" t="s">
        <v>24</v>
      </c>
      <c r="B48" s="5">
        <v>1056</v>
      </c>
      <c r="C48" s="5">
        <v>1097</v>
      </c>
      <c r="D48" s="5">
        <v>1276</v>
      </c>
      <c r="E48" s="5">
        <v>1214</v>
      </c>
      <c r="F48" s="5">
        <v>1165</v>
      </c>
      <c r="G48" s="5">
        <v>1295</v>
      </c>
      <c r="H48" s="5">
        <v>1523</v>
      </c>
      <c r="I48" s="5">
        <v>1274</v>
      </c>
      <c r="J48" s="5">
        <v>1448</v>
      </c>
      <c r="K48" s="5">
        <v>1450</v>
      </c>
    </row>
    <row r="49" spans="1:11" x14ac:dyDescent="0.3">
      <c r="A49" s="8" t="s">
        <v>25</v>
      </c>
      <c r="B49" s="5">
        <v>3283</v>
      </c>
      <c r="C49" s="5">
        <v>3489</v>
      </c>
      <c r="D49" s="5">
        <v>4096</v>
      </c>
      <c r="E49" s="5">
        <v>3983</v>
      </c>
      <c r="F49" s="5">
        <v>3534</v>
      </c>
      <c r="G49" s="5">
        <v>3832</v>
      </c>
      <c r="H49" s="5">
        <v>4350</v>
      </c>
      <c r="I49" s="5">
        <v>3986</v>
      </c>
      <c r="J49" s="5">
        <v>4257</v>
      </c>
      <c r="K49" s="5">
        <v>4235</v>
      </c>
    </row>
    <row r="50" spans="1:11" x14ac:dyDescent="0.3">
      <c r="A50" s="8" t="s">
        <v>29</v>
      </c>
      <c r="B50" s="5">
        <v>4975</v>
      </c>
      <c r="C50" s="5">
        <v>5425</v>
      </c>
      <c r="D50" s="5">
        <v>6365</v>
      </c>
      <c r="E50" s="5">
        <v>5863</v>
      </c>
      <c r="F50" s="5">
        <v>5365</v>
      </c>
      <c r="G50" s="5">
        <v>5929</v>
      </c>
      <c r="H50" s="5">
        <v>6787</v>
      </c>
      <c r="I50" s="5">
        <v>6117</v>
      </c>
      <c r="J50" s="5">
        <v>5793</v>
      </c>
      <c r="K50" s="5">
        <v>6369</v>
      </c>
    </row>
    <row r="51" spans="1:11" x14ac:dyDescent="0.3">
      <c r="A51" s="8"/>
    </row>
    <row r="52" spans="1:11" x14ac:dyDescent="0.3">
      <c r="A52" s="8"/>
    </row>
    <row r="53" spans="1:11" x14ac:dyDescent="0.3">
      <c r="A53" s="8"/>
    </row>
    <row r="54" spans="1:11" x14ac:dyDescent="0.3">
      <c r="A54" s="8"/>
    </row>
    <row r="55" spans="1:11" x14ac:dyDescent="0.3">
      <c r="A55" s="1" t="s">
        <v>30</v>
      </c>
    </row>
    <row r="56" spans="1:11" x14ac:dyDescent="0.3">
      <c r="A56" s="6" t="s">
        <v>11</v>
      </c>
      <c r="B56" s="7">
        <v>42185</v>
      </c>
      <c r="C56" s="7">
        <v>42460</v>
      </c>
      <c r="D56" s="7">
        <v>42825</v>
      </c>
      <c r="E56" s="7">
        <v>43190</v>
      </c>
      <c r="F56" s="7">
        <v>43555</v>
      </c>
      <c r="G56" s="7">
        <v>43921</v>
      </c>
      <c r="H56" s="7">
        <v>44286</v>
      </c>
      <c r="I56" s="7">
        <v>44651</v>
      </c>
      <c r="J56" s="7">
        <v>45016</v>
      </c>
      <c r="K56" s="7">
        <v>45382</v>
      </c>
    </row>
    <row r="57" spans="1:11" x14ac:dyDescent="0.3">
      <c r="A57" s="8" t="s">
        <v>31</v>
      </c>
      <c r="B57" s="5">
        <v>281.2</v>
      </c>
      <c r="C57" s="5">
        <v>282.08</v>
      </c>
      <c r="D57" s="5">
        <v>285</v>
      </c>
      <c r="E57" s="5">
        <v>278</v>
      </c>
      <c r="F57" s="5">
        <v>271</v>
      </c>
      <c r="G57" s="5">
        <v>543</v>
      </c>
      <c r="H57" s="5">
        <v>543</v>
      </c>
      <c r="I57" s="5">
        <v>543</v>
      </c>
      <c r="J57" s="5">
        <v>543</v>
      </c>
      <c r="K57" s="5">
        <v>543</v>
      </c>
    </row>
    <row r="58" spans="1:11" x14ac:dyDescent="0.3">
      <c r="A58" s="8" t="s">
        <v>32</v>
      </c>
      <c r="B58" s="5">
        <v>23943.21</v>
      </c>
      <c r="C58" s="5">
        <v>27108.69</v>
      </c>
      <c r="D58" s="5">
        <v>32664</v>
      </c>
      <c r="E58" s="5">
        <v>36108</v>
      </c>
      <c r="F58" s="5">
        <v>41095</v>
      </c>
      <c r="G58" s="5">
        <v>50724</v>
      </c>
      <c r="H58" s="5">
        <v>59370</v>
      </c>
      <c r="I58" s="5">
        <v>61371</v>
      </c>
      <c r="J58" s="5">
        <v>64862</v>
      </c>
      <c r="K58" s="5">
        <v>67720</v>
      </c>
    </row>
    <row r="59" spans="1:11" x14ac:dyDescent="0.3">
      <c r="A59" s="8" t="s">
        <v>33</v>
      </c>
      <c r="B59">
        <v>647.76</v>
      </c>
      <c r="C59">
        <v>1090.3599999999999</v>
      </c>
      <c r="D59">
        <v>582</v>
      </c>
      <c r="E59">
        <v>557</v>
      </c>
      <c r="F59">
        <v>4195</v>
      </c>
      <c r="G59" s="5">
        <v>7986</v>
      </c>
      <c r="H59" s="5">
        <v>6864</v>
      </c>
      <c r="I59" s="5">
        <v>6343</v>
      </c>
      <c r="J59" s="5">
        <v>4794</v>
      </c>
      <c r="K59" s="5">
        <v>5758</v>
      </c>
    </row>
    <row r="60" spans="1:11" x14ac:dyDescent="0.3">
      <c r="A60" s="8" t="s">
        <v>34</v>
      </c>
      <c r="B60" s="5">
        <v>10372.5</v>
      </c>
      <c r="C60" s="5">
        <v>10859.47</v>
      </c>
      <c r="D60" s="5">
        <v>12231</v>
      </c>
      <c r="E60" s="5">
        <v>11046</v>
      </c>
      <c r="F60" s="5">
        <v>12788</v>
      </c>
      <c r="G60" s="5">
        <v>23566</v>
      </c>
      <c r="H60" s="5">
        <v>19270</v>
      </c>
      <c r="I60" s="5">
        <v>20664</v>
      </c>
      <c r="J60" s="5">
        <v>23051</v>
      </c>
      <c r="K60" s="5">
        <v>24985</v>
      </c>
    </row>
    <row r="61" spans="1:11" x14ac:dyDescent="0.3">
      <c r="A61" s="1" t="s">
        <v>35</v>
      </c>
      <c r="B61" s="5">
        <v>35244.67</v>
      </c>
      <c r="C61" s="5">
        <v>39340.6</v>
      </c>
      <c r="D61" s="5">
        <v>45762</v>
      </c>
      <c r="E61" s="5">
        <v>47989</v>
      </c>
      <c r="F61" s="5">
        <v>58349</v>
      </c>
      <c r="G61" s="5">
        <v>82819</v>
      </c>
      <c r="H61" s="5">
        <v>86047</v>
      </c>
      <c r="I61" s="5">
        <v>88921</v>
      </c>
      <c r="J61" s="5">
        <v>93250</v>
      </c>
      <c r="K61" s="5">
        <v>99006</v>
      </c>
    </row>
    <row r="62" spans="1:11" x14ac:dyDescent="0.3">
      <c r="A62" s="8" t="s">
        <v>36</v>
      </c>
      <c r="B62" s="5">
        <v>8275.27</v>
      </c>
      <c r="C62" s="5">
        <v>9716.09</v>
      </c>
      <c r="D62" s="5">
        <v>15235</v>
      </c>
      <c r="E62" s="5">
        <v>18753</v>
      </c>
      <c r="F62" s="5">
        <v>22888</v>
      </c>
      <c r="G62" s="5">
        <v>37490</v>
      </c>
      <c r="H62" s="5">
        <v>37145</v>
      </c>
      <c r="I62" s="5">
        <v>35077</v>
      </c>
      <c r="J62" s="5">
        <v>34619</v>
      </c>
      <c r="K62" s="5">
        <v>35063</v>
      </c>
    </row>
    <row r="63" spans="1:11" x14ac:dyDescent="0.3">
      <c r="A63" s="8" t="s">
        <v>37</v>
      </c>
      <c r="B63" s="5">
        <v>551.52</v>
      </c>
      <c r="C63" s="5">
        <v>610.9</v>
      </c>
      <c r="D63" s="5">
        <v>448</v>
      </c>
      <c r="E63" s="5">
        <v>320</v>
      </c>
      <c r="F63" s="5">
        <v>235</v>
      </c>
      <c r="G63" s="5">
        <v>400</v>
      </c>
      <c r="H63" s="5">
        <v>312</v>
      </c>
      <c r="I63" s="5">
        <v>129</v>
      </c>
      <c r="J63" s="5">
        <v>40</v>
      </c>
      <c r="K63" s="5">
        <v>108</v>
      </c>
    </row>
    <row r="64" spans="1:11" x14ac:dyDescent="0.3">
      <c r="A64" s="8" t="s">
        <v>38</v>
      </c>
      <c r="B64" s="5">
        <v>869.39</v>
      </c>
      <c r="C64" s="5">
        <v>698.38</v>
      </c>
      <c r="D64" s="5">
        <v>1306</v>
      </c>
      <c r="E64" s="5">
        <v>2660</v>
      </c>
      <c r="F64" s="5">
        <v>2305</v>
      </c>
      <c r="G64" s="5">
        <v>7066</v>
      </c>
      <c r="H64" s="5">
        <v>6862</v>
      </c>
      <c r="I64" s="5">
        <v>6351</v>
      </c>
      <c r="J64" s="5">
        <v>5495</v>
      </c>
      <c r="K64" s="5">
        <v>7137</v>
      </c>
    </row>
    <row r="65" spans="1:11" x14ac:dyDescent="0.3">
      <c r="A65" s="8" t="s">
        <v>39</v>
      </c>
      <c r="B65" s="5">
        <v>25548.49</v>
      </c>
      <c r="C65" s="5">
        <v>28315.23</v>
      </c>
      <c r="D65" s="5">
        <v>28773</v>
      </c>
      <c r="E65" s="5">
        <v>26256</v>
      </c>
      <c r="F65" s="5">
        <v>32921</v>
      </c>
      <c r="G65" s="5">
        <v>37863</v>
      </c>
      <c r="H65" s="5">
        <v>41728</v>
      </c>
      <c r="I65" s="5">
        <v>47364</v>
      </c>
      <c r="J65" s="5">
        <v>53096</v>
      </c>
      <c r="K65" s="5">
        <v>56698</v>
      </c>
    </row>
    <row r="66" spans="1:11" x14ac:dyDescent="0.3">
      <c r="A66" s="1" t="s">
        <v>35</v>
      </c>
      <c r="B66" s="5">
        <v>35244.67</v>
      </c>
      <c r="C66" s="5">
        <v>39340.6</v>
      </c>
      <c r="D66" s="5">
        <v>45762</v>
      </c>
      <c r="E66" s="5">
        <v>47989</v>
      </c>
      <c r="F66" s="5">
        <v>58349</v>
      </c>
      <c r="G66" s="5">
        <v>82819</v>
      </c>
      <c r="H66" s="5">
        <v>86047</v>
      </c>
      <c r="I66" s="5">
        <v>88921</v>
      </c>
      <c r="J66" s="5">
        <v>93250</v>
      </c>
      <c r="K66" s="5">
        <v>99006</v>
      </c>
    </row>
    <row r="67" spans="1:11" x14ac:dyDescent="0.3">
      <c r="A67" s="8" t="s">
        <v>40</v>
      </c>
      <c r="B67" s="5">
        <v>6538.69</v>
      </c>
      <c r="C67" s="5">
        <v>7721.14</v>
      </c>
      <c r="D67" s="5">
        <v>8301</v>
      </c>
      <c r="E67" s="5">
        <v>9639</v>
      </c>
      <c r="F67" s="5">
        <v>11706</v>
      </c>
      <c r="G67" s="5">
        <v>14131</v>
      </c>
      <c r="H67" s="5">
        <v>17525</v>
      </c>
      <c r="I67" s="5">
        <v>20671</v>
      </c>
      <c r="J67" s="5">
        <v>25506</v>
      </c>
      <c r="K67" s="5">
        <v>25521</v>
      </c>
    </row>
    <row r="68" spans="1:11" x14ac:dyDescent="0.3">
      <c r="A68" s="8" t="s">
        <v>41</v>
      </c>
      <c r="B68">
        <v>157.61000000000001</v>
      </c>
      <c r="C68">
        <v>264.48</v>
      </c>
      <c r="D68">
        <v>276</v>
      </c>
      <c r="E68">
        <v>172</v>
      </c>
      <c r="F68">
        <v>91</v>
      </c>
      <c r="G68">
        <v>91</v>
      </c>
      <c r="H68">
        <v>94</v>
      </c>
      <c r="I68">
        <v>161</v>
      </c>
      <c r="J68">
        <v>228</v>
      </c>
      <c r="K68">
        <v>185</v>
      </c>
    </row>
    <row r="69" spans="1:11" x14ac:dyDescent="0.3">
      <c r="A69" s="3" t="s">
        <v>42</v>
      </c>
      <c r="B69" s="5">
        <v>9786.23</v>
      </c>
      <c r="C69" s="5">
        <v>9334.6</v>
      </c>
      <c r="D69" s="5">
        <v>9044</v>
      </c>
      <c r="E69" s="5">
        <v>4018</v>
      </c>
      <c r="F69" s="5">
        <v>7872</v>
      </c>
      <c r="G69" s="5">
        <v>4976</v>
      </c>
      <c r="H69" s="5">
        <v>8888</v>
      </c>
      <c r="I69" s="5">
        <v>12636</v>
      </c>
      <c r="J69" s="5">
        <v>14724</v>
      </c>
      <c r="K69" s="5">
        <v>20150</v>
      </c>
    </row>
    <row r="70" spans="1:11" x14ac:dyDescent="0.3">
      <c r="A70" s="3" t="s">
        <v>43</v>
      </c>
      <c r="B70" s="5">
        <v>1405978400</v>
      </c>
      <c r="C70" s="5">
        <v>1410381314</v>
      </c>
      <c r="D70" s="5">
        <v>1426783424</v>
      </c>
      <c r="E70" s="5">
        <v>1392246384</v>
      </c>
      <c r="F70" s="5">
        <v>1356278868</v>
      </c>
      <c r="G70" s="5">
        <v>2713665096</v>
      </c>
      <c r="H70" s="5">
        <v>2713665096</v>
      </c>
      <c r="I70" s="5">
        <v>2713665096</v>
      </c>
      <c r="J70" s="5">
        <v>2713665096</v>
      </c>
      <c r="K70" s="5">
        <v>2713665096</v>
      </c>
    </row>
    <row r="71" spans="1:11" x14ac:dyDescent="0.3">
      <c r="A71" s="3" t="s">
        <v>44</v>
      </c>
      <c r="B71" s="5">
        <v>702848000</v>
      </c>
      <c r="C71" s="5"/>
      <c r="F71" s="5"/>
    </row>
    <row r="72" spans="1:11" x14ac:dyDescent="0.3">
      <c r="A72" s="3" t="s">
        <v>45</v>
      </c>
      <c r="B72" s="5">
        <v>2</v>
      </c>
      <c r="C72" s="5">
        <v>2</v>
      </c>
      <c r="D72" s="5">
        <v>2</v>
      </c>
      <c r="E72" s="5">
        <v>2</v>
      </c>
      <c r="F72" s="5">
        <v>2</v>
      </c>
      <c r="G72" s="5">
        <v>2</v>
      </c>
      <c r="H72" s="5">
        <v>2</v>
      </c>
      <c r="I72" s="5">
        <v>2</v>
      </c>
      <c r="J72" s="5">
        <v>2</v>
      </c>
      <c r="K72" s="5">
        <v>2</v>
      </c>
    </row>
    <row r="74" spans="1:11" x14ac:dyDescent="0.3">
      <c r="A74" s="8"/>
    </row>
    <row r="75" spans="1:11" x14ac:dyDescent="0.3">
      <c r="A75" s="8"/>
    </row>
    <row r="76" spans="1:11" x14ac:dyDescent="0.3">
      <c r="A76" s="8"/>
    </row>
    <row r="77" spans="1:11" x14ac:dyDescent="0.3">
      <c r="A77" s="8"/>
    </row>
    <row r="78" spans="1:11" x14ac:dyDescent="0.3">
      <c r="A78" s="8"/>
    </row>
    <row r="79" spans="1:11" x14ac:dyDescent="0.3">
      <c r="A79" s="8"/>
    </row>
    <row r="80" spans="1:11" x14ac:dyDescent="0.3">
      <c r="A80" s="1" t="s">
        <v>46</v>
      </c>
    </row>
    <row r="81" spans="1:11" x14ac:dyDescent="0.3">
      <c r="A81" s="6" t="s">
        <v>11</v>
      </c>
      <c r="B81" s="7">
        <v>42185</v>
      </c>
      <c r="C81" s="7">
        <v>42460</v>
      </c>
      <c r="D81" s="7">
        <v>42825</v>
      </c>
      <c r="E81" s="7">
        <v>43190</v>
      </c>
      <c r="F81" s="7">
        <v>43555</v>
      </c>
      <c r="G81" s="7">
        <v>43921</v>
      </c>
      <c r="H81" s="7">
        <v>44286</v>
      </c>
      <c r="I81" s="7">
        <v>44651</v>
      </c>
      <c r="J81" s="7">
        <v>45016</v>
      </c>
      <c r="K81" s="7">
        <v>45382</v>
      </c>
    </row>
    <row r="82" spans="1:11" x14ac:dyDescent="0.3">
      <c r="A82" s="8" t="s">
        <v>47</v>
      </c>
      <c r="B82" s="5">
        <v>5539.2</v>
      </c>
      <c r="C82" s="5">
        <v>3822.62</v>
      </c>
      <c r="D82" s="5">
        <v>8995</v>
      </c>
      <c r="E82" s="5">
        <v>8328</v>
      </c>
      <c r="F82" s="5">
        <v>8971</v>
      </c>
      <c r="G82" s="5">
        <v>13359</v>
      </c>
      <c r="H82" s="5">
        <v>19618</v>
      </c>
      <c r="I82" s="5">
        <v>16900</v>
      </c>
      <c r="J82" s="5">
        <v>18009</v>
      </c>
      <c r="K82" s="5">
        <v>22448</v>
      </c>
    </row>
    <row r="83" spans="1:11" x14ac:dyDescent="0.3">
      <c r="A83" s="8" t="s">
        <v>48</v>
      </c>
      <c r="B83" s="5">
        <v>-2087.5700000000002</v>
      </c>
      <c r="C83" s="5">
        <v>-2208.4299999999998</v>
      </c>
      <c r="D83" s="5">
        <v>-3890</v>
      </c>
      <c r="E83" s="5">
        <v>-2236</v>
      </c>
      <c r="F83" s="5">
        <v>-3256</v>
      </c>
      <c r="G83" s="5">
        <v>-12332</v>
      </c>
      <c r="H83" s="5">
        <v>-5665</v>
      </c>
      <c r="I83" s="5">
        <v>1597</v>
      </c>
      <c r="J83" s="5">
        <v>-3573</v>
      </c>
      <c r="K83" s="5">
        <v>-6608</v>
      </c>
    </row>
    <row r="84" spans="1:11" x14ac:dyDescent="0.3">
      <c r="A84" s="8" t="s">
        <v>49</v>
      </c>
      <c r="B84" s="5">
        <v>-3140.34</v>
      </c>
      <c r="C84" s="5">
        <v>-2237.09</v>
      </c>
      <c r="D84" s="5">
        <v>-4517</v>
      </c>
      <c r="E84" s="5">
        <v>-5714</v>
      </c>
      <c r="F84" s="5">
        <v>-1471</v>
      </c>
      <c r="G84" s="5">
        <v>-3168</v>
      </c>
      <c r="H84" s="5">
        <v>-11192</v>
      </c>
      <c r="I84" s="5">
        <v>-14508</v>
      </c>
      <c r="J84" s="5">
        <v>-15881</v>
      </c>
      <c r="K84" s="5">
        <v>-15464</v>
      </c>
    </row>
    <row r="85" spans="1:11" x14ac:dyDescent="0.3">
      <c r="A85" s="8" t="s">
        <v>50</v>
      </c>
      <c r="B85" s="5">
        <v>311.29000000000002</v>
      </c>
      <c r="C85" s="5">
        <v>-622.9</v>
      </c>
      <c r="D85" s="5">
        <v>588</v>
      </c>
      <c r="E85" s="5">
        <v>378</v>
      </c>
      <c r="F85" s="5">
        <v>4244</v>
      </c>
      <c r="G85" s="5">
        <v>-2141</v>
      </c>
      <c r="H85" s="5">
        <v>2761</v>
      </c>
      <c r="I85" s="5">
        <v>3989</v>
      </c>
      <c r="J85" s="5">
        <v>-1445</v>
      </c>
      <c r="K85" s="5">
        <v>376</v>
      </c>
    </row>
    <row r="86" spans="1:11" x14ac:dyDescent="0.3">
      <c r="A86" s="8"/>
    </row>
    <row r="87" spans="1:11" x14ac:dyDescent="0.3">
      <c r="A87" s="8"/>
    </row>
    <row r="88" spans="1:11" x14ac:dyDescent="0.3">
      <c r="A88" s="8"/>
    </row>
    <row r="89" spans="1:11" x14ac:dyDescent="0.3">
      <c r="A89" s="8"/>
    </row>
    <row r="90" spans="1:11" x14ac:dyDescent="0.3">
      <c r="A90" s="1" t="s">
        <v>51</v>
      </c>
      <c r="B90" s="5">
        <v>459.88</v>
      </c>
      <c r="C90" s="5">
        <v>407.05</v>
      </c>
      <c r="D90" s="5">
        <v>437.38</v>
      </c>
      <c r="E90" s="5">
        <v>484.3</v>
      </c>
      <c r="F90" s="5">
        <v>543.73</v>
      </c>
      <c r="G90" s="5">
        <v>436.4</v>
      </c>
      <c r="H90" s="5">
        <v>982.65</v>
      </c>
      <c r="I90" s="5">
        <v>1163.75</v>
      </c>
      <c r="J90" s="5">
        <v>1085.25</v>
      </c>
      <c r="K90" s="5">
        <v>1543.55</v>
      </c>
    </row>
    <row r="92" spans="1:11" x14ac:dyDescent="0.3">
      <c r="A92" s="1" t="s">
        <v>52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3" t="s">
        <v>53</v>
      </c>
      <c r="B93" s="9">
        <v>281.2</v>
      </c>
      <c r="C93" s="9">
        <v>282.08</v>
      </c>
      <c r="D93" s="9">
        <v>285.36</v>
      </c>
      <c r="E93" s="9">
        <v>278.45</v>
      </c>
      <c r="F93" s="9">
        <v>271.26</v>
      </c>
      <c r="G93" s="9">
        <v>271.37</v>
      </c>
      <c r="H93" s="9">
        <v>271.37</v>
      </c>
      <c r="I93" s="9">
        <v>271.37</v>
      </c>
      <c r="J93" s="9">
        <v>271.37</v>
      </c>
      <c r="K93" s="9">
        <v>271.37</v>
      </c>
    </row>
  </sheetData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13ECACA4-66FF-4D1C-8045-E3B9F8ECFD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1938-CBB1-4F2B-8CC8-DFAC6A460EAD}">
  <dimension ref="A2:M99"/>
  <sheetViews>
    <sheetView showGridLines="0" workbookViewId="0">
      <selection activeCell="C38" sqref="C38:M38"/>
    </sheetView>
  </sheetViews>
  <sheetFormatPr defaultRowHeight="14.4" x14ac:dyDescent="0.3"/>
  <cols>
    <col min="1" max="1" width="3.33203125" customWidth="1"/>
    <col min="2" max="2" width="24.33203125" customWidth="1"/>
    <col min="3" max="3" width="13" customWidth="1"/>
    <col min="4" max="4" width="13.33203125" customWidth="1"/>
    <col min="5" max="5" width="14.33203125" customWidth="1"/>
    <col min="6" max="6" width="13.44140625" customWidth="1"/>
    <col min="7" max="7" width="13.5546875" customWidth="1"/>
    <col min="8" max="8" width="14.88671875" customWidth="1"/>
    <col min="9" max="9" width="11.88671875" bestFit="1" customWidth="1"/>
    <col min="10" max="10" width="13.44140625" customWidth="1"/>
    <col min="11" max="11" width="11.88671875" bestFit="1" customWidth="1"/>
    <col min="12" max="12" width="13.88671875" customWidth="1"/>
    <col min="13" max="13" width="13.77734375" customWidth="1"/>
  </cols>
  <sheetData>
    <row r="2" spans="1:13" x14ac:dyDescent="0.3">
      <c r="B2" s="50" t="str">
        <f>"Historical financial statement- "&amp;'Data Sheet'!B1</f>
        <v>Historical financial statement- HCL TECHNOLOGIES LTD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3">
      <c r="B3" s="10" t="s">
        <v>55</v>
      </c>
      <c r="C3" s="11">
        <f>'Data Sheet'!B16</f>
        <v>42185</v>
      </c>
      <c r="D3" s="11">
        <f>'Data Sheet'!C16</f>
        <v>42460</v>
      </c>
      <c r="E3" s="11">
        <f>'Data Sheet'!D16</f>
        <v>42825</v>
      </c>
      <c r="F3" s="11">
        <f>'Data Sheet'!E16</f>
        <v>43190</v>
      </c>
      <c r="G3" s="11">
        <f>'Data Sheet'!F16</f>
        <v>43555</v>
      </c>
      <c r="H3" s="11">
        <f>'Data Sheet'!G16</f>
        <v>43921</v>
      </c>
      <c r="I3" s="11">
        <f>'Data Sheet'!H16</f>
        <v>44286</v>
      </c>
      <c r="J3" s="11">
        <f>'Data Sheet'!I16</f>
        <v>44651</v>
      </c>
      <c r="K3" s="11">
        <f>'Data Sheet'!J16</f>
        <v>45016</v>
      </c>
      <c r="L3" s="11">
        <f>'Data Sheet'!K16</f>
        <v>45382</v>
      </c>
      <c r="M3" s="12" t="s">
        <v>56</v>
      </c>
    </row>
    <row r="5" spans="1:13" x14ac:dyDescent="0.3">
      <c r="A5" t="s">
        <v>118</v>
      </c>
      <c r="B5" s="22" t="s">
        <v>58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3">
      <c r="B6" t="s">
        <v>12</v>
      </c>
      <c r="C6" s="13">
        <f>IFERROR('Data Sheet'!B17,0)</f>
        <v>36701.22</v>
      </c>
      <c r="D6" s="13">
        <f>IFERROR('Data Sheet'!C17,0)</f>
        <v>31135.94</v>
      </c>
      <c r="E6" s="13">
        <f>IFERROR('Data Sheet'!D17,0)</f>
        <v>47568</v>
      </c>
      <c r="F6" s="13">
        <f>IFERROR('Data Sheet'!E17,0)</f>
        <v>50569</v>
      </c>
      <c r="G6" s="13">
        <f>IFERROR('Data Sheet'!F17,0)</f>
        <v>60427</v>
      </c>
      <c r="H6" s="13">
        <f>IFERROR('Data Sheet'!G17,0)</f>
        <v>70676</v>
      </c>
      <c r="I6" s="13">
        <f>IFERROR('Data Sheet'!H17,0)</f>
        <v>75379</v>
      </c>
      <c r="J6" s="13">
        <f>IFERROR('Data Sheet'!I17,0)</f>
        <v>85651</v>
      </c>
      <c r="K6" s="13">
        <f>IFERROR('Data Sheet'!J17,0)</f>
        <v>101456</v>
      </c>
      <c r="L6" s="13">
        <f>IFERROR('Data Sheet'!K17,0)</f>
        <v>109913</v>
      </c>
      <c r="M6" s="13">
        <f>IFERROR(SUM('Data Sheet'!H42:K42),0)</f>
        <v>113864</v>
      </c>
    </row>
    <row r="7" spans="1:13" x14ac:dyDescent="0.3">
      <c r="B7" s="15" t="s">
        <v>59</v>
      </c>
      <c r="C7" s="16" t="s">
        <v>60</v>
      </c>
      <c r="D7" s="17">
        <f>D6/C6-1</f>
        <v>-0.15163746600249262</v>
      </c>
      <c r="E7" s="17">
        <f t="shared" ref="E7:M7" si="0">E6/D6-1</f>
        <v>0.52775217321205026</v>
      </c>
      <c r="F7" s="17">
        <f t="shared" si="0"/>
        <v>6.308863101244544E-2</v>
      </c>
      <c r="G7" s="17">
        <f t="shared" si="0"/>
        <v>0.19494156499040916</v>
      </c>
      <c r="H7" s="17">
        <f t="shared" si="0"/>
        <v>0.16960961159746479</v>
      </c>
      <c r="I7" s="17">
        <f t="shared" si="0"/>
        <v>6.6543098081385477E-2</v>
      </c>
      <c r="J7" s="17">
        <f t="shared" si="0"/>
        <v>0.13627137531673283</v>
      </c>
      <c r="K7" s="17">
        <f t="shared" si="0"/>
        <v>0.18452790977338274</v>
      </c>
      <c r="L7" s="17">
        <f t="shared" si="0"/>
        <v>8.3356331808863038E-2</v>
      </c>
      <c r="M7" s="17">
        <f t="shared" si="0"/>
        <v>3.5946612320653548E-2</v>
      </c>
    </row>
    <row r="9" spans="1:13" x14ac:dyDescent="0.3">
      <c r="B9" t="s">
        <v>61</v>
      </c>
      <c r="C9" s="13">
        <f>IFERROR(SUM('Data Sheet'!B24,'Data Sheet'!B20:B22)-1*'Data Sheet'!B24,0)</f>
        <v>23852.1</v>
      </c>
      <c r="D9" s="13">
        <f>IFERROR(SUM('Data Sheet'!C24,'Data Sheet'!C20:C22)-1*'Data Sheet'!C24,0)</f>
        <v>21046.739999999998</v>
      </c>
      <c r="E9" s="13">
        <f>IFERROR(SUM('Data Sheet'!D24,'Data Sheet'!D20:D22)-1*'Data Sheet'!D24,0)</f>
        <v>32459</v>
      </c>
      <c r="F9" s="13">
        <f>IFERROR(SUM('Data Sheet'!E24,'Data Sheet'!E20:E22)-1*'Data Sheet'!E24,0)</f>
        <v>34430</v>
      </c>
      <c r="G9" s="13">
        <f>IFERROR(SUM('Data Sheet'!F24,'Data Sheet'!F20:F22)-1*'Data Sheet'!F24,0)</f>
        <v>40481</v>
      </c>
      <c r="H9" s="13">
        <f>IFERROR(SUM('Data Sheet'!G24,'Data Sheet'!G20:G22)-1*'Data Sheet'!G24,0)</f>
        <v>47559</v>
      </c>
      <c r="I9" s="13">
        <f>IFERROR(SUM('Data Sheet'!H24,'Data Sheet'!H20:H22)-1*'Data Sheet'!H24,0)</f>
        <v>51212</v>
      </c>
      <c r="J9" s="13">
        <f>IFERROR(SUM('Data Sheet'!I24,'Data Sheet'!I20:I22)-1*'Data Sheet'!I24,0)</f>
        <v>60995</v>
      </c>
      <c r="K9" s="13">
        <f>IFERROR(SUM('Data Sheet'!J24,'Data Sheet'!J20:J22)-1*'Data Sheet'!J24,0)</f>
        <v>72911</v>
      </c>
      <c r="L9" s="13">
        <f>IFERROR(SUM('Data Sheet'!K24,'Data Sheet'!K20:K22)-1*'Data Sheet'!K24,0)</f>
        <v>79491</v>
      </c>
      <c r="M9" s="13">
        <f>IFERROR(SUM('Data Sheet'!H43:K43),0)</f>
        <v>88798</v>
      </c>
    </row>
    <row r="10" spans="1:13" x14ac:dyDescent="0.3">
      <c r="B10" s="15" t="s">
        <v>62</v>
      </c>
      <c r="C10" s="20">
        <f>C9/C6</f>
        <v>0.64989937664197528</v>
      </c>
      <c r="D10" s="17">
        <f t="shared" ref="D10:M10" si="1">D9/D6</f>
        <v>0.67596289047319591</v>
      </c>
      <c r="E10" s="17">
        <f t="shared" si="1"/>
        <v>0.68237050117726206</v>
      </c>
      <c r="F10" s="17">
        <f t="shared" si="1"/>
        <v>0.68085190531748696</v>
      </c>
      <c r="G10" s="17">
        <f t="shared" si="1"/>
        <v>0.6699157661310341</v>
      </c>
      <c r="H10" s="17">
        <f t="shared" si="1"/>
        <v>0.67291584130397875</v>
      </c>
      <c r="I10" s="17">
        <f t="shared" si="1"/>
        <v>0.67939346502341502</v>
      </c>
      <c r="J10" s="17">
        <f t="shared" si="1"/>
        <v>0.71213412569613899</v>
      </c>
      <c r="K10" s="17">
        <f t="shared" si="1"/>
        <v>0.71864650686011666</v>
      </c>
      <c r="L10" s="17">
        <f t="shared" si="1"/>
        <v>0.72321745380437252</v>
      </c>
      <c r="M10" s="17">
        <f t="shared" si="1"/>
        <v>0.77986018407925239</v>
      </c>
    </row>
    <row r="12" spans="1:13" x14ac:dyDescent="0.3">
      <c r="B12" s="28" t="s">
        <v>63</v>
      </c>
      <c r="C12" s="29">
        <f>C6-C9</f>
        <v>12849.120000000003</v>
      </c>
      <c r="D12" s="29">
        <f t="shared" ref="D12:M12" si="2">D6-D9</f>
        <v>10089.200000000001</v>
      </c>
      <c r="E12" s="29">
        <f t="shared" si="2"/>
        <v>15109</v>
      </c>
      <c r="F12" s="29">
        <f t="shared" si="2"/>
        <v>16139</v>
      </c>
      <c r="G12" s="29">
        <f t="shared" si="2"/>
        <v>19946</v>
      </c>
      <c r="H12" s="29">
        <f t="shared" si="2"/>
        <v>23117</v>
      </c>
      <c r="I12" s="29">
        <f t="shared" si="2"/>
        <v>24167</v>
      </c>
      <c r="J12" s="29">
        <f t="shared" si="2"/>
        <v>24656</v>
      </c>
      <c r="K12" s="29">
        <f t="shared" si="2"/>
        <v>28545</v>
      </c>
      <c r="L12" s="29">
        <f t="shared" si="2"/>
        <v>30422</v>
      </c>
      <c r="M12" s="29">
        <f t="shared" si="2"/>
        <v>25066</v>
      </c>
    </row>
    <row r="13" spans="1:13" x14ac:dyDescent="0.3">
      <c r="B13" s="15" t="s">
        <v>70</v>
      </c>
      <c r="C13" s="20">
        <f>C12/C6</f>
        <v>0.35010062335802467</v>
      </c>
      <c r="D13" s="17">
        <f t="shared" ref="D13:M13" si="3">D12/D6</f>
        <v>0.32403710952680409</v>
      </c>
      <c r="E13" s="17">
        <f t="shared" si="3"/>
        <v>0.317629498822738</v>
      </c>
      <c r="F13" s="17">
        <f t="shared" si="3"/>
        <v>0.31914809468251298</v>
      </c>
      <c r="G13" s="17">
        <f t="shared" si="3"/>
        <v>0.33008423386896585</v>
      </c>
      <c r="H13" s="17">
        <f t="shared" si="3"/>
        <v>0.32708415869602125</v>
      </c>
      <c r="I13" s="17">
        <f t="shared" si="3"/>
        <v>0.32060653497658498</v>
      </c>
      <c r="J13" s="17">
        <f t="shared" si="3"/>
        <v>0.28786587430386101</v>
      </c>
      <c r="K13" s="17">
        <f t="shared" si="3"/>
        <v>0.28135349313988328</v>
      </c>
      <c r="L13" s="17">
        <f t="shared" si="3"/>
        <v>0.27678254619562748</v>
      </c>
      <c r="M13" s="17">
        <f t="shared" si="3"/>
        <v>0.22013981592074755</v>
      </c>
    </row>
    <row r="15" spans="1:13" x14ac:dyDescent="0.3">
      <c r="B15" t="s">
        <v>64</v>
      </c>
      <c r="C15" s="18">
        <f>IFERROR(SUM('Data Sheet'!B23:B24),0)</f>
        <v>3092.32</v>
      </c>
      <c r="D15" s="18">
        <f>IFERROR(SUM('Data Sheet'!C23:C24),0)</f>
        <v>2731.67</v>
      </c>
      <c r="E15" s="18">
        <f>IFERROR(SUM('Data Sheet'!D23:D24),0)</f>
        <v>3904</v>
      </c>
      <c r="F15" s="18">
        <f>IFERROR(SUM('Data Sheet'!E23:E24),0)</f>
        <v>3538</v>
      </c>
      <c r="G15" s="18">
        <f>IFERROR(SUM('Data Sheet'!F23:F24),0)</f>
        <v>4324</v>
      </c>
      <c r="H15" s="18">
        <f>IFERROR(SUM('Data Sheet'!G23:G24),0)</f>
        <v>4265</v>
      </c>
      <c r="I15" s="18">
        <f>IFERROR(SUM('Data Sheet'!H23:H24),0)</f>
        <v>2424</v>
      </c>
      <c r="J15" s="18">
        <f>IFERROR(SUM('Data Sheet'!I23:I24),0)</f>
        <v>2721</v>
      </c>
      <c r="K15" s="18">
        <f>IFERROR(SUM('Data Sheet'!J23:J24),0)</f>
        <v>3912</v>
      </c>
      <c r="L15" s="18">
        <f>IFERROR(SUM('Data Sheet'!K23:K24),0)</f>
        <v>4427</v>
      </c>
      <c r="M15" s="18">
        <f>IFERROR(SUM('Data Sheet'!L23:L24),0)</f>
        <v>0</v>
      </c>
    </row>
    <row r="16" spans="1:13" x14ac:dyDescent="0.3">
      <c r="B16" s="15" t="s">
        <v>65</v>
      </c>
      <c r="C16" s="20">
        <f t="shared" ref="C16:M16" si="4">C15/C6</f>
        <v>8.4256599644371502E-2</v>
      </c>
      <c r="D16" s="17">
        <f t="shared" si="4"/>
        <v>8.7733660843385491E-2</v>
      </c>
      <c r="E16" s="17">
        <f t="shared" si="4"/>
        <v>8.2071981163807609E-2</v>
      </c>
      <c r="F16" s="17">
        <f t="shared" si="4"/>
        <v>6.9963811821471655E-2</v>
      </c>
      <c r="G16" s="17">
        <f t="shared" si="4"/>
        <v>7.1557416386714548E-2</v>
      </c>
      <c r="H16" s="17">
        <f t="shared" si="4"/>
        <v>6.0345803384458656E-2</v>
      </c>
      <c r="I16" s="17">
        <f t="shared" si="4"/>
        <v>3.2157497446238345E-2</v>
      </c>
      <c r="J16" s="17">
        <f t="shared" si="4"/>
        <v>3.1768455709799068E-2</v>
      </c>
      <c r="K16" s="17">
        <f t="shared" si="4"/>
        <v>3.8558586973663461E-2</v>
      </c>
      <c r="L16" s="17">
        <f t="shared" si="4"/>
        <v>4.0277310236277786E-2</v>
      </c>
      <c r="M16" s="17">
        <f t="shared" si="4"/>
        <v>0</v>
      </c>
    </row>
    <row r="18" spans="2:13" x14ac:dyDescent="0.3">
      <c r="B18" s="28" t="s">
        <v>66</v>
      </c>
      <c r="C18" s="29">
        <f t="shared" ref="C18:M18" si="5">C12-C15</f>
        <v>9756.8000000000029</v>
      </c>
      <c r="D18" s="29">
        <f t="shared" si="5"/>
        <v>7357.5300000000007</v>
      </c>
      <c r="E18" s="29">
        <f t="shared" si="5"/>
        <v>11205</v>
      </c>
      <c r="F18" s="29">
        <f t="shared" si="5"/>
        <v>12601</v>
      </c>
      <c r="G18" s="29">
        <f t="shared" si="5"/>
        <v>15622</v>
      </c>
      <c r="H18" s="29">
        <f t="shared" si="5"/>
        <v>18852</v>
      </c>
      <c r="I18" s="29">
        <f t="shared" si="5"/>
        <v>21743</v>
      </c>
      <c r="J18" s="29">
        <f t="shared" si="5"/>
        <v>21935</v>
      </c>
      <c r="K18" s="29">
        <f t="shared" si="5"/>
        <v>24633</v>
      </c>
      <c r="L18" s="29">
        <f t="shared" si="5"/>
        <v>25995</v>
      </c>
      <c r="M18" s="29">
        <f t="shared" si="5"/>
        <v>25066</v>
      </c>
    </row>
    <row r="19" spans="2:13" x14ac:dyDescent="0.3">
      <c r="B19" s="15" t="s">
        <v>67</v>
      </c>
      <c r="C19" s="20">
        <f t="shared" ref="C19:M19" si="6">C18/C6</f>
        <v>0.26584402371365318</v>
      </c>
      <c r="D19" s="17">
        <f t="shared" si="6"/>
        <v>0.23630344868341863</v>
      </c>
      <c r="E19" s="17">
        <f t="shared" si="6"/>
        <v>0.23555751765893038</v>
      </c>
      <c r="F19" s="17">
        <f t="shared" si="6"/>
        <v>0.24918428286104136</v>
      </c>
      <c r="G19" s="17">
        <f t="shared" si="6"/>
        <v>0.25852681748225131</v>
      </c>
      <c r="H19" s="17">
        <f t="shared" si="6"/>
        <v>0.26673835531156265</v>
      </c>
      <c r="I19" s="17">
        <f t="shared" si="6"/>
        <v>0.28844903753034667</v>
      </c>
      <c r="J19" s="17">
        <f t="shared" si="6"/>
        <v>0.25609741859406193</v>
      </c>
      <c r="K19" s="17">
        <f t="shared" si="6"/>
        <v>0.24279490616621985</v>
      </c>
      <c r="L19" s="17">
        <f t="shared" si="6"/>
        <v>0.23650523595934966</v>
      </c>
      <c r="M19" s="17">
        <f t="shared" si="6"/>
        <v>0.22013981592074755</v>
      </c>
    </row>
    <row r="21" spans="2:13" x14ac:dyDescent="0.3">
      <c r="B21" t="s">
        <v>22</v>
      </c>
      <c r="C21" s="18">
        <f>IFERROR('Data Sheet'!B27,0)</f>
        <v>91.23</v>
      </c>
      <c r="D21" s="18">
        <f>IFERROR('Data Sheet'!C27,0)</f>
        <v>73.900000000000006</v>
      </c>
      <c r="E21" s="18">
        <f>IFERROR('Data Sheet'!D27,0)</f>
        <v>89</v>
      </c>
      <c r="F21" s="18">
        <f>IFERROR('Data Sheet'!E27,0)</f>
        <v>69</v>
      </c>
      <c r="G21" s="18">
        <f>IFERROR('Data Sheet'!F27,0)</f>
        <v>174</v>
      </c>
      <c r="H21" s="18">
        <f>IFERROR('Data Sheet'!G27,0)</f>
        <v>505</v>
      </c>
      <c r="I21" s="18">
        <f>IFERROR('Data Sheet'!H27,0)</f>
        <v>511</v>
      </c>
      <c r="J21" s="18">
        <f>IFERROR('Data Sheet'!I27,0)</f>
        <v>319</v>
      </c>
      <c r="K21" s="18">
        <f>IFERROR('Data Sheet'!J27,0)</f>
        <v>353</v>
      </c>
      <c r="L21" s="18">
        <f>IFERROR('Data Sheet'!K27,0)</f>
        <v>553</v>
      </c>
      <c r="M21" s="18">
        <f>IFERROR(SUM('Data Sheet'!H46:K46),0)</f>
        <v>633</v>
      </c>
    </row>
    <row r="22" spans="2:13" x14ac:dyDescent="0.3">
      <c r="B22" s="15" t="s">
        <v>68</v>
      </c>
      <c r="C22" s="20">
        <f t="shared" ref="C22:M22" si="7">C21/C6</f>
        <v>2.4857484301611774E-3</v>
      </c>
      <c r="D22" s="17">
        <f t="shared" si="7"/>
        <v>2.3734629498900631E-3</v>
      </c>
      <c r="E22" s="17">
        <f t="shared" si="7"/>
        <v>1.8710057181298351E-3</v>
      </c>
      <c r="F22" s="17">
        <f t="shared" si="7"/>
        <v>1.3644723051671973E-3</v>
      </c>
      <c r="G22" s="17">
        <f t="shared" si="7"/>
        <v>2.8795075049232958E-3</v>
      </c>
      <c r="H22" s="17">
        <f t="shared" si="7"/>
        <v>7.1452826985115171E-3</v>
      </c>
      <c r="I22" s="17">
        <f t="shared" si="7"/>
        <v>6.7790764005890231E-3</v>
      </c>
      <c r="J22" s="17">
        <f t="shared" si="7"/>
        <v>3.7244165275361644E-3</v>
      </c>
      <c r="K22" s="17">
        <f t="shared" si="7"/>
        <v>3.4793407979813911E-3</v>
      </c>
      <c r="L22" s="17">
        <f t="shared" si="7"/>
        <v>5.0312519902104393E-3</v>
      </c>
      <c r="M22" s="17">
        <f t="shared" si="7"/>
        <v>5.5592636829902339E-3</v>
      </c>
    </row>
    <row r="24" spans="2:13" x14ac:dyDescent="0.3">
      <c r="B24" t="s">
        <v>21</v>
      </c>
      <c r="C24" s="18">
        <f>IFERROR('Data Sheet'!B26,0)</f>
        <v>403.75</v>
      </c>
      <c r="D24" s="18">
        <f>IFERROR('Data Sheet'!C26,0)</f>
        <v>409.86</v>
      </c>
      <c r="E24" s="18">
        <f>IFERROR('Data Sheet'!D26,0)</f>
        <v>828</v>
      </c>
      <c r="F24" s="18">
        <f>IFERROR('Data Sheet'!E26,0)</f>
        <v>1383</v>
      </c>
      <c r="G24" s="18">
        <f>IFERROR('Data Sheet'!F26,0)</f>
        <v>2073</v>
      </c>
      <c r="H24" s="18">
        <f>IFERROR('Data Sheet'!G26,0)</f>
        <v>3420</v>
      </c>
      <c r="I24" s="18">
        <f>IFERROR('Data Sheet'!H26,0)</f>
        <v>4611</v>
      </c>
      <c r="J24" s="18">
        <f>IFERROR('Data Sheet'!I26,0)</f>
        <v>4326</v>
      </c>
      <c r="K24" s="18">
        <f>IFERROR('Data Sheet'!J26,0)</f>
        <v>4145</v>
      </c>
      <c r="L24" s="18">
        <f>IFERROR('Data Sheet'!K26,0)</f>
        <v>4173</v>
      </c>
      <c r="M24" s="18">
        <f>IFERROR(SUM('Data Sheet'!H46:K46),0)</f>
        <v>633</v>
      </c>
    </row>
    <row r="25" spans="2:13" x14ac:dyDescent="0.3">
      <c r="B25" s="15" t="s">
        <v>69</v>
      </c>
      <c r="C25" s="20">
        <f t="shared" ref="C25:M25" si="8">C24/C6</f>
        <v>1.1000996697112521E-2</v>
      </c>
      <c r="D25" s="17">
        <f t="shared" si="8"/>
        <v>1.31635659626785E-2</v>
      </c>
      <c r="E25" s="17">
        <f t="shared" si="8"/>
        <v>1.7406659939455095E-2</v>
      </c>
      <c r="F25" s="17">
        <f t="shared" si="8"/>
        <v>2.7348770986177301E-2</v>
      </c>
      <c r="G25" s="17">
        <f t="shared" si="8"/>
        <v>3.4305856653482715E-2</v>
      </c>
      <c r="H25" s="17">
        <f t="shared" si="8"/>
        <v>4.8389835304771069E-2</v>
      </c>
      <c r="I25" s="17">
        <f t="shared" si="8"/>
        <v>6.1170883137213285E-2</v>
      </c>
      <c r="J25" s="17">
        <f t="shared" si="8"/>
        <v>5.0507291216681648E-2</v>
      </c>
      <c r="K25" s="17">
        <f t="shared" si="8"/>
        <v>4.0855149030121433E-2</v>
      </c>
      <c r="L25" s="17">
        <f t="shared" si="8"/>
        <v>3.796639160062959E-2</v>
      </c>
      <c r="M25" s="17">
        <f t="shared" si="8"/>
        <v>5.5592636829902339E-3</v>
      </c>
    </row>
    <row r="27" spans="2:13" x14ac:dyDescent="0.3">
      <c r="B27" s="28" t="s">
        <v>71</v>
      </c>
      <c r="C27" s="29">
        <f>IFERROR(C18-SUMIF(C24,C21),0)</f>
        <v>9756.8000000000029</v>
      </c>
      <c r="D27" s="29">
        <f t="shared" ref="D27:M27" si="9">IFERROR(D18-SUMIF(D24,D21),0)</f>
        <v>7357.5300000000007</v>
      </c>
      <c r="E27" s="29">
        <f t="shared" si="9"/>
        <v>11205</v>
      </c>
      <c r="F27" s="29">
        <f t="shared" si="9"/>
        <v>12601</v>
      </c>
      <c r="G27" s="29">
        <f t="shared" si="9"/>
        <v>15622</v>
      </c>
      <c r="H27" s="29">
        <f t="shared" si="9"/>
        <v>18852</v>
      </c>
      <c r="I27" s="29">
        <f t="shared" si="9"/>
        <v>21743</v>
      </c>
      <c r="J27" s="29">
        <f t="shared" si="9"/>
        <v>21935</v>
      </c>
      <c r="K27" s="29">
        <f t="shared" si="9"/>
        <v>24633</v>
      </c>
      <c r="L27" s="29">
        <f t="shared" si="9"/>
        <v>25995</v>
      </c>
      <c r="M27" s="29">
        <f t="shared" si="9"/>
        <v>24433</v>
      </c>
    </row>
    <row r="28" spans="2:13" x14ac:dyDescent="0.3">
      <c r="B28" t="s">
        <v>72</v>
      </c>
      <c r="C28" s="14">
        <f>C27/C6</f>
        <v>0.26584402371365318</v>
      </c>
      <c r="D28" s="14">
        <f t="shared" ref="D28:M28" si="10">D27/D6</f>
        <v>0.23630344868341863</v>
      </c>
      <c r="E28" s="14">
        <f t="shared" si="10"/>
        <v>0.23555751765893038</v>
      </c>
      <c r="F28" s="14">
        <f t="shared" si="10"/>
        <v>0.24918428286104136</v>
      </c>
      <c r="G28" s="14">
        <f t="shared" si="10"/>
        <v>0.25852681748225131</v>
      </c>
      <c r="H28" s="14">
        <f t="shared" si="10"/>
        <v>0.26673835531156265</v>
      </c>
      <c r="I28" s="14">
        <f t="shared" si="10"/>
        <v>0.28844903753034667</v>
      </c>
      <c r="J28" s="14">
        <f t="shared" si="10"/>
        <v>0.25609741859406193</v>
      </c>
      <c r="K28" s="14">
        <f t="shared" si="10"/>
        <v>0.24279490616621985</v>
      </c>
      <c r="L28" s="14">
        <f t="shared" si="10"/>
        <v>0.23650523595934966</v>
      </c>
      <c r="M28" s="14">
        <f t="shared" si="10"/>
        <v>0.21458055223775732</v>
      </c>
    </row>
    <row r="30" spans="2:13" x14ac:dyDescent="0.3">
      <c r="B30" t="s">
        <v>24</v>
      </c>
      <c r="C30" s="18">
        <f>IFERROR('Data Sheet'!B29,0)</f>
        <v>1815.11</v>
      </c>
      <c r="D30" s="18">
        <f>IFERROR('Data Sheet'!C29,0)</f>
        <v>1439</v>
      </c>
      <c r="E30" s="18">
        <f>IFERROR('Data Sheet'!D29,0)</f>
        <v>1936</v>
      </c>
      <c r="F30" s="18">
        <f>IFERROR('Data Sheet'!E29,0)</f>
        <v>2302</v>
      </c>
      <c r="G30" s="18">
        <f>IFERROR('Data Sheet'!F29,0)</f>
        <v>2502</v>
      </c>
      <c r="H30" s="18">
        <f>IFERROR('Data Sheet'!G29,0)</f>
        <v>2923</v>
      </c>
      <c r="I30" s="18">
        <f>IFERROR('Data Sheet'!H29,0)</f>
        <v>4684</v>
      </c>
      <c r="J30" s="18">
        <f>IFERROR('Data Sheet'!I29,0)</f>
        <v>3428</v>
      </c>
      <c r="K30" s="18">
        <f>IFERROR('Data Sheet'!J29,0)</f>
        <v>4643</v>
      </c>
      <c r="L30" s="18">
        <f>IFERROR('Data Sheet'!K29,0)</f>
        <v>5257</v>
      </c>
      <c r="M30" s="18">
        <f>IFERROR(SUM('Data Sheet'!H48:K48),0)</f>
        <v>5695</v>
      </c>
    </row>
    <row r="31" spans="2:13" x14ac:dyDescent="0.3">
      <c r="B31" s="15" t="s">
        <v>73</v>
      </c>
      <c r="C31" s="20">
        <f>C30/C27</f>
        <v>0.18603538045260734</v>
      </c>
      <c r="D31" s="17">
        <f t="shared" ref="D31:M31" si="11">D30/D27</f>
        <v>0.19558194122212208</v>
      </c>
      <c r="E31" s="17">
        <f t="shared" si="11"/>
        <v>0.17278000892458723</v>
      </c>
      <c r="F31" s="17">
        <f t="shared" si="11"/>
        <v>0.18268391397508135</v>
      </c>
      <c r="G31" s="17">
        <f t="shared" si="11"/>
        <v>0.16015875048009218</v>
      </c>
      <c r="H31" s="17">
        <f t="shared" si="11"/>
        <v>0.15504986208359856</v>
      </c>
      <c r="I31" s="17">
        <f t="shared" si="11"/>
        <v>0.21542565423354643</v>
      </c>
      <c r="J31" s="17">
        <f t="shared" si="11"/>
        <v>0.1562799179393663</v>
      </c>
      <c r="K31" s="17">
        <f t="shared" si="11"/>
        <v>0.18848698899849795</v>
      </c>
      <c r="L31" s="17">
        <f t="shared" si="11"/>
        <v>0.2022311983073668</v>
      </c>
      <c r="M31" s="17">
        <f t="shared" si="11"/>
        <v>0.23308639954160357</v>
      </c>
    </row>
    <row r="33" spans="1:13" x14ac:dyDescent="0.3">
      <c r="B33" s="28" t="s">
        <v>25</v>
      </c>
      <c r="C33" s="29">
        <f>IFERROR(C27-C30,0)</f>
        <v>7941.6900000000032</v>
      </c>
      <c r="D33" s="29">
        <f t="shared" ref="D33:M33" si="12">IFERROR(D27-D30,0)</f>
        <v>5918.5300000000007</v>
      </c>
      <c r="E33" s="29">
        <f t="shared" si="12"/>
        <v>9269</v>
      </c>
      <c r="F33" s="29">
        <f t="shared" si="12"/>
        <v>10299</v>
      </c>
      <c r="G33" s="29">
        <f t="shared" si="12"/>
        <v>13120</v>
      </c>
      <c r="H33" s="29">
        <f t="shared" si="12"/>
        <v>15929</v>
      </c>
      <c r="I33" s="29">
        <f t="shared" si="12"/>
        <v>17059</v>
      </c>
      <c r="J33" s="29">
        <f t="shared" si="12"/>
        <v>18507</v>
      </c>
      <c r="K33" s="29">
        <f t="shared" si="12"/>
        <v>19990</v>
      </c>
      <c r="L33" s="29">
        <f t="shared" si="12"/>
        <v>20738</v>
      </c>
      <c r="M33" s="29">
        <f t="shared" si="12"/>
        <v>18738</v>
      </c>
    </row>
    <row r="34" spans="1:13" x14ac:dyDescent="0.3">
      <c r="B34" s="15" t="s">
        <v>74</v>
      </c>
      <c r="C34" s="20">
        <f>C33/C6</f>
        <v>0.21638762962103175</v>
      </c>
      <c r="D34" s="17">
        <f t="shared" ref="D34:M34" si="13">D33/D6</f>
        <v>0.1900867614724335</v>
      </c>
      <c r="E34" s="17">
        <f t="shared" si="13"/>
        <v>0.19485788765556677</v>
      </c>
      <c r="F34" s="17">
        <f t="shared" si="13"/>
        <v>0.20366232276691254</v>
      </c>
      <c r="G34" s="17">
        <f t="shared" si="13"/>
        <v>0.21712148542869908</v>
      </c>
      <c r="H34" s="17">
        <f t="shared" si="13"/>
        <v>0.22538061010809893</v>
      </c>
      <c r="I34" s="17">
        <f t="shared" si="13"/>
        <v>0.22630971490733492</v>
      </c>
      <c r="J34" s="17">
        <f t="shared" si="13"/>
        <v>0.21607453503169841</v>
      </c>
      <c r="K34" s="17">
        <f t="shared" si="13"/>
        <v>0.19703122535877621</v>
      </c>
      <c r="L34" s="17">
        <f t="shared" si="13"/>
        <v>0.18867649868532385</v>
      </c>
      <c r="M34" s="17">
        <f t="shared" si="13"/>
        <v>0.1645647439050095</v>
      </c>
    </row>
    <row r="36" spans="1:13" x14ac:dyDescent="0.3">
      <c r="B36" t="s">
        <v>75</v>
      </c>
      <c r="C36" s="18">
        <f>IFERROR('Data Sheet'!B93,0)</f>
        <v>281.2</v>
      </c>
      <c r="D36" s="18">
        <f>IFERROR('Data Sheet'!C93,0)</f>
        <v>282.08</v>
      </c>
      <c r="E36" s="18">
        <f>IFERROR('Data Sheet'!D93,0)</f>
        <v>285.36</v>
      </c>
      <c r="F36" s="18">
        <f>IFERROR('Data Sheet'!E93,0)</f>
        <v>278.45</v>
      </c>
      <c r="G36" s="18">
        <f>IFERROR('Data Sheet'!F93,0)</f>
        <v>271.26</v>
      </c>
      <c r="H36" s="18">
        <f>IFERROR('Data Sheet'!G93,0)</f>
        <v>271.37</v>
      </c>
      <c r="I36" s="18">
        <f>IFERROR('Data Sheet'!H93,0)</f>
        <v>271.37</v>
      </c>
      <c r="J36" s="18">
        <f>IFERROR('Data Sheet'!I93,0)</f>
        <v>271.37</v>
      </c>
      <c r="K36" s="18">
        <f>IFERROR('Data Sheet'!J93,0)</f>
        <v>271.37</v>
      </c>
      <c r="L36" s="18">
        <f>IFERROR('Data Sheet'!K93,0)</f>
        <v>271.37</v>
      </c>
      <c r="M36" s="18">
        <v>415</v>
      </c>
    </row>
    <row r="38" spans="1:13" x14ac:dyDescent="0.3">
      <c r="B38" t="s">
        <v>76</v>
      </c>
      <c r="C38" s="18">
        <f>IFERROR(C33/C36,0)</f>
        <v>28.242140825035573</v>
      </c>
      <c r="D38" s="18">
        <f t="shared" ref="D38:M38" si="14">IFERROR(D33/D36,0)</f>
        <v>20.981742768009077</v>
      </c>
      <c r="E38" s="18">
        <f t="shared" si="14"/>
        <v>32.481777403980935</v>
      </c>
      <c r="F38" s="18">
        <f t="shared" si="14"/>
        <v>36.986891722032681</v>
      </c>
      <c r="G38" s="18">
        <f t="shared" si="14"/>
        <v>48.366880483668808</v>
      </c>
      <c r="H38" s="18">
        <f t="shared" si="14"/>
        <v>58.698455982606774</v>
      </c>
      <c r="I38" s="18">
        <f t="shared" si="14"/>
        <v>62.862512436894278</v>
      </c>
      <c r="J38" s="18">
        <f t="shared" si="14"/>
        <v>68.198400707521103</v>
      </c>
      <c r="K38" s="18">
        <f t="shared" si="14"/>
        <v>73.663264178059478</v>
      </c>
      <c r="L38" s="18">
        <f t="shared" si="14"/>
        <v>76.419648450455099</v>
      </c>
      <c r="M38" s="18">
        <f t="shared" si="14"/>
        <v>45.151807228915665</v>
      </c>
    </row>
    <row r="39" spans="1:13" x14ac:dyDescent="0.3">
      <c r="B39" s="15" t="s">
        <v>78</v>
      </c>
      <c r="C39" s="20">
        <f t="shared" ref="C39:L39" si="15">D38/C38-1</f>
        <v>-0.25707675993848289</v>
      </c>
      <c r="D39" s="20">
        <f t="shared" si="15"/>
        <v>0.54809720827890396</v>
      </c>
      <c r="E39" s="20">
        <f t="shared" si="15"/>
        <v>0.13869666865888952</v>
      </c>
      <c r="F39" s="20">
        <f t="shared" si="15"/>
        <v>0.30767626669361881</v>
      </c>
      <c r="G39" s="20">
        <f t="shared" si="15"/>
        <v>0.21360847331112143</v>
      </c>
      <c r="H39" s="20">
        <f t="shared" si="15"/>
        <v>7.093979534182937E-2</v>
      </c>
      <c r="I39" s="20">
        <f t="shared" si="15"/>
        <v>8.4881880532270415E-2</v>
      </c>
      <c r="J39" s="20">
        <f t="shared" si="15"/>
        <v>8.0131842005727538E-2</v>
      </c>
      <c r="K39" s="20">
        <f t="shared" si="15"/>
        <v>3.7418709354677393E-2</v>
      </c>
      <c r="L39" s="20">
        <f t="shared" si="15"/>
        <v>-0.40915971030423171</v>
      </c>
      <c r="M39" s="20">
        <v>0</v>
      </c>
    </row>
    <row r="41" spans="1:13" x14ac:dyDescent="0.3">
      <c r="B41" t="s">
        <v>77</v>
      </c>
      <c r="C41" s="18">
        <f>IFERROR('Data Sheet'!B31/historicalfs!C36,0)</f>
        <v>15</v>
      </c>
      <c r="D41" s="18">
        <f>IFERROR('Data Sheet'!C31/historicalfs!D36,0)</f>
        <v>8</v>
      </c>
      <c r="E41" s="18">
        <f>IFERROR('Data Sheet'!D31/historicalfs!E36,0)</f>
        <v>11.984861227922623</v>
      </c>
      <c r="F41" s="18">
        <f>IFERROR('Data Sheet'!E31/historicalfs!F36,0)</f>
        <v>5.9903034656132164</v>
      </c>
      <c r="G41" s="18">
        <f>IFERROR('Data Sheet'!F31/historicalfs!G36,0)</f>
        <v>3.9961660399616608</v>
      </c>
      <c r="H41" s="18">
        <f>IFERROR('Data Sheet'!G31/historicalfs!H36,0)</f>
        <v>10.004790507425286</v>
      </c>
      <c r="I41" s="18">
        <f>IFERROR('Data Sheet'!H31/historicalfs!I36,0)</f>
        <v>10.004790507425286</v>
      </c>
      <c r="J41" s="18">
        <f>IFERROR('Data Sheet'!I31/historicalfs!J36,0)</f>
        <v>42.020120131186204</v>
      </c>
      <c r="K41" s="18">
        <f>IFERROR('Data Sheet'!J31/historicalfs!K36,0)</f>
        <v>48.022994435641372</v>
      </c>
      <c r="L41" s="18">
        <f>IFERROR('Data Sheet'!K31/historicalfs!L36,0)</f>
        <v>52.024910638611487</v>
      </c>
      <c r="M41" s="18">
        <f>IFERROR('Data Sheet'!L31/historicalfs!M36,0)</f>
        <v>0</v>
      </c>
    </row>
    <row r="42" spans="1:13" x14ac:dyDescent="0.3">
      <c r="B42" s="15" t="s">
        <v>79</v>
      </c>
      <c r="C42" s="20">
        <f>IFERROR(C41/C38,0)</f>
        <v>0.5311212097173269</v>
      </c>
      <c r="D42" s="20">
        <f t="shared" ref="D42:M42" si="16">IFERROR(D41/D38,0)</f>
        <v>0.38128386609512832</v>
      </c>
      <c r="E42" s="20">
        <f t="shared" si="16"/>
        <v>0.36897184162261298</v>
      </c>
      <c r="F42" s="20">
        <f t="shared" si="16"/>
        <v>0.16195747159918439</v>
      </c>
      <c r="G42" s="20">
        <f t="shared" si="16"/>
        <v>8.2621951219512199E-2</v>
      </c>
      <c r="H42" s="20">
        <f t="shared" si="16"/>
        <v>0.17044384456023604</v>
      </c>
      <c r="I42" s="20">
        <f t="shared" si="16"/>
        <v>0.15915352599800689</v>
      </c>
      <c r="J42" s="20">
        <f t="shared" si="16"/>
        <v>0.61614524234073587</v>
      </c>
      <c r="K42" s="20">
        <f t="shared" si="16"/>
        <v>0.65192596298149064</v>
      </c>
      <c r="L42" s="20">
        <f t="shared" si="16"/>
        <v>0.68077924582891303</v>
      </c>
      <c r="M42" s="20">
        <f t="shared" si="16"/>
        <v>0</v>
      </c>
    </row>
    <row r="44" spans="1:13" x14ac:dyDescent="0.3">
      <c r="B44" t="s">
        <v>80</v>
      </c>
      <c r="C44" s="14">
        <f>IFERROR(IF(C38&gt;C41,1-C42,0),0)</f>
        <v>0.4688787902826731</v>
      </c>
      <c r="D44" s="14">
        <f t="shared" ref="D44:M44" si="17">IFERROR(IF(D38&gt;D41,1-D42,0),0)</f>
        <v>0.61871613390487168</v>
      </c>
      <c r="E44" s="14">
        <f t="shared" si="17"/>
        <v>0.63102815837738702</v>
      </c>
      <c r="F44" s="14">
        <f t="shared" si="17"/>
        <v>0.83804252840081561</v>
      </c>
      <c r="G44" s="14">
        <f t="shared" si="17"/>
        <v>0.91737804878048779</v>
      </c>
      <c r="H44" s="14">
        <f t="shared" si="17"/>
        <v>0.82955615543976391</v>
      </c>
      <c r="I44" s="14">
        <f t="shared" si="17"/>
        <v>0.84084647400199308</v>
      </c>
      <c r="J44" s="14">
        <f t="shared" si="17"/>
        <v>0.38385475765926413</v>
      </c>
      <c r="K44" s="14">
        <f t="shared" si="17"/>
        <v>0.34807403701850936</v>
      </c>
      <c r="L44" s="14">
        <f t="shared" si="17"/>
        <v>0.31922075417108697</v>
      </c>
      <c r="M44" s="14">
        <f t="shared" si="17"/>
        <v>1</v>
      </c>
    </row>
    <row r="46" spans="1:13" x14ac:dyDescent="0.3">
      <c r="A46" t="s">
        <v>57</v>
      </c>
      <c r="B46" s="22" t="s">
        <v>81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x14ac:dyDescent="0.3">
      <c r="B47" s="8" t="s">
        <v>31</v>
      </c>
      <c r="C47" s="18">
        <f>IFERROR('Data Sheet'!B57,0)</f>
        <v>281.2</v>
      </c>
      <c r="D47" s="18">
        <f>IFERROR('Data Sheet'!C57,0)</f>
        <v>282.08</v>
      </c>
      <c r="E47" s="18">
        <f>IFERROR('Data Sheet'!D57,0)</f>
        <v>285</v>
      </c>
      <c r="F47" s="18">
        <f>IFERROR('Data Sheet'!E57,0)</f>
        <v>278</v>
      </c>
      <c r="G47" s="18">
        <f>IFERROR('Data Sheet'!F57,0)</f>
        <v>271</v>
      </c>
      <c r="H47" s="18">
        <f>IFERROR('Data Sheet'!G57,0)</f>
        <v>543</v>
      </c>
      <c r="I47" s="18">
        <f>IFERROR('Data Sheet'!H57,0)</f>
        <v>543</v>
      </c>
      <c r="J47" s="18">
        <f>IFERROR('Data Sheet'!I57,0)</f>
        <v>543</v>
      </c>
      <c r="K47" s="18">
        <f>IFERROR('Data Sheet'!J57,0)</f>
        <v>543</v>
      </c>
      <c r="L47" s="18">
        <f>IFERROR('Data Sheet'!K57,0)</f>
        <v>543</v>
      </c>
      <c r="M47" s="18"/>
    </row>
    <row r="48" spans="1:13" x14ac:dyDescent="0.3">
      <c r="B48" s="8" t="s">
        <v>32</v>
      </c>
      <c r="C48" s="18">
        <f>IFERROR('Data Sheet'!B58,0)</f>
        <v>23943.21</v>
      </c>
      <c r="D48" s="18">
        <f>IFERROR('Data Sheet'!C58,0)</f>
        <v>27108.69</v>
      </c>
      <c r="E48" s="18">
        <f>IFERROR('Data Sheet'!D58,0)</f>
        <v>32664</v>
      </c>
      <c r="F48" s="18">
        <f>IFERROR('Data Sheet'!E58,0)</f>
        <v>36108</v>
      </c>
      <c r="G48" s="18">
        <f>IFERROR('Data Sheet'!F58,0)</f>
        <v>41095</v>
      </c>
      <c r="H48" s="18">
        <f>IFERROR('Data Sheet'!G58,0)</f>
        <v>50724</v>
      </c>
      <c r="I48" s="18">
        <f>IFERROR('Data Sheet'!H58,0)</f>
        <v>59370</v>
      </c>
      <c r="J48" s="18">
        <f>IFERROR('Data Sheet'!I58,0)</f>
        <v>61371</v>
      </c>
      <c r="K48" s="18">
        <f>IFERROR('Data Sheet'!J58,0)</f>
        <v>64862</v>
      </c>
      <c r="L48" s="18">
        <f>IFERROR('Data Sheet'!K58,0)</f>
        <v>67720</v>
      </c>
      <c r="M48" s="18"/>
    </row>
    <row r="49" spans="2:13" x14ac:dyDescent="0.3">
      <c r="B49" s="8" t="s">
        <v>33</v>
      </c>
      <c r="C49" s="18">
        <f>IFERROR('Data Sheet'!B59,0)</f>
        <v>647.76</v>
      </c>
      <c r="D49" s="18">
        <f>IFERROR('Data Sheet'!C59,0)</f>
        <v>1090.3599999999999</v>
      </c>
      <c r="E49" s="18">
        <f>IFERROR('Data Sheet'!D59,0)</f>
        <v>582</v>
      </c>
      <c r="F49" s="18">
        <f>IFERROR('Data Sheet'!E59,0)</f>
        <v>557</v>
      </c>
      <c r="G49" s="18">
        <f>IFERROR('Data Sheet'!F59,0)</f>
        <v>4195</v>
      </c>
      <c r="H49" s="18">
        <f>IFERROR('Data Sheet'!G59,0)</f>
        <v>7986</v>
      </c>
      <c r="I49" s="18">
        <f>IFERROR('Data Sheet'!H59,0)</f>
        <v>6864</v>
      </c>
      <c r="J49" s="18">
        <f>IFERROR('Data Sheet'!I59,0)</f>
        <v>6343</v>
      </c>
      <c r="K49" s="18">
        <f>IFERROR('Data Sheet'!J59,0)</f>
        <v>4794</v>
      </c>
      <c r="L49" s="18">
        <f>IFERROR('Data Sheet'!K59,0)</f>
        <v>5758</v>
      </c>
      <c r="M49" s="18"/>
    </row>
    <row r="50" spans="2:13" x14ac:dyDescent="0.3">
      <c r="B50" s="8" t="s">
        <v>34</v>
      </c>
      <c r="C50" s="18">
        <f>IFERROR('Data Sheet'!B60,0)</f>
        <v>10372.5</v>
      </c>
      <c r="D50" s="18">
        <f>IFERROR('Data Sheet'!C60,0)</f>
        <v>10859.47</v>
      </c>
      <c r="E50" s="18">
        <f>IFERROR('Data Sheet'!D60,0)</f>
        <v>12231</v>
      </c>
      <c r="F50" s="18">
        <f>IFERROR('Data Sheet'!E60,0)</f>
        <v>11046</v>
      </c>
      <c r="G50" s="18">
        <f>IFERROR('Data Sheet'!F60,0)</f>
        <v>12788</v>
      </c>
      <c r="H50" s="18">
        <f>IFERROR('Data Sheet'!G60,0)</f>
        <v>23566</v>
      </c>
      <c r="I50" s="18">
        <f>IFERROR('Data Sheet'!H60,0)</f>
        <v>19270</v>
      </c>
      <c r="J50" s="18">
        <f>IFERROR('Data Sheet'!I60,0)</f>
        <v>20664</v>
      </c>
      <c r="K50" s="18">
        <f>IFERROR('Data Sheet'!J60,0)</f>
        <v>23051</v>
      </c>
      <c r="L50" s="18">
        <f>IFERROR('Data Sheet'!K60,0)</f>
        <v>24985</v>
      </c>
      <c r="M50" s="18"/>
    </row>
    <row r="51" spans="2:13" x14ac:dyDescent="0.3">
      <c r="B51" s="28" t="s">
        <v>82</v>
      </c>
      <c r="C51" s="29">
        <f>IFERROR(SUM(C47:C50),0)</f>
        <v>35244.67</v>
      </c>
      <c r="D51" s="29">
        <f t="shared" ref="D51:L51" si="18">IFERROR(SUM(D47:D50),0)</f>
        <v>39340.6</v>
      </c>
      <c r="E51" s="29">
        <f t="shared" si="18"/>
        <v>45762</v>
      </c>
      <c r="F51" s="29">
        <f t="shared" si="18"/>
        <v>47989</v>
      </c>
      <c r="G51" s="29">
        <f t="shared" si="18"/>
        <v>58349</v>
      </c>
      <c r="H51" s="29">
        <f t="shared" si="18"/>
        <v>82819</v>
      </c>
      <c r="I51" s="29">
        <f t="shared" si="18"/>
        <v>86047</v>
      </c>
      <c r="J51" s="29">
        <f t="shared" si="18"/>
        <v>88921</v>
      </c>
      <c r="K51" s="29">
        <f t="shared" si="18"/>
        <v>93250</v>
      </c>
      <c r="L51" s="29">
        <f t="shared" si="18"/>
        <v>99006</v>
      </c>
      <c r="M51" s="29"/>
    </row>
    <row r="52" spans="2:13" x14ac:dyDescent="0.3">
      <c r="M52" s="18"/>
    </row>
    <row r="53" spans="2:13" x14ac:dyDescent="0.3">
      <c r="B53" s="8" t="s">
        <v>83</v>
      </c>
      <c r="C53" s="18">
        <f>IFERROR('Data Sheet'!B62,0)</f>
        <v>8275.27</v>
      </c>
      <c r="D53" s="18">
        <f>IFERROR('Data Sheet'!C62,0)</f>
        <v>9716.09</v>
      </c>
      <c r="E53" s="18">
        <f>IFERROR('Data Sheet'!D62,0)</f>
        <v>15235</v>
      </c>
      <c r="F53" s="18">
        <f>IFERROR('Data Sheet'!E62,0)</f>
        <v>18753</v>
      </c>
      <c r="G53" s="18">
        <f>IFERROR('Data Sheet'!F62,0)</f>
        <v>22888</v>
      </c>
      <c r="H53" s="18">
        <f>IFERROR('Data Sheet'!G62,0)</f>
        <v>37490</v>
      </c>
      <c r="I53" s="18">
        <f>IFERROR('Data Sheet'!H62,0)</f>
        <v>37145</v>
      </c>
      <c r="J53" s="18">
        <f>IFERROR('Data Sheet'!I62,0)</f>
        <v>35077</v>
      </c>
      <c r="K53" s="18">
        <f>IFERROR('Data Sheet'!J62,0)</f>
        <v>34619</v>
      </c>
      <c r="L53" s="18">
        <f>IFERROR('Data Sheet'!K62,0)</f>
        <v>35063</v>
      </c>
      <c r="M53" s="18"/>
    </row>
    <row r="54" spans="2:13" x14ac:dyDescent="0.3">
      <c r="B54" s="8" t="s">
        <v>37</v>
      </c>
      <c r="C54" s="18">
        <f>IFERROR('Data Sheet'!B63,0)</f>
        <v>551.52</v>
      </c>
      <c r="D54" s="18">
        <f>IFERROR('Data Sheet'!C63,0)</f>
        <v>610.9</v>
      </c>
      <c r="E54" s="18">
        <f>IFERROR('Data Sheet'!D63,0)</f>
        <v>448</v>
      </c>
      <c r="F54" s="18">
        <f>IFERROR('Data Sheet'!E63,0)</f>
        <v>320</v>
      </c>
      <c r="G54" s="18">
        <f>IFERROR('Data Sheet'!F63,0)</f>
        <v>235</v>
      </c>
      <c r="H54" s="18">
        <f>IFERROR('Data Sheet'!G63,0)</f>
        <v>400</v>
      </c>
      <c r="I54" s="18">
        <f>IFERROR('Data Sheet'!H63,0)</f>
        <v>312</v>
      </c>
      <c r="J54" s="18">
        <f>IFERROR('Data Sheet'!I63,0)</f>
        <v>129</v>
      </c>
      <c r="K54" s="18">
        <f>IFERROR('Data Sheet'!J63,0)</f>
        <v>40</v>
      </c>
      <c r="L54" s="18">
        <f>IFERROR('Data Sheet'!K63,0)</f>
        <v>108</v>
      </c>
      <c r="M54" s="18"/>
    </row>
    <row r="55" spans="2:13" x14ac:dyDescent="0.3">
      <c r="B55" s="8" t="s">
        <v>38</v>
      </c>
      <c r="C55" s="18">
        <f>IFERROR('Data Sheet'!B64,0)</f>
        <v>869.39</v>
      </c>
      <c r="D55" s="18">
        <f>IFERROR('Data Sheet'!C64,0)</f>
        <v>698.38</v>
      </c>
      <c r="E55" s="18">
        <f>IFERROR('Data Sheet'!D64,0)</f>
        <v>1306</v>
      </c>
      <c r="F55" s="18">
        <f>IFERROR('Data Sheet'!E64,0)</f>
        <v>2660</v>
      </c>
      <c r="G55" s="18">
        <f>IFERROR('Data Sheet'!F64,0)</f>
        <v>2305</v>
      </c>
      <c r="H55" s="18">
        <f>IFERROR('Data Sheet'!G64,0)</f>
        <v>7066</v>
      </c>
      <c r="I55" s="18">
        <f>IFERROR('Data Sheet'!H64,0)</f>
        <v>6862</v>
      </c>
      <c r="J55" s="18">
        <f>IFERROR('Data Sheet'!I64,0)</f>
        <v>6351</v>
      </c>
      <c r="K55" s="18">
        <f>IFERROR('Data Sheet'!J64,0)</f>
        <v>5495</v>
      </c>
      <c r="L55" s="18">
        <f>IFERROR('Data Sheet'!K64,0)</f>
        <v>7137</v>
      </c>
      <c r="M55" s="18"/>
    </row>
    <row r="56" spans="2:13" x14ac:dyDescent="0.3">
      <c r="B56" s="8" t="s">
        <v>39</v>
      </c>
      <c r="C56" s="18">
        <f>IFERROR('Data Sheet'!B65-SUM('Data Sheet'!B67:B69),0)</f>
        <v>9065.9600000000028</v>
      </c>
      <c r="D56" s="18">
        <f>IFERROR('Data Sheet'!C65-SUM('Data Sheet'!C67:C69),0)</f>
        <v>10995.009999999998</v>
      </c>
      <c r="E56" s="18">
        <f>IFERROR('Data Sheet'!D65-SUM('Data Sheet'!D67:D69),0)</f>
        <v>11152</v>
      </c>
      <c r="F56" s="18">
        <f>IFERROR('Data Sheet'!E65-SUM('Data Sheet'!E67:E69),0)</f>
        <v>12427</v>
      </c>
      <c r="G56" s="18">
        <f>IFERROR('Data Sheet'!F65-SUM('Data Sheet'!F67:F69),0)</f>
        <v>13252</v>
      </c>
      <c r="H56" s="18">
        <f>IFERROR('Data Sheet'!G65-SUM('Data Sheet'!G67:G69),0)</f>
        <v>18665</v>
      </c>
      <c r="I56" s="18">
        <f>IFERROR('Data Sheet'!H65-SUM('Data Sheet'!H67:H69),0)</f>
        <v>15221</v>
      </c>
      <c r="J56" s="18">
        <f>IFERROR('Data Sheet'!I65-SUM('Data Sheet'!I67:I69),0)</f>
        <v>13896</v>
      </c>
      <c r="K56" s="18">
        <f>IFERROR('Data Sheet'!J65-SUM('Data Sheet'!J67:J69),0)</f>
        <v>12638</v>
      </c>
      <c r="L56" s="18">
        <f>IFERROR('Data Sheet'!K65-SUM('Data Sheet'!K67:K69),0)</f>
        <v>10842</v>
      </c>
      <c r="M56" s="18"/>
    </row>
    <row r="57" spans="2:13" x14ac:dyDescent="0.3">
      <c r="B57" s="28" t="s">
        <v>84</v>
      </c>
      <c r="C57" s="29">
        <f>IFERROR(SUM(C53:C56),0)</f>
        <v>18762.140000000003</v>
      </c>
      <c r="D57" s="29">
        <f t="shared" ref="D57:L57" si="19">IFERROR(SUM(D53:D56),0)</f>
        <v>22020.379999999997</v>
      </c>
      <c r="E57" s="29">
        <f t="shared" si="19"/>
        <v>28141</v>
      </c>
      <c r="F57" s="29">
        <f t="shared" si="19"/>
        <v>34160</v>
      </c>
      <c r="G57" s="29">
        <f t="shared" si="19"/>
        <v>38680</v>
      </c>
      <c r="H57" s="29">
        <f t="shared" si="19"/>
        <v>63621</v>
      </c>
      <c r="I57" s="29">
        <f t="shared" si="19"/>
        <v>59540</v>
      </c>
      <c r="J57" s="29">
        <f t="shared" si="19"/>
        <v>55453</v>
      </c>
      <c r="K57" s="29">
        <f t="shared" si="19"/>
        <v>52792</v>
      </c>
      <c r="L57" s="29">
        <f t="shared" si="19"/>
        <v>53150</v>
      </c>
      <c r="M57" s="29"/>
    </row>
    <row r="60" spans="2:13" x14ac:dyDescent="0.3">
      <c r="B60" s="8" t="s">
        <v>40</v>
      </c>
      <c r="C60" s="18">
        <f>IFERROR('Data Sheet'!B67,0)</f>
        <v>6538.69</v>
      </c>
      <c r="D60" s="18">
        <f>IFERROR('Data Sheet'!C67,0)</f>
        <v>7721.14</v>
      </c>
      <c r="E60" s="18">
        <f>IFERROR('Data Sheet'!D67,0)</f>
        <v>8301</v>
      </c>
      <c r="F60" s="18">
        <f>IFERROR('Data Sheet'!E67,0)</f>
        <v>9639</v>
      </c>
      <c r="G60" s="18">
        <f>IFERROR('Data Sheet'!F67,0)</f>
        <v>11706</v>
      </c>
      <c r="H60" s="18">
        <f>IFERROR('Data Sheet'!G67,0)</f>
        <v>14131</v>
      </c>
      <c r="I60" s="18">
        <f>IFERROR('Data Sheet'!H67,0)</f>
        <v>17525</v>
      </c>
      <c r="J60" s="18">
        <f>IFERROR('Data Sheet'!I67,0)</f>
        <v>20671</v>
      </c>
      <c r="K60" s="18">
        <f>IFERROR('Data Sheet'!J67,0)</f>
        <v>25506</v>
      </c>
      <c r="L60" s="18">
        <f>IFERROR('Data Sheet'!K67,0)</f>
        <v>25521</v>
      </c>
    </row>
    <row r="61" spans="2:13" x14ac:dyDescent="0.3">
      <c r="B61" s="8" t="s">
        <v>41</v>
      </c>
      <c r="C61" s="18">
        <f>IFERROR('Data Sheet'!B68,0)</f>
        <v>157.61000000000001</v>
      </c>
      <c r="D61" s="18">
        <f>IFERROR('Data Sheet'!C68,0)</f>
        <v>264.48</v>
      </c>
      <c r="E61" s="18">
        <f>IFERROR('Data Sheet'!D68,0)</f>
        <v>276</v>
      </c>
      <c r="F61" s="18">
        <f>IFERROR('Data Sheet'!E68,0)</f>
        <v>172</v>
      </c>
      <c r="G61" s="18">
        <f>IFERROR('Data Sheet'!F68,0)</f>
        <v>91</v>
      </c>
      <c r="H61" s="18">
        <f>IFERROR('Data Sheet'!G68,0)</f>
        <v>91</v>
      </c>
      <c r="I61" s="18">
        <f>IFERROR('Data Sheet'!H68,0)</f>
        <v>94</v>
      </c>
      <c r="J61" s="18">
        <f>IFERROR('Data Sheet'!I68,0)</f>
        <v>161</v>
      </c>
      <c r="K61" s="18">
        <f>IFERROR('Data Sheet'!J68,0)</f>
        <v>228</v>
      </c>
      <c r="L61" s="18">
        <f>IFERROR('Data Sheet'!K68,0)</f>
        <v>185</v>
      </c>
    </row>
    <row r="62" spans="2:13" x14ac:dyDescent="0.3">
      <c r="B62" s="3" t="s">
        <v>42</v>
      </c>
      <c r="C62" s="18">
        <f>IFERROR('Data Sheet'!B69,0)</f>
        <v>9786.23</v>
      </c>
      <c r="D62" s="18">
        <f>IFERROR('Data Sheet'!C69,0)</f>
        <v>9334.6</v>
      </c>
      <c r="E62" s="18">
        <f>IFERROR('Data Sheet'!D69,0)</f>
        <v>9044</v>
      </c>
      <c r="F62" s="18">
        <f>IFERROR('Data Sheet'!E69,0)</f>
        <v>4018</v>
      </c>
      <c r="G62" s="18">
        <f>IFERROR('Data Sheet'!F69,0)</f>
        <v>7872</v>
      </c>
      <c r="H62" s="18">
        <f>IFERROR('Data Sheet'!G69,0)</f>
        <v>4976</v>
      </c>
      <c r="I62" s="18">
        <f>IFERROR('Data Sheet'!H69,0)</f>
        <v>8888</v>
      </c>
      <c r="J62" s="18">
        <f>IFERROR('Data Sheet'!I69,0)</f>
        <v>12636</v>
      </c>
      <c r="K62" s="18">
        <f>IFERROR('Data Sheet'!J69,0)</f>
        <v>14724</v>
      </c>
      <c r="L62" s="18">
        <f>IFERROR('Data Sheet'!K69,0)</f>
        <v>20150</v>
      </c>
    </row>
    <row r="63" spans="2:13" x14ac:dyDescent="0.3">
      <c r="B63" s="28" t="s">
        <v>85</v>
      </c>
      <c r="C63" s="29">
        <f>IFERROR(SUM(C60:C62),0)</f>
        <v>16482.53</v>
      </c>
      <c r="D63" s="29">
        <f t="shared" ref="D63:L63" si="20">IFERROR(SUM(D60:D62),0)</f>
        <v>17320.22</v>
      </c>
      <c r="E63" s="29">
        <f t="shared" si="20"/>
        <v>17621</v>
      </c>
      <c r="F63" s="29">
        <f t="shared" si="20"/>
        <v>13829</v>
      </c>
      <c r="G63" s="29">
        <f t="shared" si="20"/>
        <v>19669</v>
      </c>
      <c r="H63" s="29">
        <f t="shared" si="20"/>
        <v>19198</v>
      </c>
      <c r="I63" s="29">
        <f t="shared" si="20"/>
        <v>26507</v>
      </c>
      <c r="J63" s="29">
        <f t="shared" si="20"/>
        <v>33468</v>
      </c>
      <c r="K63" s="29">
        <f t="shared" si="20"/>
        <v>40458</v>
      </c>
      <c r="L63" s="29">
        <f t="shared" si="20"/>
        <v>45856</v>
      </c>
      <c r="M63" s="29"/>
    </row>
    <row r="65" spans="1:13" x14ac:dyDescent="0.3">
      <c r="B65" s="21" t="s">
        <v>86</v>
      </c>
      <c r="C65" s="18">
        <f>IFERROR(SUM(C63,C57),0)</f>
        <v>35244.67</v>
      </c>
      <c r="D65" s="18">
        <f t="shared" ref="D65:L65" si="21">IFERROR(SUM(D63,D57),0)</f>
        <v>39340.6</v>
      </c>
      <c r="E65" s="18">
        <f t="shared" si="21"/>
        <v>45762</v>
      </c>
      <c r="F65" s="18">
        <f t="shared" si="21"/>
        <v>47989</v>
      </c>
      <c r="G65" s="18">
        <f t="shared" si="21"/>
        <v>58349</v>
      </c>
      <c r="H65" s="18">
        <f t="shared" si="21"/>
        <v>82819</v>
      </c>
      <c r="I65" s="18">
        <f t="shared" si="21"/>
        <v>86047</v>
      </c>
      <c r="J65" s="18">
        <f t="shared" si="21"/>
        <v>88921</v>
      </c>
      <c r="K65" s="18">
        <f t="shared" si="21"/>
        <v>93250</v>
      </c>
      <c r="L65" s="18">
        <f t="shared" si="21"/>
        <v>99006</v>
      </c>
    </row>
    <row r="67" spans="1:13" x14ac:dyDescent="0.3">
      <c r="B67" s="24" t="s">
        <v>87</v>
      </c>
      <c r="C67" s="20" t="b">
        <f>C65=C51</f>
        <v>1</v>
      </c>
      <c r="D67" s="20" t="b">
        <f t="shared" ref="D67:L67" si="22">D65=D51</f>
        <v>1</v>
      </c>
      <c r="E67" s="20" t="b">
        <f t="shared" si="22"/>
        <v>1</v>
      </c>
      <c r="F67" s="20" t="b">
        <f t="shared" si="22"/>
        <v>1</v>
      </c>
      <c r="G67" s="20" t="b">
        <f t="shared" si="22"/>
        <v>1</v>
      </c>
      <c r="H67" s="20" t="b">
        <f t="shared" si="22"/>
        <v>1</v>
      </c>
      <c r="I67" s="20" t="b">
        <f t="shared" si="22"/>
        <v>1</v>
      </c>
      <c r="J67" s="20" t="b">
        <f t="shared" si="22"/>
        <v>1</v>
      </c>
      <c r="K67" s="20" t="b">
        <f t="shared" si="22"/>
        <v>1</v>
      </c>
      <c r="L67" s="20" t="b">
        <f t="shared" si="22"/>
        <v>1</v>
      </c>
    </row>
    <row r="69" spans="1:13" x14ac:dyDescent="0.3">
      <c r="A69" t="s">
        <v>57</v>
      </c>
      <c r="B69" s="22" t="s">
        <v>110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</row>
    <row r="70" spans="1:13" x14ac:dyDescent="0.3">
      <c r="B70" s="21" t="s">
        <v>111</v>
      </c>
    </row>
    <row r="71" spans="1:13" x14ac:dyDescent="0.3">
      <c r="B71" t="s">
        <v>89</v>
      </c>
      <c r="C71" s="18">
        <f>IFERROR('cashflow data'!E4,0)</f>
        <v>15946</v>
      </c>
      <c r="D71" s="18">
        <f>IFERROR('cashflow data'!F4,0)</f>
        <v>17839</v>
      </c>
      <c r="E71" s="18">
        <f>IFERROR('cashflow data'!G4,0)</f>
        <v>19340</v>
      </c>
      <c r="F71" s="18">
        <f>IFERROR('cashflow data'!H4,0)</f>
        <v>19963</v>
      </c>
      <c r="G71" s="18">
        <f>IFERROR('cashflow data'!I4,0)</f>
        <v>22126</v>
      </c>
      <c r="H71" s="18">
        <f>IFERROR('cashflow data'!J4,0)</f>
        <v>23920</v>
      </c>
      <c r="I71" s="18">
        <f>IFERROR('cashflow data'!K4,0)</f>
        <v>28845</v>
      </c>
      <c r="J71" s="18">
        <f>IFERROR('cashflow data'!L4,0)</f>
        <v>32921</v>
      </c>
      <c r="K71" s="18">
        <f>IFERROR('cashflow data'!M4,0)</f>
        <v>37605</v>
      </c>
      <c r="L71" s="18">
        <f>IFERROR('cashflow data'!N4,0)</f>
        <v>39523</v>
      </c>
      <c r="M71" s="18"/>
    </row>
    <row r="72" spans="1:13" x14ac:dyDescent="0.3">
      <c r="B72" t="s">
        <v>40</v>
      </c>
      <c r="C72" s="18">
        <f>IFERROR('cashflow data'!E5,0)</f>
        <v>-1475</v>
      </c>
      <c r="D72" s="18">
        <f>IFERROR('cashflow data'!F5,0)</f>
        <v>-1654</v>
      </c>
      <c r="E72" s="18">
        <f>IFERROR('cashflow data'!G5,0)</f>
        <v>-1743</v>
      </c>
      <c r="F72" s="18">
        <f>IFERROR('cashflow data'!H5,0)</f>
        <v>-1523</v>
      </c>
      <c r="G72" s="18">
        <f>IFERROR('cashflow data'!I5,0)</f>
        <v>-2881</v>
      </c>
      <c r="H72" s="18">
        <f>IFERROR('cashflow data'!J5,0)</f>
        <v>-3861</v>
      </c>
      <c r="I72" s="18">
        <f>IFERROR('cashflow data'!K5,0)</f>
        <v>-1835</v>
      </c>
      <c r="J72" s="18">
        <f>IFERROR('cashflow data'!L5,0)</f>
        <v>-7937</v>
      </c>
      <c r="K72" s="18">
        <f>IFERROR('cashflow data'!M5,0)</f>
        <v>-7076</v>
      </c>
      <c r="L72" s="18">
        <f>IFERROR('cashflow data'!N5,0)</f>
        <v>-2667</v>
      </c>
      <c r="M72" s="18"/>
    </row>
    <row r="73" spans="1:13" x14ac:dyDescent="0.3">
      <c r="B73" t="s">
        <v>90</v>
      </c>
      <c r="C73" s="18">
        <f>IFERROR('cashflow data'!E6,0)</f>
        <v>0</v>
      </c>
      <c r="D73" s="18">
        <f>IFERROR('cashflow data'!F6,0)</f>
        <v>242</v>
      </c>
      <c r="E73" s="18">
        <f>IFERROR('cashflow data'!G6,0)</f>
        <v>-19</v>
      </c>
      <c r="F73" s="18">
        <f>IFERROR('cashflow data'!H6,0)</f>
        <v>328</v>
      </c>
      <c r="G73" s="18">
        <f>IFERROR('cashflow data'!I6,0)</f>
        <v>916</v>
      </c>
      <c r="H73" s="18">
        <f>IFERROR('cashflow data'!J6,0)</f>
        <v>-373</v>
      </c>
      <c r="I73" s="18">
        <f>IFERROR('cashflow data'!K6,0)</f>
        <v>-245</v>
      </c>
      <c r="J73" s="18">
        <f>IFERROR('cashflow data'!L6,0)</f>
        <v>1489</v>
      </c>
      <c r="K73" s="18">
        <f>IFERROR('cashflow data'!M6,0)</f>
        <v>-279</v>
      </c>
      <c r="L73" s="18">
        <f>IFERROR('cashflow data'!N6,0)</f>
        <v>91</v>
      </c>
      <c r="M73" s="18"/>
    </row>
    <row r="74" spans="1:13" x14ac:dyDescent="0.3">
      <c r="B74" t="s">
        <v>91</v>
      </c>
      <c r="C74" s="18">
        <f>IFERROR('cashflow data'!E7,0)</f>
        <v>-221</v>
      </c>
      <c r="D74" s="18">
        <f>IFERROR('cashflow data'!F7,0)</f>
        <v>-1134</v>
      </c>
      <c r="E74" s="18">
        <f>IFERROR('cashflow data'!G7,0)</f>
        <v>0</v>
      </c>
      <c r="F74" s="18">
        <f>IFERROR('cashflow data'!H7,0)</f>
        <v>0</v>
      </c>
      <c r="G74" s="18">
        <f>IFERROR('cashflow data'!I7,0)</f>
        <v>0</v>
      </c>
      <c r="H74" s="18">
        <f>IFERROR('cashflow data'!J7,0)</f>
        <v>0</v>
      </c>
      <c r="I74" s="18">
        <f>IFERROR('cashflow data'!K7,0)</f>
        <v>0</v>
      </c>
      <c r="J74" s="18">
        <f>IFERROR('cashflow data'!L7,0)</f>
        <v>-1914</v>
      </c>
      <c r="K74" s="18">
        <f>IFERROR('cashflow data'!M7,0)</f>
        <v>-3108</v>
      </c>
      <c r="L74" s="18">
        <f>IFERROR('cashflow data'!N7,0)</f>
        <v>-1172</v>
      </c>
      <c r="M74" s="18"/>
    </row>
    <row r="75" spans="1:13" x14ac:dyDescent="0.3">
      <c r="B75" t="s">
        <v>92</v>
      </c>
      <c r="C75" s="18">
        <f>IFERROR('cashflow data'!E8,0)</f>
        <v>854</v>
      </c>
      <c r="D75" s="18">
        <f>IFERROR('cashflow data'!F8,0)</f>
        <v>600</v>
      </c>
      <c r="E75" s="18">
        <f>IFERROR('cashflow data'!G8,0)</f>
        <v>-394</v>
      </c>
      <c r="F75" s="18">
        <f>IFERROR('cashflow data'!H8,0)</f>
        <v>1279</v>
      </c>
      <c r="G75" s="18">
        <f>IFERROR('cashflow data'!I8,0)</f>
        <v>1512</v>
      </c>
      <c r="H75" s="18">
        <f>IFERROR('cashflow data'!J8,0)</f>
        <v>1867</v>
      </c>
      <c r="I75" s="18">
        <f>IFERROR('cashflow data'!K8,0)</f>
        <v>2848</v>
      </c>
      <c r="J75" s="18">
        <f>IFERROR('cashflow data'!L8,0)</f>
        <v>6938</v>
      </c>
      <c r="K75" s="18">
        <f>IFERROR('cashflow data'!M8,0)</f>
        <v>4119</v>
      </c>
      <c r="L75" s="18">
        <f>IFERROR('cashflow data'!N8,0)</f>
        <v>-1334</v>
      </c>
      <c r="M75" s="18"/>
    </row>
    <row r="76" spans="1:13" x14ac:dyDescent="0.3">
      <c r="B76" t="s">
        <v>93</v>
      </c>
      <c r="C76" s="18">
        <f>IFERROR('cashflow data'!E9,0)</f>
        <v>-842</v>
      </c>
      <c r="D76" s="18">
        <f>IFERROR('cashflow data'!F9,0)</f>
        <v>-1946</v>
      </c>
      <c r="E76" s="18">
        <f>IFERROR('cashflow data'!G9,0)</f>
        <v>-2156</v>
      </c>
      <c r="F76" s="18">
        <f>IFERROR('cashflow data'!H9,0)</f>
        <v>84</v>
      </c>
      <c r="G76" s="18">
        <f>IFERROR('cashflow data'!I9,0)</f>
        <v>-453</v>
      </c>
      <c r="H76" s="18">
        <f>IFERROR('cashflow data'!J9,0)</f>
        <v>-2367</v>
      </c>
      <c r="I76" s="18">
        <f>IFERROR('cashflow data'!K9,0)</f>
        <v>768</v>
      </c>
      <c r="J76" s="18">
        <f>IFERROR('cashflow data'!L9,0)</f>
        <v>-1424</v>
      </c>
      <c r="K76" s="18">
        <f>IFERROR('cashflow data'!M9,0)</f>
        <v>-6344</v>
      </c>
      <c r="L76" s="18">
        <f>IFERROR('cashflow data'!N9,0)</f>
        <v>-5082</v>
      </c>
      <c r="M76" s="18"/>
    </row>
    <row r="77" spans="1:13" x14ac:dyDescent="0.3">
      <c r="B77" t="s">
        <v>94</v>
      </c>
      <c r="C77" s="18">
        <f>IFERROR('cashflow data'!E10,0)</f>
        <v>-6751</v>
      </c>
      <c r="D77" s="18">
        <f>IFERROR('cashflow data'!F10,0)</f>
        <v>-5865</v>
      </c>
      <c r="E77" s="18">
        <f>IFERROR('cashflow data'!G10,0)</f>
        <v>-5653</v>
      </c>
      <c r="F77" s="18">
        <f>IFERROR('cashflow data'!H10,0)</f>
        <v>-6829</v>
      </c>
      <c r="G77" s="18">
        <f>IFERROR('cashflow data'!I10,0)</f>
        <v>-6832</v>
      </c>
      <c r="H77" s="18">
        <f>IFERROR('cashflow data'!J10,0)</f>
        <v>-4550</v>
      </c>
      <c r="I77" s="18">
        <f>IFERROR('cashflow data'!K10,0)</f>
        <v>-6389</v>
      </c>
      <c r="J77" s="18">
        <f>IFERROR('cashflow data'!L10,0)</f>
        <v>-7612</v>
      </c>
      <c r="K77" s="18">
        <f>IFERROR('cashflow data'!M10,0)</f>
        <v>-8794</v>
      </c>
      <c r="L77" s="18">
        <f>IFERROR('cashflow data'!N10,0)</f>
        <v>-9231</v>
      </c>
      <c r="M77" s="18"/>
    </row>
    <row r="78" spans="1:13" x14ac:dyDescent="0.3">
      <c r="B78" s="21" t="s">
        <v>112</v>
      </c>
      <c r="C78" s="18">
        <f>SUM(C71:C77)</f>
        <v>7511</v>
      </c>
      <c r="D78" s="18">
        <f t="shared" ref="D78:L78" si="23">SUM(D71:D77)</f>
        <v>8082</v>
      </c>
      <c r="E78" s="18">
        <f t="shared" si="23"/>
        <v>9375</v>
      </c>
      <c r="F78" s="18">
        <f t="shared" si="23"/>
        <v>13302</v>
      </c>
      <c r="G78" s="18">
        <f t="shared" si="23"/>
        <v>14388</v>
      </c>
      <c r="H78" s="18">
        <f t="shared" si="23"/>
        <v>14636</v>
      </c>
      <c r="I78" s="18">
        <f t="shared" si="23"/>
        <v>23992</v>
      </c>
      <c r="J78" s="18">
        <f t="shared" si="23"/>
        <v>22461</v>
      </c>
      <c r="K78" s="18">
        <f t="shared" si="23"/>
        <v>16123</v>
      </c>
      <c r="L78" s="18">
        <f t="shared" si="23"/>
        <v>20128</v>
      </c>
    </row>
    <row r="80" spans="1:13" x14ac:dyDescent="0.3">
      <c r="B80" s="21" t="s">
        <v>113</v>
      </c>
    </row>
    <row r="81" spans="2:12" x14ac:dyDescent="0.3">
      <c r="B81" t="s">
        <v>96</v>
      </c>
      <c r="C81" s="18">
        <f>IFERROR('cashflow data'!E12,0)</f>
        <v>-2247</v>
      </c>
      <c r="D81" s="18">
        <f>IFERROR('cashflow data'!F12,0)</f>
        <v>-2723</v>
      </c>
      <c r="E81" s="18">
        <f>IFERROR('cashflow data'!G12,0)</f>
        <v>-2760</v>
      </c>
      <c r="F81" s="18">
        <f>IFERROR('cashflow data'!H12,0)</f>
        <v>-1998</v>
      </c>
      <c r="G81" s="18">
        <f>IFERROR('cashflow data'!I12,0)</f>
        <v>-2445</v>
      </c>
      <c r="H81" s="18">
        <f>IFERROR('cashflow data'!J12,0)</f>
        <v>-3307</v>
      </c>
      <c r="I81" s="18">
        <f>IFERROR('cashflow data'!K12,0)</f>
        <v>-2107</v>
      </c>
      <c r="J81" s="18">
        <f>IFERROR('cashflow data'!L12,0)</f>
        <v>-2161</v>
      </c>
      <c r="K81" s="18">
        <f>IFERROR('cashflow data'!M12,0)</f>
        <v>-2579</v>
      </c>
      <c r="L81" s="18">
        <f>IFERROR('cashflow data'!N12,0)</f>
        <v>-2201</v>
      </c>
    </row>
    <row r="82" spans="2:12" x14ac:dyDescent="0.3">
      <c r="B82" t="s">
        <v>97</v>
      </c>
      <c r="C82" s="18">
        <f>IFERROR('cashflow data'!E13,0)</f>
        <v>0</v>
      </c>
      <c r="D82" s="18">
        <f>IFERROR('cashflow data'!F13,0)</f>
        <v>0</v>
      </c>
      <c r="E82" s="18">
        <f>IFERROR('cashflow data'!G13,0)</f>
        <v>0</v>
      </c>
      <c r="F82" s="18">
        <f>IFERROR('cashflow data'!H13,0)</f>
        <v>0</v>
      </c>
      <c r="G82" s="18">
        <f>IFERROR('cashflow data'!I13,0)</f>
        <v>0</v>
      </c>
      <c r="H82" s="18">
        <f>IFERROR('cashflow data'!J13,0)</f>
        <v>0</v>
      </c>
      <c r="I82" s="18">
        <f>IFERROR('cashflow data'!K13,0)</f>
        <v>0</v>
      </c>
      <c r="J82" s="18">
        <f>IFERROR('cashflow data'!L13,0)</f>
        <v>0</v>
      </c>
      <c r="K82" s="18">
        <f>IFERROR('cashflow data'!M13,0)</f>
        <v>0</v>
      </c>
      <c r="L82" s="18">
        <f>IFERROR('cashflow data'!N13,0)</f>
        <v>0</v>
      </c>
    </row>
    <row r="83" spans="2:12" x14ac:dyDescent="0.3">
      <c r="B83" t="s">
        <v>98</v>
      </c>
      <c r="C83" s="18">
        <f>IFERROR('cashflow data'!E14,0)</f>
        <v>-23923</v>
      </c>
      <c r="D83" s="18">
        <f>IFERROR('cashflow data'!F14,0)</f>
        <v>-24577</v>
      </c>
      <c r="E83" s="18">
        <f>IFERROR('cashflow data'!G14,0)</f>
        <v>-66410</v>
      </c>
      <c r="F83" s="18">
        <f>IFERROR('cashflow data'!H14,0)</f>
        <v>-69159</v>
      </c>
      <c r="G83" s="18">
        <f>IFERROR('cashflow data'!I14,0)</f>
        <v>-79410</v>
      </c>
      <c r="H83" s="18">
        <f>IFERROR('cashflow data'!J14,0)</f>
        <v>-37482</v>
      </c>
      <c r="I83" s="18">
        <f>IFERROR('cashflow data'!K14,0)</f>
        <v>-46738</v>
      </c>
      <c r="J83" s="18">
        <f>IFERROR('cashflow data'!L14,0)</f>
        <v>-59951</v>
      </c>
      <c r="K83" s="18">
        <f>IFERROR('cashflow data'!M14,0)</f>
        <v>-75800</v>
      </c>
      <c r="L83" s="18">
        <f>IFERROR('cashflow data'!N14,0)</f>
        <v>-78092</v>
      </c>
    </row>
    <row r="84" spans="2:12" x14ac:dyDescent="0.3">
      <c r="B84" t="s">
        <v>99</v>
      </c>
      <c r="C84" s="18">
        <f>IFERROR('cashflow data'!E15,0)</f>
        <v>25253</v>
      </c>
      <c r="D84" s="18">
        <f>IFERROR('cashflow data'!F15,0)</f>
        <v>24980</v>
      </c>
      <c r="E84" s="18">
        <f>IFERROR('cashflow data'!G15,0)</f>
        <v>52048</v>
      </c>
      <c r="F84" s="18">
        <f>IFERROR('cashflow data'!H15,0)</f>
        <v>74003</v>
      </c>
      <c r="G84" s="18">
        <f>IFERROR('cashflow data'!I15,0)</f>
        <v>78098</v>
      </c>
      <c r="H84" s="18">
        <f>IFERROR('cashflow data'!J15,0)</f>
        <v>38861</v>
      </c>
      <c r="I84" s="18">
        <f>IFERROR('cashflow data'!K15,0)</f>
        <v>40381</v>
      </c>
      <c r="J84" s="18">
        <f>IFERROR('cashflow data'!L15,0)</f>
        <v>57356</v>
      </c>
      <c r="K84" s="18">
        <f>IFERROR('cashflow data'!M15,0)</f>
        <v>76722</v>
      </c>
      <c r="L84" s="18">
        <f>IFERROR('cashflow data'!N15,0)</f>
        <v>72930</v>
      </c>
    </row>
    <row r="85" spans="2:12" x14ac:dyDescent="0.3">
      <c r="B85" t="s">
        <v>100</v>
      </c>
      <c r="C85" s="18">
        <f>IFERROR('cashflow data'!E16,0)</f>
        <v>2551</v>
      </c>
      <c r="D85" s="18">
        <f>IFERROR('cashflow data'!F16,0)</f>
        <v>2383</v>
      </c>
      <c r="E85" s="18">
        <f>IFERROR('cashflow data'!G16,0)</f>
        <v>0</v>
      </c>
      <c r="F85" s="18">
        <f>IFERROR('cashflow data'!H16,0)</f>
        <v>0</v>
      </c>
      <c r="G85" s="18">
        <f>IFERROR('cashflow data'!I16,0)</f>
        <v>0</v>
      </c>
      <c r="H85" s="18">
        <f>IFERROR('cashflow data'!J16,0)</f>
        <v>0</v>
      </c>
      <c r="I85" s="18">
        <f>IFERROR('cashflow data'!K16,0)</f>
        <v>0</v>
      </c>
      <c r="J85" s="18">
        <f>IFERROR('cashflow data'!L16,0)</f>
        <v>0</v>
      </c>
      <c r="K85" s="18">
        <f>IFERROR('cashflow data'!M16,0)</f>
        <v>0</v>
      </c>
      <c r="L85" s="18">
        <f>IFERROR('cashflow data'!N16,0)</f>
        <v>0</v>
      </c>
    </row>
    <row r="86" spans="2:12" x14ac:dyDescent="0.3">
      <c r="B86" t="s">
        <v>101</v>
      </c>
      <c r="C86" s="18">
        <f>IFERROR('cashflow data'!E17,0)</f>
        <v>0</v>
      </c>
      <c r="D86" s="18">
        <f>IFERROR('cashflow data'!F17,0)</f>
        <v>0</v>
      </c>
      <c r="E86" s="18">
        <f>IFERROR('cashflow data'!G17,0)</f>
        <v>2753</v>
      </c>
      <c r="F86" s="18">
        <f>IFERROR('cashflow data'!H17,0)</f>
        <v>1768</v>
      </c>
      <c r="G86" s="18">
        <f>IFERROR('cashflow data'!I17,0)</f>
        <v>1557</v>
      </c>
      <c r="H86" s="18">
        <f>IFERROR('cashflow data'!J17,0)</f>
        <v>1929</v>
      </c>
      <c r="I86" s="18">
        <f>IFERROR('cashflow data'!K17,0)</f>
        <v>1418</v>
      </c>
      <c r="J86" s="18">
        <f>IFERROR('cashflow data'!L17,0)</f>
        <v>1898</v>
      </c>
      <c r="K86" s="18">
        <f>IFERROR('cashflow data'!M17,0)</f>
        <v>1525</v>
      </c>
      <c r="L86" s="18">
        <f>IFERROR('cashflow data'!N17,0)</f>
        <v>1768</v>
      </c>
    </row>
    <row r="87" spans="2:12" x14ac:dyDescent="0.3">
      <c r="B87" t="s">
        <v>102</v>
      </c>
      <c r="C87" s="18">
        <f>IFERROR('cashflow data'!E18,0)</f>
        <v>-1376</v>
      </c>
      <c r="D87" s="18">
        <f>IFERROR('cashflow data'!F18,0)</f>
        <v>-747</v>
      </c>
      <c r="E87" s="18">
        <f>IFERROR('cashflow data'!G18,0)</f>
        <v>0</v>
      </c>
      <c r="F87" s="18">
        <f>IFERROR('cashflow data'!H18,0)</f>
        <v>0</v>
      </c>
      <c r="G87" s="18">
        <f>IFERROR('cashflow data'!I18,0)</f>
        <v>0</v>
      </c>
      <c r="H87" s="18">
        <f>IFERROR('cashflow data'!J18,0)</f>
        <v>0</v>
      </c>
      <c r="I87" s="18">
        <f>IFERROR('cashflow data'!K18,0)</f>
        <v>0</v>
      </c>
      <c r="J87" s="18">
        <f>IFERROR('cashflow data'!L18,0)</f>
        <v>0</v>
      </c>
      <c r="K87" s="18">
        <f>IFERROR('cashflow data'!M18,0)</f>
        <v>0</v>
      </c>
      <c r="L87" s="18">
        <f>IFERROR('cashflow data'!N18,0)</f>
        <v>0</v>
      </c>
    </row>
    <row r="88" spans="2:12" x14ac:dyDescent="0.3">
      <c r="B88" t="s">
        <v>103</v>
      </c>
      <c r="C88" s="18">
        <f>IFERROR('cashflow data'!E19,0)</f>
        <v>0</v>
      </c>
      <c r="D88" s="18">
        <f>IFERROR('cashflow data'!F19,0)</f>
        <v>-142</v>
      </c>
      <c r="E88" s="18">
        <f>IFERROR('cashflow data'!G19,0)</f>
        <v>-164</v>
      </c>
      <c r="F88" s="18">
        <f>IFERROR('cashflow data'!H19,0)</f>
        <v>-130</v>
      </c>
      <c r="G88" s="18">
        <f>IFERROR('cashflow data'!I19,0)</f>
        <v>-24</v>
      </c>
      <c r="H88" s="18">
        <f>IFERROR('cashflow data'!J19,0)</f>
        <v>-108</v>
      </c>
      <c r="I88" s="18">
        <f>IFERROR('cashflow data'!K19,0)</f>
        <v>-207</v>
      </c>
      <c r="J88" s="18">
        <f>IFERROR('cashflow data'!L19,0)</f>
        <v>0</v>
      </c>
      <c r="K88" s="18">
        <f>IFERROR('cashflow data'!M19,0)</f>
        <v>0</v>
      </c>
      <c r="L88" s="18">
        <f>IFERROR('cashflow data'!N19,0)</f>
        <v>0</v>
      </c>
    </row>
    <row r="89" spans="2:12" x14ac:dyDescent="0.3">
      <c r="B89" t="s">
        <v>104</v>
      </c>
      <c r="C89" s="18">
        <f>IFERROR('cashflow data'!E20,0)</f>
        <v>741</v>
      </c>
      <c r="D89" s="18">
        <f>IFERROR('cashflow data'!F20,0)</f>
        <v>-59</v>
      </c>
      <c r="E89" s="18">
        <f>IFERROR('cashflow data'!G20,0)</f>
        <v>-131</v>
      </c>
      <c r="F89" s="18">
        <f>IFERROR('cashflow data'!H20,0)</f>
        <v>49</v>
      </c>
      <c r="G89" s="18">
        <f>IFERROR('cashflow data'!I20,0)</f>
        <v>1592</v>
      </c>
      <c r="H89" s="18">
        <f>IFERROR('cashflow data'!J20,0)</f>
        <v>-224</v>
      </c>
      <c r="I89" s="18">
        <f>IFERROR('cashflow data'!K20,0)</f>
        <v>-120</v>
      </c>
      <c r="J89" s="18">
        <f>IFERROR('cashflow data'!L20,0)</f>
        <v>-3627</v>
      </c>
      <c r="K89" s="18">
        <f>IFERROR('cashflow data'!M20,0)</f>
        <v>-939</v>
      </c>
      <c r="L89" s="18">
        <f>IFERROR('cashflow data'!N20,0)</f>
        <v>502</v>
      </c>
    </row>
    <row r="90" spans="2:12" x14ac:dyDescent="0.3">
      <c r="B90" s="21" t="s">
        <v>114</v>
      </c>
      <c r="C90" s="18">
        <f>SUM(C81:C89)</f>
        <v>999</v>
      </c>
      <c r="D90" s="18">
        <f t="shared" ref="D90:L90" si="24">SUM(D81:D89)</f>
        <v>-885</v>
      </c>
      <c r="E90" s="18">
        <f t="shared" si="24"/>
        <v>-14664</v>
      </c>
      <c r="F90" s="18">
        <f t="shared" si="24"/>
        <v>4533</v>
      </c>
      <c r="G90" s="18">
        <f t="shared" si="24"/>
        <v>-632</v>
      </c>
      <c r="H90" s="18">
        <f t="shared" si="24"/>
        <v>-331</v>
      </c>
      <c r="I90" s="18">
        <f t="shared" si="24"/>
        <v>-7373</v>
      </c>
      <c r="J90" s="18">
        <f t="shared" si="24"/>
        <v>-6485</v>
      </c>
      <c r="K90" s="18">
        <f t="shared" si="24"/>
        <v>-1071</v>
      </c>
      <c r="L90" s="18">
        <f t="shared" si="24"/>
        <v>-5093</v>
      </c>
    </row>
    <row r="92" spans="2:12" x14ac:dyDescent="0.3">
      <c r="B92" s="21" t="s">
        <v>115</v>
      </c>
    </row>
    <row r="93" spans="2:12" x14ac:dyDescent="0.3">
      <c r="B93" t="s">
        <v>106</v>
      </c>
      <c r="C93" s="18">
        <f>IFERROR('cashflow data'!E22,0)</f>
        <v>0</v>
      </c>
      <c r="D93" s="18">
        <f>IFERROR('cashflow data'!F22,0)</f>
        <v>0</v>
      </c>
      <c r="E93" s="18">
        <f>IFERROR('cashflow data'!G22,0)</f>
        <v>0</v>
      </c>
      <c r="F93" s="18">
        <f>IFERROR('cashflow data'!H22,0)</f>
        <v>5</v>
      </c>
      <c r="G93" s="18">
        <f>IFERROR('cashflow data'!I22,0)</f>
        <v>6</v>
      </c>
      <c r="H93" s="18">
        <f>IFERROR('cashflow data'!J22,0)</f>
        <v>6</v>
      </c>
      <c r="I93" s="18">
        <f>IFERROR('cashflow data'!K22,0)</f>
        <v>15</v>
      </c>
      <c r="J93" s="18">
        <f>IFERROR('cashflow data'!L22,0)</f>
        <v>21</v>
      </c>
      <c r="K93" s="18">
        <f>IFERROR('cashflow data'!M22,0)</f>
        <v>35</v>
      </c>
      <c r="L93" s="18">
        <f>IFERROR('cashflow data'!N22,0)</f>
        <v>5</v>
      </c>
    </row>
    <row r="94" spans="2:12" x14ac:dyDescent="0.3">
      <c r="B94" t="s">
        <v>107</v>
      </c>
      <c r="C94" s="18">
        <f>IFERROR('cashflow data'!E23,0)</f>
        <v>-4935</v>
      </c>
      <c r="D94" s="18">
        <f>IFERROR('cashflow data'!F23,0)</f>
        <v>-6813</v>
      </c>
      <c r="E94" s="18">
        <f>IFERROR('cashflow data'!G23,0)</f>
        <v>-6939</v>
      </c>
      <c r="F94" s="18">
        <f>IFERROR('cashflow data'!H23,0)</f>
        <v>-7464</v>
      </c>
      <c r="G94" s="18">
        <f>IFERROR('cashflow data'!I23,0)</f>
        <v>-13705</v>
      </c>
      <c r="H94" s="18">
        <f>IFERROR('cashflow data'!J23,0)</f>
        <v>-9548</v>
      </c>
      <c r="I94" s="18">
        <f>IFERROR('cashflow data'!K23,0)</f>
        <v>-9137</v>
      </c>
      <c r="J94" s="18">
        <f>IFERROR('cashflow data'!L23,0)</f>
        <v>-12731</v>
      </c>
      <c r="K94" s="18">
        <f>IFERROR('cashflow data'!M23,0)</f>
        <v>-13653</v>
      </c>
      <c r="L94" s="18">
        <f>IFERROR('cashflow data'!N23,0)</f>
        <v>-14731</v>
      </c>
    </row>
    <row r="95" spans="2:12" x14ac:dyDescent="0.3">
      <c r="B95" t="s">
        <v>108</v>
      </c>
      <c r="C95" s="18">
        <f>IFERROR('cashflow data'!E24,0)</f>
        <v>0</v>
      </c>
      <c r="D95" s="18">
        <f>IFERROR('cashflow data'!F24,0)</f>
        <v>0</v>
      </c>
      <c r="E95" s="18">
        <f>IFERROR('cashflow data'!G24,0)</f>
        <v>0</v>
      </c>
      <c r="F95" s="18">
        <f>IFERROR('cashflow data'!H24,0)</f>
        <v>0</v>
      </c>
      <c r="G95" s="18">
        <f>IFERROR('cashflow data'!I24,0)</f>
        <v>0</v>
      </c>
      <c r="H95" s="18">
        <f>IFERROR('cashflow data'!J24,0)</f>
        <v>-571</v>
      </c>
      <c r="I95" s="18">
        <f>IFERROR('cashflow data'!K24,0)</f>
        <v>-698</v>
      </c>
      <c r="J95" s="18">
        <f>IFERROR('cashflow data'!L24,0)</f>
        <v>-915</v>
      </c>
      <c r="K95" s="18">
        <f>IFERROR('cashflow data'!M24,0)</f>
        <v>-1231</v>
      </c>
      <c r="L95" s="18">
        <f>IFERROR('cashflow data'!N24,0)</f>
        <v>-2024</v>
      </c>
    </row>
    <row r="96" spans="2:12" x14ac:dyDescent="0.3">
      <c r="B96" t="s">
        <v>109</v>
      </c>
      <c r="C96" s="18">
        <f>IFERROR('cashflow data'!E25,0)</f>
        <v>0</v>
      </c>
      <c r="D96" s="18">
        <f>IFERROR('cashflow data'!F25,0)</f>
        <v>0</v>
      </c>
      <c r="E96" s="18">
        <f>IFERROR('cashflow data'!G25,0)</f>
        <v>0</v>
      </c>
      <c r="F96" s="18">
        <f>IFERROR('cashflow data'!H25,0)</f>
        <v>-13046</v>
      </c>
      <c r="G96" s="18">
        <f>IFERROR('cashflow data'!I25,0)</f>
        <v>-813</v>
      </c>
      <c r="H96" s="18">
        <f>IFERROR('cashflow data'!J25,0)</f>
        <v>-7478</v>
      </c>
      <c r="I96" s="18">
        <f>IFERROR('cashflow data'!K25,0)</f>
        <v>34</v>
      </c>
      <c r="J96" s="18">
        <f>IFERROR('cashflow data'!L25,0)</f>
        <v>-11017</v>
      </c>
      <c r="K96" s="18">
        <f>IFERROR('cashflow data'!M25,0)</f>
        <v>-11846</v>
      </c>
      <c r="L96" s="18">
        <f>IFERROR('cashflow data'!N25,0)</f>
        <v>-754</v>
      </c>
    </row>
    <row r="97" spans="2:12" x14ac:dyDescent="0.3">
      <c r="B97" s="21" t="s">
        <v>116</v>
      </c>
      <c r="C97" s="18">
        <f>IFERROR('cashflow data'!E26,0)</f>
        <v>4417</v>
      </c>
      <c r="D97" s="18">
        <f>IFERROR('cashflow data'!F26,0)</f>
        <v>2330</v>
      </c>
      <c r="E97" s="18">
        <f>IFERROR('cashflow data'!G26,0)</f>
        <v>-10072</v>
      </c>
      <c r="F97" s="18">
        <f>IFERROR('cashflow data'!H26,0)</f>
        <v>-2754</v>
      </c>
      <c r="G97" s="18">
        <f>IFERROR('cashflow data'!I26,0)</f>
        <v>-303</v>
      </c>
      <c r="H97" s="18">
        <f>IFERROR('cashflow data'!J26,0)</f>
        <v>-919</v>
      </c>
      <c r="I97" s="18">
        <f>IFERROR('cashflow data'!K26,0)</f>
        <v>6065</v>
      </c>
      <c r="J97" s="18">
        <f>IFERROR('cashflow data'!L26,0)</f>
        <v>-7242</v>
      </c>
      <c r="K97" s="18">
        <f>IFERROR('cashflow data'!M26,0)</f>
        <v>-5299</v>
      </c>
      <c r="L97" s="18">
        <f>IFERROR('cashflow data'!N26,0)</f>
        <v>2613</v>
      </c>
    </row>
    <row r="99" spans="2:12" x14ac:dyDescent="0.3">
      <c r="B99" s="21" t="s">
        <v>117</v>
      </c>
      <c r="C99">
        <f>IFERROR(SUM(C78+C90+C97),0)</f>
        <v>12927</v>
      </c>
      <c r="D99">
        <f t="shared" ref="D99:L99" si="25">IFERROR(SUM(D78+D90+D97),0)</f>
        <v>9527</v>
      </c>
      <c r="E99">
        <f t="shared" si="25"/>
        <v>-15361</v>
      </c>
      <c r="F99">
        <f t="shared" si="25"/>
        <v>15081</v>
      </c>
      <c r="G99">
        <f t="shared" si="25"/>
        <v>13453</v>
      </c>
      <c r="H99">
        <f t="shared" si="25"/>
        <v>13386</v>
      </c>
      <c r="I99">
        <f t="shared" si="25"/>
        <v>22684</v>
      </c>
      <c r="J99">
        <f t="shared" si="25"/>
        <v>8734</v>
      </c>
      <c r="K99">
        <f t="shared" si="25"/>
        <v>9753</v>
      </c>
      <c r="L99">
        <f t="shared" si="25"/>
        <v>17648</v>
      </c>
    </row>
  </sheetData>
  <mergeCells count="1">
    <mergeCell ref="B2:M2"/>
  </mergeCells>
  <pageMargins left="0.7" right="0.7" top="0.75" bottom="0.75" header="0.3" footer="0.3"/>
  <ignoredErrors>
    <ignoredError sqref="M30 M24 M21 M9 M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4610-F238-4E89-955E-2FE4FDF862C3}">
  <dimension ref="B2:N26"/>
  <sheetViews>
    <sheetView workbookViewId="0">
      <selection activeCell="B30" sqref="B30"/>
    </sheetView>
  </sheetViews>
  <sheetFormatPr defaultRowHeight="14.4" x14ac:dyDescent="0.3"/>
  <cols>
    <col min="2" max="2" width="26.5546875" customWidth="1"/>
    <col min="3" max="14" width="10.77734375" customWidth="1"/>
  </cols>
  <sheetData>
    <row r="2" spans="2:14" x14ac:dyDescent="0.3">
      <c r="C2" s="25">
        <v>41334</v>
      </c>
      <c r="D2" s="25">
        <v>41699</v>
      </c>
      <c r="E2" s="25">
        <v>42064</v>
      </c>
      <c r="F2" s="25">
        <v>42430</v>
      </c>
      <c r="G2" s="25">
        <v>42795</v>
      </c>
      <c r="H2" s="25">
        <v>43160</v>
      </c>
      <c r="I2" s="25">
        <v>43525</v>
      </c>
      <c r="J2" s="25">
        <v>43891</v>
      </c>
      <c r="K2" s="25">
        <v>44256</v>
      </c>
      <c r="L2" s="25">
        <v>44621</v>
      </c>
      <c r="M2" s="25">
        <v>44986</v>
      </c>
      <c r="N2" s="25">
        <v>45352</v>
      </c>
    </row>
    <row r="3" spans="2:14" x14ac:dyDescent="0.3">
      <c r="B3" t="s">
        <v>88</v>
      </c>
      <c r="C3" s="26">
        <v>7373</v>
      </c>
      <c r="D3" s="26">
        <v>9825</v>
      </c>
      <c r="E3" s="26">
        <v>8353</v>
      </c>
      <c r="F3" s="26">
        <v>10028</v>
      </c>
      <c r="G3" s="26">
        <v>11531</v>
      </c>
      <c r="H3" s="26">
        <v>13218</v>
      </c>
      <c r="I3" s="26">
        <v>14841</v>
      </c>
      <c r="J3" s="26">
        <v>17003</v>
      </c>
      <c r="K3" s="26">
        <v>23224</v>
      </c>
      <c r="L3" s="26">
        <v>23885</v>
      </c>
      <c r="M3" s="26">
        <v>22467</v>
      </c>
      <c r="N3" s="26">
        <v>25210</v>
      </c>
    </row>
    <row r="4" spans="2:14" x14ac:dyDescent="0.3">
      <c r="B4" t="s">
        <v>89</v>
      </c>
      <c r="C4" s="26">
        <v>11848</v>
      </c>
      <c r="D4" s="26">
        <v>14172</v>
      </c>
      <c r="E4" s="26">
        <v>15946</v>
      </c>
      <c r="F4" s="26">
        <v>17839</v>
      </c>
      <c r="G4" s="26">
        <v>19340</v>
      </c>
      <c r="H4" s="26">
        <v>19963</v>
      </c>
      <c r="I4" s="26">
        <v>22126</v>
      </c>
      <c r="J4" s="26">
        <v>23920</v>
      </c>
      <c r="K4" s="26">
        <v>28845</v>
      </c>
      <c r="L4" s="26">
        <v>32921</v>
      </c>
      <c r="M4" s="26">
        <v>37605</v>
      </c>
      <c r="N4" s="26">
        <v>39523</v>
      </c>
    </row>
    <row r="5" spans="2:14" x14ac:dyDescent="0.3">
      <c r="B5" t="s">
        <v>40</v>
      </c>
      <c r="C5">
        <v>-989</v>
      </c>
      <c r="D5" s="26">
        <v>-1406</v>
      </c>
      <c r="E5" s="26">
        <v>-1475</v>
      </c>
      <c r="F5" s="26">
        <v>-1654</v>
      </c>
      <c r="G5" s="26">
        <v>-1743</v>
      </c>
      <c r="H5" s="26">
        <v>-1523</v>
      </c>
      <c r="I5" s="26">
        <v>-2881</v>
      </c>
      <c r="J5" s="26">
        <v>-3861</v>
      </c>
      <c r="K5" s="26">
        <v>-1835</v>
      </c>
      <c r="L5" s="26">
        <v>-7937</v>
      </c>
      <c r="M5" s="26">
        <v>-7076</v>
      </c>
      <c r="N5" s="26">
        <v>-2667</v>
      </c>
    </row>
    <row r="6" spans="2:14" x14ac:dyDescent="0.3">
      <c r="B6" t="s">
        <v>90</v>
      </c>
      <c r="C6">
        <v>0</v>
      </c>
      <c r="D6">
        <v>0</v>
      </c>
      <c r="E6">
        <v>0</v>
      </c>
      <c r="F6">
        <v>242</v>
      </c>
      <c r="G6">
        <v>-19</v>
      </c>
      <c r="H6">
        <v>328</v>
      </c>
      <c r="I6">
        <v>916</v>
      </c>
      <c r="J6">
        <v>-373</v>
      </c>
      <c r="K6">
        <v>-245</v>
      </c>
      <c r="L6" s="26">
        <v>1489</v>
      </c>
      <c r="M6">
        <v>-279</v>
      </c>
      <c r="N6">
        <v>91</v>
      </c>
    </row>
    <row r="7" spans="2:14" x14ac:dyDescent="0.3">
      <c r="B7" t="s">
        <v>91</v>
      </c>
      <c r="C7" s="26">
        <v>-1138</v>
      </c>
      <c r="D7" s="26">
        <v>-1060</v>
      </c>
      <c r="E7">
        <v>-221</v>
      </c>
      <c r="F7" s="26">
        <v>-1134</v>
      </c>
      <c r="G7">
        <v>0</v>
      </c>
      <c r="H7">
        <v>0</v>
      </c>
      <c r="I7">
        <v>0</v>
      </c>
      <c r="J7">
        <v>0</v>
      </c>
      <c r="K7">
        <v>0</v>
      </c>
      <c r="L7" s="26">
        <v>-1914</v>
      </c>
      <c r="M7" s="26">
        <v>-3108</v>
      </c>
      <c r="N7" s="26">
        <v>-1172</v>
      </c>
    </row>
    <row r="8" spans="2:14" x14ac:dyDescent="0.3">
      <c r="B8" t="s">
        <v>92</v>
      </c>
      <c r="C8">
        <v>945</v>
      </c>
      <c r="D8" s="26">
        <v>1993</v>
      </c>
      <c r="E8">
        <v>854</v>
      </c>
      <c r="F8">
        <v>600</v>
      </c>
      <c r="G8">
        <v>-394</v>
      </c>
      <c r="H8" s="26">
        <v>1279</v>
      </c>
      <c r="I8" s="26">
        <v>1512</v>
      </c>
      <c r="J8" s="26">
        <v>1867</v>
      </c>
      <c r="K8" s="26">
        <v>2848</v>
      </c>
      <c r="L8" s="26">
        <v>6938</v>
      </c>
      <c r="M8" s="26">
        <v>4119</v>
      </c>
      <c r="N8" s="26">
        <v>-1334</v>
      </c>
    </row>
    <row r="9" spans="2:14" x14ac:dyDescent="0.3">
      <c r="B9" t="s">
        <v>93</v>
      </c>
      <c r="C9" s="26">
        <v>-1182</v>
      </c>
      <c r="D9">
        <v>-473</v>
      </c>
      <c r="E9">
        <v>-842</v>
      </c>
      <c r="F9" s="26">
        <v>-1946</v>
      </c>
      <c r="G9" s="26">
        <v>-2156</v>
      </c>
      <c r="H9">
        <v>84</v>
      </c>
      <c r="I9">
        <v>-453</v>
      </c>
      <c r="J9" s="26">
        <v>-2367</v>
      </c>
      <c r="K9">
        <v>768</v>
      </c>
      <c r="L9" s="26">
        <v>-1424</v>
      </c>
      <c r="M9" s="26">
        <v>-6344</v>
      </c>
      <c r="N9" s="26">
        <v>-5082</v>
      </c>
    </row>
    <row r="10" spans="2:14" x14ac:dyDescent="0.3">
      <c r="B10" t="s">
        <v>94</v>
      </c>
      <c r="C10" s="26">
        <v>-3293</v>
      </c>
      <c r="D10" s="26">
        <v>-3874</v>
      </c>
      <c r="E10" s="26">
        <v>-6751</v>
      </c>
      <c r="F10" s="26">
        <v>-5865</v>
      </c>
      <c r="G10" s="26">
        <v>-5653</v>
      </c>
      <c r="H10" s="26">
        <v>-6829</v>
      </c>
      <c r="I10" s="26">
        <v>-6832</v>
      </c>
      <c r="J10" s="26">
        <v>-4550</v>
      </c>
      <c r="K10" s="26">
        <v>-6389</v>
      </c>
      <c r="L10" s="26">
        <v>-7612</v>
      </c>
      <c r="M10" s="26">
        <v>-8794</v>
      </c>
      <c r="N10" s="26">
        <v>-9231</v>
      </c>
    </row>
    <row r="11" spans="2:14" x14ac:dyDescent="0.3">
      <c r="B11" t="s">
        <v>95</v>
      </c>
      <c r="C11" s="26">
        <v>-2922</v>
      </c>
      <c r="D11" s="26">
        <v>-2563</v>
      </c>
      <c r="E11">
        <v>999</v>
      </c>
      <c r="F11">
        <v>-885</v>
      </c>
      <c r="G11" s="26">
        <v>-14664</v>
      </c>
      <c r="H11" s="26">
        <v>4533</v>
      </c>
      <c r="I11">
        <v>-632</v>
      </c>
      <c r="J11">
        <v>-331</v>
      </c>
      <c r="K11" s="26">
        <v>-7373</v>
      </c>
      <c r="L11" s="26">
        <v>-6485</v>
      </c>
      <c r="M11" s="26">
        <v>-1071</v>
      </c>
      <c r="N11" s="26">
        <v>-5093</v>
      </c>
    </row>
    <row r="12" spans="2:14" x14ac:dyDescent="0.3">
      <c r="B12" t="s">
        <v>96</v>
      </c>
      <c r="C12" s="26">
        <v>-2095</v>
      </c>
      <c r="D12" s="26">
        <v>-2748</v>
      </c>
      <c r="E12" s="26">
        <v>-2247</v>
      </c>
      <c r="F12" s="26">
        <v>-2723</v>
      </c>
      <c r="G12" s="26">
        <v>-2760</v>
      </c>
      <c r="H12" s="26">
        <v>-1998</v>
      </c>
      <c r="I12" s="26">
        <v>-2445</v>
      </c>
      <c r="J12" s="26">
        <v>-3307</v>
      </c>
      <c r="K12" s="26">
        <v>-2107</v>
      </c>
      <c r="L12" s="26">
        <v>-2161</v>
      </c>
      <c r="M12" s="26">
        <v>-2579</v>
      </c>
      <c r="N12" s="26">
        <v>-2201</v>
      </c>
    </row>
    <row r="13" spans="2:14" x14ac:dyDescent="0.3">
      <c r="B13" t="s">
        <v>97</v>
      </c>
      <c r="C13">
        <v>6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4" x14ac:dyDescent="0.3">
      <c r="B14" t="s">
        <v>98</v>
      </c>
      <c r="C14" s="26">
        <v>-22380</v>
      </c>
      <c r="D14" s="26">
        <v>-25046</v>
      </c>
      <c r="E14" s="26">
        <v>-23923</v>
      </c>
      <c r="F14" s="26">
        <v>-24577</v>
      </c>
      <c r="G14" s="26">
        <v>-66410</v>
      </c>
      <c r="H14" s="26">
        <v>-69159</v>
      </c>
      <c r="I14" s="26">
        <v>-79410</v>
      </c>
      <c r="J14" s="26">
        <v>-37482</v>
      </c>
      <c r="K14" s="26">
        <v>-46738</v>
      </c>
      <c r="L14" s="26">
        <v>-59951</v>
      </c>
      <c r="M14" s="26">
        <v>-75800</v>
      </c>
      <c r="N14" s="26">
        <v>-78092</v>
      </c>
    </row>
    <row r="15" spans="2:14" x14ac:dyDescent="0.3">
      <c r="B15" t="s">
        <v>99</v>
      </c>
      <c r="C15" s="26">
        <v>20300</v>
      </c>
      <c r="D15" s="26">
        <v>22385</v>
      </c>
      <c r="E15" s="26">
        <v>25253</v>
      </c>
      <c r="F15" s="26">
        <v>24980</v>
      </c>
      <c r="G15" s="26">
        <v>52048</v>
      </c>
      <c r="H15" s="26">
        <v>74003</v>
      </c>
      <c r="I15" s="26">
        <v>78098</v>
      </c>
      <c r="J15" s="26">
        <v>38861</v>
      </c>
      <c r="K15" s="26">
        <v>40381</v>
      </c>
      <c r="L15" s="26">
        <v>57356</v>
      </c>
      <c r="M15" s="26">
        <v>76722</v>
      </c>
      <c r="N15" s="26">
        <v>72930</v>
      </c>
    </row>
    <row r="16" spans="2:14" x14ac:dyDescent="0.3">
      <c r="B16" t="s">
        <v>100</v>
      </c>
      <c r="C16" s="26">
        <v>1970</v>
      </c>
      <c r="D16" s="26">
        <v>2379</v>
      </c>
      <c r="E16" s="26">
        <v>2551</v>
      </c>
      <c r="F16" s="26">
        <v>2383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2:14" x14ac:dyDescent="0.3">
      <c r="B17" t="s">
        <v>101</v>
      </c>
      <c r="C17">
        <v>0</v>
      </c>
      <c r="D17">
        <v>0</v>
      </c>
      <c r="E17">
        <v>0</v>
      </c>
      <c r="F17">
        <v>0</v>
      </c>
      <c r="G17" s="26">
        <v>2753</v>
      </c>
      <c r="H17" s="26">
        <v>1768</v>
      </c>
      <c r="I17" s="26">
        <v>1557</v>
      </c>
      <c r="J17" s="26">
        <v>1929</v>
      </c>
      <c r="K17" s="26">
        <v>1418</v>
      </c>
      <c r="L17" s="26">
        <v>1898</v>
      </c>
      <c r="M17" s="26">
        <v>1525</v>
      </c>
      <c r="N17" s="26">
        <v>1768</v>
      </c>
    </row>
    <row r="18" spans="2:14" x14ac:dyDescent="0.3">
      <c r="B18" t="s">
        <v>102</v>
      </c>
      <c r="C18">
        <v>0</v>
      </c>
      <c r="D18">
        <v>0</v>
      </c>
      <c r="E18" s="26">
        <v>-1376</v>
      </c>
      <c r="F18">
        <v>-747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3">
      <c r="B19" t="s">
        <v>103</v>
      </c>
      <c r="C19">
        <v>0</v>
      </c>
      <c r="D19">
        <v>0</v>
      </c>
      <c r="E19">
        <v>0</v>
      </c>
      <c r="F19">
        <v>-142</v>
      </c>
      <c r="G19">
        <v>-164</v>
      </c>
      <c r="H19">
        <v>-130</v>
      </c>
      <c r="I19">
        <v>-24</v>
      </c>
      <c r="J19">
        <v>-108</v>
      </c>
      <c r="K19">
        <v>-207</v>
      </c>
      <c r="L19">
        <v>0</v>
      </c>
      <c r="M19">
        <v>0</v>
      </c>
      <c r="N19">
        <v>0</v>
      </c>
    </row>
    <row r="20" spans="2:14" x14ac:dyDescent="0.3">
      <c r="B20" t="s">
        <v>104</v>
      </c>
      <c r="C20">
        <v>-723</v>
      </c>
      <c r="D20">
        <v>464</v>
      </c>
      <c r="E20">
        <v>741</v>
      </c>
      <c r="F20">
        <v>-59</v>
      </c>
      <c r="G20">
        <v>-131</v>
      </c>
      <c r="H20">
        <v>49</v>
      </c>
      <c r="I20" s="26">
        <v>1592</v>
      </c>
      <c r="J20">
        <v>-224</v>
      </c>
      <c r="K20">
        <v>-120</v>
      </c>
      <c r="L20" s="26">
        <v>-3627</v>
      </c>
      <c r="M20">
        <v>-939</v>
      </c>
      <c r="N20">
        <v>502</v>
      </c>
    </row>
    <row r="21" spans="2:14" x14ac:dyDescent="0.3">
      <c r="B21" t="s">
        <v>105</v>
      </c>
      <c r="C21" s="26">
        <v>-3210</v>
      </c>
      <c r="D21" s="26">
        <v>-3144</v>
      </c>
      <c r="E21" s="26">
        <v>-4935</v>
      </c>
      <c r="F21" s="26">
        <v>-6813</v>
      </c>
      <c r="G21" s="26">
        <v>-6939</v>
      </c>
      <c r="H21" s="26">
        <v>-20505</v>
      </c>
      <c r="I21" s="26">
        <v>-14512</v>
      </c>
      <c r="J21" s="26">
        <v>-17591</v>
      </c>
      <c r="K21" s="26">
        <v>-9786</v>
      </c>
      <c r="L21" s="26">
        <v>-24642</v>
      </c>
      <c r="M21" s="26">
        <v>-26695</v>
      </c>
      <c r="N21" s="26">
        <v>-17504</v>
      </c>
    </row>
    <row r="22" spans="2:14" x14ac:dyDescent="0.3">
      <c r="B22" t="s">
        <v>106</v>
      </c>
      <c r="C22">
        <v>1</v>
      </c>
      <c r="D22">
        <v>0</v>
      </c>
      <c r="E22">
        <v>0</v>
      </c>
      <c r="F22">
        <v>0</v>
      </c>
      <c r="G22">
        <v>0</v>
      </c>
      <c r="H22">
        <v>5</v>
      </c>
      <c r="I22">
        <v>6</v>
      </c>
      <c r="J22">
        <v>6</v>
      </c>
      <c r="K22">
        <v>15</v>
      </c>
      <c r="L22">
        <v>21</v>
      </c>
      <c r="M22">
        <v>35</v>
      </c>
      <c r="N22">
        <v>5</v>
      </c>
    </row>
    <row r="23" spans="2:14" x14ac:dyDescent="0.3">
      <c r="B23" t="s">
        <v>107</v>
      </c>
      <c r="C23" s="26">
        <v>-2684</v>
      </c>
      <c r="D23" s="26">
        <v>-3144</v>
      </c>
      <c r="E23" s="26">
        <v>-4935</v>
      </c>
      <c r="F23" s="26">
        <v>-6813</v>
      </c>
      <c r="G23" s="26">
        <v>-6939</v>
      </c>
      <c r="H23" s="26">
        <v>-7464</v>
      </c>
      <c r="I23" s="26">
        <v>-13705</v>
      </c>
      <c r="J23" s="26">
        <v>-9548</v>
      </c>
      <c r="K23" s="26">
        <v>-9137</v>
      </c>
      <c r="L23" s="26">
        <v>-12731</v>
      </c>
      <c r="M23" s="26">
        <v>-13653</v>
      </c>
      <c r="N23" s="26">
        <v>-14731</v>
      </c>
    </row>
    <row r="24" spans="2:14" x14ac:dyDescent="0.3">
      <c r="B24" t="s">
        <v>108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-571</v>
      </c>
      <c r="K24">
        <v>-698</v>
      </c>
      <c r="L24">
        <v>-915</v>
      </c>
      <c r="M24" s="26">
        <v>-1231</v>
      </c>
      <c r="N24" s="26">
        <v>-2024</v>
      </c>
    </row>
    <row r="25" spans="2:14" x14ac:dyDescent="0.3">
      <c r="B25" t="s">
        <v>109</v>
      </c>
      <c r="C25">
        <v>-527</v>
      </c>
      <c r="D25">
        <v>0</v>
      </c>
      <c r="E25">
        <v>0</v>
      </c>
      <c r="F25">
        <v>0</v>
      </c>
      <c r="G25">
        <v>0</v>
      </c>
      <c r="H25" s="26">
        <v>-13046</v>
      </c>
      <c r="I25">
        <v>-813</v>
      </c>
      <c r="J25" s="26">
        <v>-7478</v>
      </c>
      <c r="K25">
        <v>34</v>
      </c>
      <c r="L25" s="26">
        <v>-11017</v>
      </c>
      <c r="M25" s="26">
        <v>-11846</v>
      </c>
      <c r="N25">
        <v>-754</v>
      </c>
    </row>
    <row r="26" spans="2:14" x14ac:dyDescent="0.3">
      <c r="B26" t="s">
        <v>50</v>
      </c>
      <c r="C26" s="26">
        <v>1241</v>
      </c>
      <c r="D26" s="26">
        <v>4118</v>
      </c>
      <c r="E26" s="26">
        <v>4417</v>
      </c>
      <c r="F26" s="26">
        <v>2330</v>
      </c>
      <c r="G26" s="26">
        <v>-10072</v>
      </c>
      <c r="H26" s="26">
        <v>-2754</v>
      </c>
      <c r="I26">
        <v>-303</v>
      </c>
      <c r="J26">
        <v>-919</v>
      </c>
      <c r="K26" s="26">
        <v>6065</v>
      </c>
      <c r="L26" s="26">
        <v>-7242</v>
      </c>
      <c r="M26" s="26">
        <v>-5299</v>
      </c>
      <c r="N26" s="26">
        <v>2613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DE20-73F4-46BF-81D4-E9DBF218E3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49C5-FB91-403B-852E-AEEE94706C3A}">
  <dimension ref="A2:O40"/>
  <sheetViews>
    <sheetView showGridLines="0" workbookViewId="0">
      <selection activeCell="T7" sqref="T7"/>
    </sheetView>
  </sheetViews>
  <sheetFormatPr defaultRowHeight="14.4" x14ac:dyDescent="0.3"/>
  <cols>
    <col min="1" max="1" width="2.77734375" customWidth="1"/>
    <col min="2" max="2" width="24.77734375" customWidth="1"/>
    <col min="3" max="3" width="12.6640625" customWidth="1"/>
    <col min="4" max="5" width="13.88671875" customWidth="1"/>
    <col min="6" max="6" width="15.109375" customWidth="1"/>
    <col min="7" max="7" width="14.44140625" customWidth="1"/>
    <col min="8" max="8" width="14.88671875" customWidth="1"/>
    <col min="9" max="9" width="14.33203125" customWidth="1"/>
    <col min="10" max="10" width="13.21875" customWidth="1"/>
    <col min="11" max="11" width="14.6640625" customWidth="1"/>
    <col min="12" max="12" width="13.21875" customWidth="1"/>
    <col min="13" max="13" width="16.109375" customWidth="1"/>
    <col min="14" max="14" width="10.77734375" customWidth="1"/>
    <col min="15" max="15" width="10.5546875" customWidth="1"/>
  </cols>
  <sheetData>
    <row r="2" spans="1:15" x14ac:dyDescent="0.3">
      <c r="A2" t="s">
        <v>57</v>
      </c>
      <c r="B2" s="50" t="str">
        <f>"Ratio analysis- "&amp;'Data Sheet'!B1</f>
        <v>Ratio analysis- HCL TECHNOLOGIES LTD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27"/>
      <c r="N2" s="27"/>
      <c r="O2" s="27"/>
    </row>
    <row r="3" spans="1:15" x14ac:dyDescent="0.3">
      <c r="B3" s="10" t="s">
        <v>55</v>
      </c>
      <c r="C3" s="11">
        <f>'Data Sheet'!B16</f>
        <v>42185</v>
      </c>
      <c r="D3" s="11">
        <f>'Data Sheet'!C16</f>
        <v>42460</v>
      </c>
      <c r="E3" s="11">
        <f>'Data Sheet'!D16</f>
        <v>42825</v>
      </c>
      <c r="F3" s="11">
        <f>'Data Sheet'!E16</f>
        <v>43190</v>
      </c>
      <c r="G3" s="11">
        <f>'Data Sheet'!F16</f>
        <v>43555</v>
      </c>
      <c r="H3" s="11">
        <f>'Data Sheet'!G16</f>
        <v>43921</v>
      </c>
      <c r="I3" s="11">
        <f>'Data Sheet'!H16</f>
        <v>44286</v>
      </c>
      <c r="J3" s="11">
        <f>'Data Sheet'!I16</f>
        <v>44651</v>
      </c>
      <c r="K3" s="11">
        <f>'Data Sheet'!J16</f>
        <v>45016</v>
      </c>
      <c r="L3" s="11">
        <f>'Data Sheet'!K16</f>
        <v>45382</v>
      </c>
      <c r="M3" s="11" t="s">
        <v>150</v>
      </c>
      <c r="N3" s="11" t="s">
        <v>148</v>
      </c>
      <c r="O3" s="11" t="s">
        <v>149</v>
      </c>
    </row>
    <row r="5" spans="1:15" x14ac:dyDescent="0.3">
      <c r="B5" s="30" t="s">
        <v>59</v>
      </c>
      <c r="C5" s="31" t="str">
        <f>IFERROR(historicalfs!C7,0)</f>
        <v>-</v>
      </c>
      <c r="D5" s="32">
        <f>IFERROR(historicalfs!D7,0)</f>
        <v>-0.15163746600249262</v>
      </c>
      <c r="E5" s="32">
        <f>IFERROR(historicalfs!E7,0)</f>
        <v>0.52775217321205026</v>
      </c>
      <c r="F5" s="32">
        <f>IFERROR(historicalfs!F7,0)</f>
        <v>6.308863101244544E-2</v>
      </c>
      <c r="G5" s="32">
        <f>IFERROR(historicalfs!G7,0)</f>
        <v>0.19494156499040916</v>
      </c>
      <c r="H5" s="32">
        <f>IFERROR(historicalfs!H7,0)</f>
        <v>0.16960961159746479</v>
      </c>
      <c r="I5" s="32">
        <f>IFERROR(historicalfs!I7,0)</f>
        <v>6.6543098081385477E-2</v>
      </c>
      <c r="J5" s="32">
        <f>IFERROR(historicalfs!J7,0)</f>
        <v>0.13627137531673283</v>
      </c>
      <c r="K5" s="32">
        <f>IFERROR(historicalfs!K7,0)</f>
        <v>0.18452790977338274</v>
      </c>
      <c r="L5" s="32">
        <f>IFERROR(historicalfs!L7,0)</f>
        <v>8.3356331808863038E-2</v>
      </c>
      <c r="N5" s="14">
        <f>IFERROR(AVERAGE(D5:L5),0)</f>
        <v>0.1416059144211379</v>
      </c>
      <c r="O5" s="14">
        <f>IFERROR(MEDIAN(C5:L5),0)</f>
        <v>0.13627137531673283</v>
      </c>
    </row>
    <row r="6" spans="1:15" x14ac:dyDescent="0.3">
      <c r="B6" t="s">
        <v>146</v>
      </c>
      <c r="C6" s="33">
        <f>IFERROR(historicalfs!D12/historicalfs!C12-1,0)</f>
        <v>-0.21479447619759184</v>
      </c>
      <c r="D6" s="33">
        <f>IFERROR(historicalfs!E12/historicalfs!D12-1,0)</f>
        <v>0.49754192601990233</v>
      </c>
      <c r="E6" s="33">
        <f>IFERROR(historicalfs!F12/historicalfs!E12-1,0)</f>
        <v>6.8171288635912264E-2</v>
      </c>
      <c r="F6" s="33">
        <f>IFERROR(historicalfs!G12/historicalfs!F12-1,0)</f>
        <v>0.23588822107937291</v>
      </c>
      <c r="G6" s="33">
        <f>IFERROR(historicalfs!H12/historicalfs!G12-1,0)</f>
        <v>0.15897924395868857</v>
      </c>
      <c r="H6" s="33">
        <f>IFERROR(historicalfs!I12/historicalfs!H12-1,0)</f>
        <v>4.542111865726528E-2</v>
      </c>
      <c r="I6" s="33">
        <f>IFERROR(historicalfs!J12/historicalfs!I12-1,0)</f>
        <v>2.0234203666156247E-2</v>
      </c>
      <c r="J6" s="33">
        <f>IFERROR(historicalfs!K12/historicalfs!J12-1,0)</f>
        <v>0.15773036988968192</v>
      </c>
      <c r="K6" s="33">
        <f>IFERROR(historicalfs!L12/historicalfs!K12-1,0)</f>
        <v>6.5755824137327057E-2</v>
      </c>
      <c r="L6" s="33">
        <f>IFERROR(historicalfs!M12/historicalfs!L12-1,0)</f>
        <v>-0.17605680099927679</v>
      </c>
      <c r="N6" s="14">
        <f t="shared" ref="N6:N9" si="0">IFERROR(AVERAGE(D6:L6),0)</f>
        <v>0.11929615500500329</v>
      </c>
      <c r="O6" s="14">
        <f t="shared" ref="O6:O9" si="1">IFERROR(MEDIAN(C6:L6),0)</f>
        <v>6.696355638661966E-2</v>
      </c>
    </row>
    <row r="7" spans="1:15" x14ac:dyDescent="0.3">
      <c r="B7" t="s">
        <v>121</v>
      </c>
      <c r="C7" s="33">
        <f>IFERROR(historicalfs!D18/historicalfs!C18-1,0)</f>
        <v>-0.24590746966218446</v>
      </c>
      <c r="D7" s="33">
        <f>IFERROR(historicalfs!E18/historicalfs!D18-1,0)</f>
        <v>0.52292957011388319</v>
      </c>
      <c r="E7" s="33">
        <f>IFERROR(historicalfs!F18/historicalfs!E18-1,0)</f>
        <v>0.12458723784024994</v>
      </c>
      <c r="F7" s="33">
        <f>IFERROR(historicalfs!G18/historicalfs!F18-1,0)</f>
        <v>0.23974287754940082</v>
      </c>
      <c r="G7" s="33">
        <f>IFERROR(historicalfs!H18/historicalfs!G18-1,0)</f>
        <v>0.20675969786198944</v>
      </c>
      <c r="H7" s="33">
        <f>IFERROR(historicalfs!I18/historicalfs!H18-1,0)</f>
        <v>0.15335242945045624</v>
      </c>
      <c r="I7" s="33">
        <f>IFERROR(historicalfs!J18/historicalfs!I18-1,0)</f>
        <v>8.8304281837832121E-3</v>
      </c>
      <c r="J7" s="33">
        <f>IFERROR(historicalfs!K18/historicalfs!J18-1,0)</f>
        <v>0.1229997720537952</v>
      </c>
      <c r="K7" s="33">
        <f>IFERROR(historicalfs!L18/historicalfs!K18-1,0)</f>
        <v>5.5291681890147437E-2</v>
      </c>
      <c r="L7" s="33">
        <f>IFERROR(historicalfs!M18/historicalfs!L18-1,0)</f>
        <v>-3.5737641854202695E-2</v>
      </c>
      <c r="N7" s="14">
        <f t="shared" si="0"/>
        <v>0.15541733923216697</v>
      </c>
      <c r="O7" s="14">
        <f t="shared" si="1"/>
        <v>0.12379350494702257</v>
      </c>
    </row>
    <row r="8" spans="1:15" x14ac:dyDescent="0.3">
      <c r="B8" t="s">
        <v>122</v>
      </c>
      <c r="C8" s="33">
        <f>IFERROR(historicalfs!D33/historicalfs!C33-1,0)</f>
        <v>-0.25475182234511817</v>
      </c>
      <c r="D8" s="33">
        <f>IFERROR(historicalfs!E33/historicalfs!D33-1,0)</f>
        <v>0.56609833860772851</v>
      </c>
      <c r="E8" s="33">
        <f>IFERROR(historicalfs!F33/historicalfs!E33-1,0)</f>
        <v>0.11112309850037749</v>
      </c>
      <c r="F8" s="33">
        <f>IFERROR(historicalfs!G33/historicalfs!F33-1,0)</f>
        <v>0.27391008835809294</v>
      </c>
      <c r="G8" s="33">
        <f>IFERROR(historicalfs!H33/historicalfs!G33-1,0)</f>
        <v>0.21410060975609757</v>
      </c>
      <c r="H8" s="33">
        <f>IFERROR(historicalfs!I33/historicalfs!H33-1,0)</f>
        <v>7.093979534182937E-2</v>
      </c>
      <c r="I8" s="33">
        <f>IFERROR(historicalfs!J33/historicalfs!I33-1,0)</f>
        <v>8.4881880532270415E-2</v>
      </c>
      <c r="J8" s="33">
        <f>IFERROR(historicalfs!K33/historicalfs!J33-1,0)</f>
        <v>8.0131842005727538E-2</v>
      </c>
      <c r="K8" s="33">
        <f>IFERROR(historicalfs!L33/historicalfs!K33-1,0)</f>
        <v>3.7418709354677393E-2</v>
      </c>
      <c r="L8" s="33">
        <f>IFERROR(historicalfs!M33/historicalfs!L33-1,0)</f>
        <v>-9.644131545954282E-2</v>
      </c>
      <c r="N8" s="14">
        <f t="shared" si="0"/>
        <v>0.14912922744413981</v>
      </c>
      <c r="O8" s="14">
        <f t="shared" si="1"/>
        <v>8.2506861268998977E-2</v>
      </c>
    </row>
    <row r="9" spans="1:15" x14ac:dyDescent="0.3">
      <c r="B9" s="34" t="s">
        <v>123</v>
      </c>
      <c r="C9" s="35">
        <f>IFERROR(historicalfs!D41/historicalfs!C41-1,0)</f>
        <v>-0.46666666666666667</v>
      </c>
      <c r="D9" s="35">
        <f>IFERROR(historicalfs!E41/historicalfs!D41-1,0)</f>
        <v>0.49810765349032793</v>
      </c>
      <c r="E9" s="35">
        <f>IFERROR(historicalfs!F41/historicalfs!E41-1,0)</f>
        <v>-0.50017748627269376</v>
      </c>
      <c r="F9" s="35">
        <f>IFERROR(historicalfs!G41/historicalfs!F41-1,0)</f>
        <v>-0.33289422432414606</v>
      </c>
      <c r="G9" s="35">
        <f>IFERROR(historicalfs!H41/historicalfs!G41-1,0)</f>
        <v>1.5035972998562572</v>
      </c>
      <c r="H9" s="35">
        <f>IFERROR(historicalfs!I41/historicalfs!H41-1,0)</f>
        <v>0</v>
      </c>
      <c r="I9" s="35">
        <f>IFERROR(historicalfs!J41/historicalfs!I41-1,0)</f>
        <v>3.2</v>
      </c>
      <c r="J9" s="35">
        <f>IFERROR(historicalfs!K41/historicalfs!J41-1,0)</f>
        <v>0.14285714285714279</v>
      </c>
      <c r="K9" s="35">
        <f>IFERROR(historicalfs!L41/historicalfs!K41-1,0)</f>
        <v>8.3333333333333259E-2</v>
      </c>
      <c r="L9" s="35">
        <f>IFERROR(historicalfs!M41/historicalfs!L41-1,0)</f>
        <v>-1</v>
      </c>
      <c r="N9" s="14">
        <f t="shared" si="0"/>
        <v>0.39942485766002467</v>
      </c>
      <c r="O9" s="14">
        <f t="shared" si="1"/>
        <v>4.166666666666663E-2</v>
      </c>
    </row>
    <row r="10" spans="1:15" x14ac:dyDescent="0.3">
      <c r="N10" s="14"/>
    </row>
    <row r="11" spans="1:15" x14ac:dyDescent="0.3">
      <c r="B11" s="30" t="s">
        <v>120</v>
      </c>
      <c r="C11" s="32">
        <f>IFERROR(historicalfs!C13,0)</f>
        <v>0.35010062335802467</v>
      </c>
      <c r="D11" s="32">
        <f>IFERROR(historicalfs!D13,0)</f>
        <v>0.32403710952680409</v>
      </c>
      <c r="E11" s="32">
        <f>IFERROR(historicalfs!E13,0)</f>
        <v>0.317629498822738</v>
      </c>
      <c r="F11" s="32">
        <f>IFERROR(historicalfs!F13,0)</f>
        <v>0.31914809468251298</v>
      </c>
      <c r="G11" s="32">
        <f>IFERROR(historicalfs!G13,0)</f>
        <v>0.33008423386896585</v>
      </c>
      <c r="H11" s="32">
        <f>IFERROR(historicalfs!H13,0)</f>
        <v>0.32708415869602125</v>
      </c>
      <c r="I11" s="32">
        <f>IFERROR(historicalfs!I13,0)</f>
        <v>0.32060653497658498</v>
      </c>
      <c r="J11" s="32">
        <f>IFERROR(historicalfs!J13,0)</f>
        <v>0.28786587430386101</v>
      </c>
      <c r="K11" s="32">
        <f>IFERROR(historicalfs!K13,0)</f>
        <v>0.28135349313988328</v>
      </c>
      <c r="L11" s="32">
        <f>IFERROR(historicalfs!L13,0)</f>
        <v>0.27678254619562748</v>
      </c>
      <c r="N11" s="14">
        <f>IFERROR(AVERAGE(C11:L11),0)</f>
        <v>0.31346921675710232</v>
      </c>
      <c r="O11" s="14">
        <f>IFERROR(MEDIAN(C11:L11),0)</f>
        <v>0.31987731482954895</v>
      </c>
    </row>
    <row r="12" spans="1:15" x14ac:dyDescent="0.3">
      <c r="B12" t="s">
        <v>119</v>
      </c>
      <c r="C12" s="33">
        <f>IFERROR((historicalfs!C18-historicalfs!C24)/historicalfs!C6,0)</f>
        <v>0.25484302701654066</v>
      </c>
      <c r="D12" s="33">
        <f>IFERROR((historicalfs!D18-historicalfs!D24)/historicalfs!D6,0)</f>
        <v>0.22313988272074012</v>
      </c>
      <c r="E12" s="33">
        <f>IFERROR((historicalfs!E18-historicalfs!E24)/historicalfs!E6,0)</f>
        <v>0.21815085771947529</v>
      </c>
      <c r="F12" s="33">
        <f>IFERROR((historicalfs!F18-historicalfs!F24)/historicalfs!F6,0)</f>
        <v>0.22183551187486406</v>
      </c>
      <c r="G12" s="33">
        <f>IFERROR((historicalfs!G18-historicalfs!G24)/historicalfs!G6,0)</f>
        <v>0.22422096082876861</v>
      </c>
      <c r="H12" s="33">
        <f>IFERROR((historicalfs!H18-historicalfs!H24)/historicalfs!H6,0)</f>
        <v>0.21834852000679156</v>
      </c>
      <c r="I12" s="33">
        <f>IFERROR((historicalfs!I18-historicalfs!I24)/historicalfs!I6,0)</f>
        <v>0.22727815439313337</v>
      </c>
      <c r="J12" s="33">
        <f>IFERROR((historicalfs!J18-historicalfs!J24)/historicalfs!J6,0)</f>
        <v>0.20559012737738031</v>
      </c>
      <c r="K12" s="33">
        <f>IFERROR((historicalfs!K18-historicalfs!K24)/historicalfs!K6,0)</f>
        <v>0.20193975713609841</v>
      </c>
      <c r="L12" s="33">
        <f>IFERROR((historicalfs!L18-historicalfs!L24)/historicalfs!L6,0)</f>
        <v>0.19853884435872007</v>
      </c>
      <c r="N12" s="14">
        <f t="shared" ref="N12:O27" si="2">IFERROR(AVERAGE(C12:L12),0)</f>
        <v>0.21938856434325124</v>
      </c>
      <c r="O12" s="14">
        <f t="shared" ref="O12:O25" si="3">IFERROR(MEDIAN(C12:L12),0)</f>
        <v>0.22009201594082781</v>
      </c>
    </row>
    <row r="13" spans="1:15" x14ac:dyDescent="0.3">
      <c r="B13" t="s">
        <v>147</v>
      </c>
      <c r="C13" s="33">
        <f>IFERROR(historicalfs!C19,0)</f>
        <v>0.26584402371365318</v>
      </c>
      <c r="D13" s="33">
        <f>IFERROR(historicalfs!D19,0)</f>
        <v>0.23630344868341863</v>
      </c>
      <c r="E13" s="33">
        <f>IFERROR(historicalfs!E19,0)</f>
        <v>0.23555751765893038</v>
      </c>
      <c r="F13" s="33">
        <f>IFERROR(historicalfs!F19,0)</f>
        <v>0.24918428286104136</v>
      </c>
      <c r="G13" s="33">
        <f>IFERROR(historicalfs!G19,0)</f>
        <v>0.25852681748225131</v>
      </c>
      <c r="H13" s="33">
        <f>IFERROR(historicalfs!H19,0)</f>
        <v>0.26673835531156265</v>
      </c>
      <c r="I13" s="33">
        <f>IFERROR(historicalfs!I19,0)</f>
        <v>0.28844903753034667</v>
      </c>
      <c r="J13" s="33">
        <f>IFERROR(historicalfs!J19,0)</f>
        <v>0.25609741859406193</v>
      </c>
      <c r="K13" s="33">
        <f>IFERROR(historicalfs!K19,0)</f>
        <v>0.24279490616621985</v>
      </c>
      <c r="L13" s="33">
        <f>IFERROR(historicalfs!L19,0)</f>
        <v>0.23650523595934966</v>
      </c>
      <c r="N13" s="14">
        <f t="shared" si="2"/>
        <v>0.25360010439608355</v>
      </c>
      <c r="O13" s="14">
        <f t="shared" si="3"/>
        <v>0.25264085072755166</v>
      </c>
    </row>
    <row r="14" spans="1:15" x14ac:dyDescent="0.3">
      <c r="B14" t="s">
        <v>124</v>
      </c>
      <c r="C14" s="33">
        <f>IFERROR(historicalfs!C28,0)</f>
        <v>0.26584402371365318</v>
      </c>
      <c r="D14" s="33">
        <f>IFERROR(historicalfs!D28,0)</f>
        <v>0.23630344868341863</v>
      </c>
      <c r="E14" s="33">
        <f>IFERROR(historicalfs!E28,0)</f>
        <v>0.23555751765893038</v>
      </c>
      <c r="F14" s="33">
        <f>IFERROR(historicalfs!F28,0)</f>
        <v>0.24918428286104136</v>
      </c>
      <c r="G14" s="33">
        <f>IFERROR(historicalfs!G28,0)</f>
        <v>0.25852681748225131</v>
      </c>
      <c r="H14" s="33">
        <f>IFERROR(historicalfs!H28,0)</f>
        <v>0.26673835531156265</v>
      </c>
      <c r="I14" s="33">
        <f>IFERROR(historicalfs!I28,0)</f>
        <v>0.28844903753034667</v>
      </c>
      <c r="J14" s="33">
        <f>IFERROR(historicalfs!J28,0)</f>
        <v>0.25609741859406193</v>
      </c>
      <c r="K14" s="33">
        <f>IFERROR(historicalfs!K28,0)</f>
        <v>0.24279490616621985</v>
      </c>
      <c r="L14" s="33">
        <f>IFERROR(historicalfs!L28,0)</f>
        <v>0.23650523595934966</v>
      </c>
      <c r="N14" s="14">
        <f t="shared" si="2"/>
        <v>0.25360010439608355</v>
      </c>
      <c r="O14" s="14">
        <f t="shared" si="3"/>
        <v>0.25264085072755166</v>
      </c>
    </row>
    <row r="15" spans="1:15" x14ac:dyDescent="0.3">
      <c r="B15" s="34" t="s">
        <v>125</v>
      </c>
      <c r="C15" s="35">
        <f>IFERROR(historicalfs!C34,0)</f>
        <v>0.21638762962103175</v>
      </c>
      <c r="D15" s="35">
        <f>IFERROR(historicalfs!D34,0)</f>
        <v>0.1900867614724335</v>
      </c>
      <c r="E15" s="35">
        <f>IFERROR(historicalfs!E34,0)</f>
        <v>0.19485788765556677</v>
      </c>
      <c r="F15" s="35">
        <f>IFERROR(historicalfs!F34,0)</f>
        <v>0.20366232276691254</v>
      </c>
      <c r="G15" s="35">
        <f>IFERROR(historicalfs!G34,0)</f>
        <v>0.21712148542869908</v>
      </c>
      <c r="H15" s="35">
        <f>IFERROR(historicalfs!H34,0)</f>
        <v>0.22538061010809893</v>
      </c>
      <c r="I15" s="35">
        <f>IFERROR(historicalfs!I34,0)</f>
        <v>0.22630971490733492</v>
      </c>
      <c r="J15" s="35">
        <f>IFERROR(historicalfs!J34,0)</f>
        <v>0.21607453503169841</v>
      </c>
      <c r="K15" s="35">
        <f>IFERROR(historicalfs!K34,0)</f>
        <v>0.19703122535877621</v>
      </c>
      <c r="L15" s="35">
        <f>IFERROR(historicalfs!L34,0)</f>
        <v>0.18867649868532385</v>
      </c>
      <c r="N15" s="14">
        <f t="shared" si="2"/>
        <v>0.20755886710358759</v>
      </c>
      <c r="O15" s="14">
        <f t="shared" si="3"/>
        <v>0.20986842889930546</v>
      </c>
    </row>
    <row r="16" spans="1:15" x14ac:dyDescent="0.3">
      <c r="N16" s="14"/>
      <c r="O16" s="14"/>
    </row>
    <row r="17" spans="2:15" x14ac:dyDescent="0.3">
      <c r="B17" s="30" t="s">
        <v>126</v>
      </c>
      <c r="C17" s="32">
        <f>IFERROR(historicalfs!C16,0)</f>
        <v>8.4256599644371502E-2</v>
      </c>
      <c r="D17" s="32">
        <f>IFERROR(historicalfs!D16,0)</f>
        <v>8.7733660843385491E-2</v>
      </c>
      <c r="E17" s="32">
        <f>IFERROR(historicalfs!E16,0)</f>
        <v>8.2071981163807609E-2</v>
      </c>
      <c r="F17" s="32">
        <f>IFERROR(historicalfs!F16,0)</f>
        <v>6.9963811821471655E-2</v>
      </c>
      <c r="G17" s="32">
        <f>IFERROR(historicalfs!G16,0)</f>
        <v>7.1557416386714548E-2</v>
      </c>
      <c r="H17" s="32">
        <f>IFERROR(historicalfs!H16,0)</f>
        <v>6.0345803384458656E-2</v>
      </c>
      <c r="I17" s="32">
        <f>IFERROR(historicalfs!I16,0)</f>
        <v>3.2157497446238345E-2</v>
      </c>
      <c r="J17" s="32">
        <f>IFERROR(historicalfs!J16,0)</f>
        <v>3.1768455709799068E-2</v>
      </c>
      <c r="K17" s="32">
        <f>IFERROR(historicalfs!K16,0)</f>
        <v>3.8558586973663461E-2</v>
      </c>
      <c r="L17" s="32">
        <f>IFERROR(historicalfs!L16,0)</f>
        <v>4.0277310236277786E-2</v>
      </c>
      <c r="N17" s="14">
        <f t="shared" si="2"/>
        <v>5.9869112361018807E-2</v>
      </c>
      <c r="O17" s="14">
        <f t="shared" si="3"/>
        <v>6.5154807602965159E-2</v>
      </c>
    </row>
    <row r="18" spans="2:15" x14ac:dyDescent="0.3">
      <c r="B18" t="s">
        <v>127</v>
      </c>
      <c r="C18" s="33">
        <f>IFERROR(historicalfs!C25,0)</f>
        <v>1.1000996697112521E-2</v>
      </c>
      <c r="D18" s="33">
        <f>IFERROR(historicalfs!D25,0)</f>
        <v>1.31635659626785E-2</v>
      </c>
      <c r="E18" s="33">
        <f>IFERROR(historicalfs!E25,0)</f>
        <v>1.7406659939455095E-2</v>
      </c>
      <c r="F18" s="33">
        <f>IFERROR(historicalfs!F25,0)</f>
        <v>2.7348770986177301E-2</v>
      </c>
      <c r="G18" s="33">
        <f>IFERROR(historicalfs!G25,0)</f>
        <v>3.4305856653482715E-2</v>
      </c>
      <c r="H18" s="33">
        <f>IFERROR(historicalfs!H25,0)</f>
        <v>4.8389835304771069E-2</v>
      </c>
      <c r="I18" s="33">
        <f>IFERROR(historicalfs!I25,0)</f>
        <v>6.1170883137213285E-2</v>
      </c>
      <c r="J18" s="33">
        <f>IFERROR(historicalfs!J25,0)</f>
        <v>5.0507291216681648E-2</v>
      </c>
      <c r="K18" s="33">
        <f>IFERROR(historicalfs!K25,0)</f>
        <v>4.0855149030121433E-2</v>
      </c>
      <c r="L18" s="33">
        <f>IFERROR(historicalfs!L25,0)</f>
        <v>3.796639160062959E-2</v>
      </c>
      <c r="N18" s="14">
        <f t="shared" si="2"/>
        <v>3.4211540052832314E-2</v>
      </c>
      <c r="O18" s="14">
        <f t="shared" si="3"/>
        <v>3.6136124127056149E-2</v>
      </c>
    </row>
    <row r="19" spans="2:15" x14ac:dyDescent="0.3">
      <c r="B19" s="34" t="s">
        <v>128</v>
      </c>
      <c r="C19" s="35">
        <f>IFERROR(C13,0)</f>
        <v>0.26584402371365318</v>
      </c>
      <c r="D19" s="35">
        <f t="shared" ref="D19:L19" si="4">IFERROR(D13,0)</f>
        <v>0.23630344868341863</v>
      </c>
      <c r="E19" s="35">
        <f t="shared" si="4"/>
        <v>0.23555751765893038</v>
      </c>
      <c r="F19" s="35">
        <f t="shared" si="4"/>
        <v>0.24918428286104136</v>
      </c>
      <c r="G19" s="35">
        <f t="shared" si="4"/>
        <v>0.25852681748225131</v>
      </c>
      <c r="H19" s="35">
        <f t="shared" si="4"/>
        <v>0.26673835531156265</v>
      </c>
      <c r="I19" s="35">
        <f t="shared" si="4"/>
        <v>0.28844903753034667</v>
      </c>
      <c r="J19" s="35">
        <f t="shared" si="4"/>
        <v>0.25609741859406193</v>
      </c>
      <c r="K19" s="35">
        <f t="shared" si="4"/>
        <v>0.24279490616621985</v>
      </c>
      <c r="L19" s="35">
        <f t="shared" si="4"/>
        <v>0.23650523595934966</v>
      </c>
      <c r="N19" s="14">
        <f t="shared" si="2"/>
        <v>0.25360010439608355</v>
      </c>
      <c r="O19" s="14">
        <f t="shared" si="3"/>
        <v>0.25264085072755166</v>
      </c>
    </row>
    <row r="20" spans="2:15" x14ac:dyDescent="0.3">
      <c r="N20" s="14"/>
      <c r="O20" s="14"/>
    </row>
    <row r="21" spans="2:15" x14ac:dyDescent="0.3">
      <c r="B21" s="30" t="s">
        <v>129</v>
      </c>
      <c r="C21" s="32">
        <f>IFERROR((historicalfs!C18-historicalfs!C24)/(SUM(historicalfs!C47:C49)),0)</f>
        <v>0.37604479223163895</v>
      </c>
      <c r="D21" s="32">
        <f>IFERROR((historicalfs!D18-historicalfs!D24)/(SUM(historicalfs!D47:D49)),0)</f>
        <v>0.24393940830297114</v>
      </c>
      <c r="E21" s="32">
        <f>IFERROR((historicalfs!E18-historicalfs!E24)/(SUM(historicalfs!E47:E49)),0)</f>
        <v>0.30947481435089919</v>
      </c>
      <c r="F21" s="32">
        <f>IFERROR((historicalfs!F18-historicalfs!F24)/(SUM(historicalfs!F47:F49)),0)</f>
        <v>0.30365698508513117</v>
      </c>
      <c r="G21" s="32">
        <f>IFERROR((historicalfs!G18-historicalfs!G24)/(SUM(historicalfs!G47:G49)),0)</f>
        <v>0.29738153245099974</v>
      </c>
      <c r="H21" s="32">
        <f>IFERROR((historicalfs!H18-historicalfs!H24)/(SUM(historicalfs!H47:H49)),0)</f>
        <v>0.26044250924003848</v>
      </c>
      <c r="I21" s="32">
        <f>IFERROR((historicalfs!I18-historicalfs!I24)/(SUM(historicalfs!I47:I49)),0)</f>
        <v>0.25655540081165673</v>
      </c>
      <c r="J21" s="32">
        <f>IFERROR((historicalfs!J18-historicalfs!J24)/(SUM(historicalfs!J47:J49)),0)</f>
        <v>0.25798086643128176</v>
      </c>
      <c r="K21" s="32">
        <f>IFERROR((historicalfs!K18-historicalfs!K24)/(SUM(historicalfs!K47:K49)),0)</f>
        <v>0.29185600934486244</v>
      </c>
      <c r="L21" s="32">
        <f>IFERROR((historicalfs!L18-historicalfs!L24)/(SUM(historicalfs!L47:L49)),0)</f>
        <v>0.29480823009686441</v>
      </c>
      <c r="N21" s="14">
        <f t="shared" si="2"/>
        <v>0.28921405483463436</v>
      </c>
      <c r="O21" s="14">
        <f t="shared" si="3"/>
        <v>0.29333211972086343</v>
      </c>
    </row>
    <row r="22" spans="2:15" x14ac:dyDescent="0.3">
      <c r="B22" t="s">
        <v>130</v>
      </c>
      <c r="C22" s="33">
        <f>IFERROR(historicalfs!C44,0)</f>
        <v>0.4688787902826731</v>
      </c>
      <c r="D22" s="33">
        <f>IFERROR(historicalfs!D44,0)</f>
        <v>0.61871613390487168</v>
      </c>
      <c r="E22" s="33">
        <f>IFERROR(historicalfs!E44,0)</f>
        <v>0.63102815837738702</v>
      </c>
      <c r="F22" s="33">
        <f>IFERROR(historicalfs!F44,0)</f>
        <v>0.83804252840081561</v>
      </c>
      <c r="G22" s="33">
        <f>IFERROR(historicalfs!G44,0)</f>
        <v>0.91737804878048779</v>
      </c>
      <c r="H22" s="33">
        <f>IFERROR(historicalfs!H44,0)</f>
        <v>0.82955615543976391</v>
      </c>
      <c r="I22" s="33">
        <f>IFERROR(historicalfs!I44,0)</f>
        <v>0.84084647400199308</v>
      </c>
      <c r="J22" s="33">
        <f>IFERROR(historicalfs!J44,0)</f>
        <v>0.38385475765926413</v>
      </c>
      <c r="K22" s="33">
        <f>IFERROR(historicalfs!K44,0)</f>
        <v>0.34807403701850936</v>
      </c>
      <c r="L22" s="33">
        <f>IFERROR(historicalfs!L44,0)</f>
        <v>0.31922075417108697</v>
      </c>
      <c r="N22" s="14">
        <f t="shared" si="2"/>
        <v>0.61955958380368525</v>
      </c>
      <c r="O22" s="14">
        <f t="shared" si="3"/>
        <v>0.62487214614112929</v>
      </c>
    </row>
    <row r="23" spans="2:15" x14ac:dyDescent="0.3">
      <c r="B23" t="s">
        <v>131</v>
      </c>
      <c r="C23" s="33">
        <f>IFERROR(historicalfs!C33/SUM(historicalfs!C47:C48),0)</f>
        <v>0.32783832506137417</v>
      </c>
      <c r="D23" s="33">
        <f>IFERROR(historicalfs!D33/SUM(historicalfs!D47:D48),0)</f>
        <v>0.21607753268710594</v>
      </c>
      <c r="E23" s="33">
        <f>IFERROR(historicalfs!E33/SUM(historicalfs!E47:E48),0)</f>
        <v>0.28131354517587787</v>
      </c>
      <c r="F23" s="33">
        <f>IFERROR(historicalfs!F33/SUM(historicalfs!F47:F48),0)</f>
        <v>0.28304842521849061</v>
      </c>
      <c r="G23" s="33">
        <f>IFERROR(historicalfs!G33/SUM(historicalfs!G47:G48),0)</f>
        <v>0.31716868926171254</v>
      </c>
      <c r="H23" s="33">
        <f>IFERROR(historicalfs!H33/SUM(historicalfs!H47:H48),0)</f>
        <v>0.31070669241422355</v>
      </c>
      <c r="I23" s="33">
        <f>IFERROR(historicalfs!I33/SUM(historicalfs!I47:I48),0)</f>
        <v>0.28472952447715855</v>
      </c>
      <c r="J23" s="33">
        <f>IFERROR(historicalfs!J33/SUM(historicalfs!J47:J48),0)</f>
        <v>0.29891462351003006</v>
      </c>
      <c r="K23" s="33">
        <f>IFERROR(historicalfs!K33/SUM(historicalfs!K47:K48),0)</f>
        <v>0.30563412583135846</v>
      </c>
      <c r="L23" s="33">
        <f>IFERROR(historicalfs!L33/SUM(historicalfs!L47:L48),0)</f>
        <v>0.30379561402223754</v>
      </c>
      <c r="N23" s="14">
        <f t="shared" si="2"/>
        <v>0.29292270976595697</v>
      </c>
      <c r="O23" s="14">
        <f t="shared" si="3"/>
        <v>0.3013551187661338</v>
      </c>
    </row>
    <row r="24" spans="2:15" x14ac:dyDescent="0.3">
      <c r="B24" t="s">
        <v>132</v>
      </c>
      <c r="C24" s="33">
        <f>IFERROR(C22*C23,0)</f>
        <v>0.15371643726307488</v>
      </c>
      <c r="D24" s="33">
        <f t="shared" ref="D24:L24" si="5">IFERROR(D22*D23,0)</f>
        <v>0.13369065564786972</v>
      </c>
      <c r="E24" s="33">
        <f t="shared" si="5"/>
        <v>0.17751676833894808</v>
      </c>
      <c r="F24" s="33">
        <f t="shared" si="5"/>
        <v>0.23720661792997305</v>
      </c>
      <c r="G24" s="33">
        <f t="shared" si="5"/>
        <v>0.2909635932891747</v>
      </c>
      <c r="H24" s="33">
        <f t="shared" si="5"/>
        <v>0.25774864922854857</v>
      </c>
      <c r="I24" s="33">
        <f t="shared" si="5"/>
        <v>0.23941381670088294</v>
      </c>
      <c r="J24" s="33">
        <f t="shared" si="5"/>
        <v>0.11473980036825276</v>
      </c>
      <c r="K24" s="33">
        <f t="shared" si="5"/>
        <v>0.10638330402874402</v>
      </c>
      <c r="L24" s="33">
        <f t="shared" si="5"/>
        <v>9.6977865022047111E-2</v>
      </c>
      <c r="N24" s="14">
        <f t="shared" si="2"/>
        <v>0.1808357507817516</v>
      </c>
      <c r="O24" s="14">
        <f t="shared" si="3"/>
        <v>0.16561660280101148</v>
      </c>
    </row>
    <row r="25" spans="2:15" x14ac:dyDescent="0.3">
      <c r="B25" s="34" t="s">
        <v>133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N25" s="14">
        <f t="shared" si="2"/>
        <v>0</v>
      </c>
      <c r="O25" s="14">
        <f t="shared" si="3"/>
        <v>0</v>
      </c>
    </row>
    <row r="26" spans="2:15" x14ac:dyDescent="0.3">
      <c r="N26" s="14"/>
      <c r="O26" s="14"/>
    </row>
    <row r="27" spans="2:15" x14ac:dyDescent="0.3">
      <c r="B27" s="30" t="s">
        <v>134</v>
      </c>
      <c r="C27" s="36">
        <f>IFERROR(historicalfs!C6/historicalfs!C60,0)</f>
        <v>5.6129316422708531</v>
      </c>
      <c r="D27" s="36">
        <f>IFERROR(historicalfs!D6/historicalfs!D60,0)</f>
        <v>4.0325573684714948</v>
      </c>
      <c r="E27" s="36">
        <f>IFERROR(historicalfs!E6/historicalfs!E60,0)</f>
        <v>5.7303939284423562</v>
      </c>
      <c r="F27" s="36">
        <f>IFERROR(historicalfs!F6/historicalfs!F60,0)</f>
        <v>5.246291109036207</v>
      </c>
      <c r="G27" s="36">
        <f>IFERROR(historicalfs!G6/historicalfs!G60,0)</f>
        <v>5.1620536477020336</v>
      </c>
      <c r="H27" s="36">
        <f>IFERROR(historicalfs!H6/historicalfs!H60,0)</f>
        <v>5.0014860944023773</v>
      </c>
      <c r="I27" s="36">
        <f>IFERROR(historicalfs!I6/historicalfs!I60,0)</f>
        <v>4.3012268188302425</v>
      </c>
      <c r="J27" s="36">
        <f>IFERROR(historicalfs!J6/historicalfs!J60,0)</f>
        <v>4.143534420202216</v>
      </c>
      <c r="K27" s="36">
        <f>IFERROR(historicalfs!K6/historicalfs!K60,0)</f>
        <v>3.9777307300243079</v>
      </c>
      <c r="L27" s="36">
        <f>IFERROR(historicalfs!L6/historicalfs!L60,0)</f>
        <v>4.3067669762156653</v>
      </c>
      <c r="N27" s="37">
        <f t="shared" si="2"/>
        <v>4.7514972735597754</v>
      </c>
      <c r="O27" s="37">
        <f t="shared" si="2"/>
        <v>4.6557823437029882</v>
      </c>
    </row>
    <row r="28" spans="2:15" x14ac:dyDescent="0.3">
      <c r="B28" t="s">
        <v>135</v>
      </c>
      <c r="C28" s="37">
        <f>IFERROR(historicalfs!C6/historicalfs!C50,0)</f>
        <v>3.5383195950831525</v>
      </c>
      <c r="D28" s="37">
        <f>IFERROR(historicalfs!D6/historicalfs!D50,0)</f>
        <v>2.8671693922447412</v>
      </c>
      <c r="E28" s="37">
        <f>IFERROR(historicalfs!E6/historicalfs!E50,0)</f>
        <v>3.8891341672798627</v>
      </c>
      <c r="F28" s="37">
        <f>IFERROR(historicalfs!F6/historicalfs!F50,0)</f>
        <v>4.5780372985696181</v>
      </c>
      <c r="G28" s="37">
        <f>IFERROR(historicalfs!G6/historicalfs!G50,0)</f>
        <v>4.725289333750391</v>
      </c>
      <c r="H28" s="37">
        <f>IFERROR(historicalfs!H6/historicalfs!H50,0)</f>
        <v>2.9990664516676566</v>
      </c>
      <c r="I28" s="37">
        <f>IFERROR(historicalfs!I6/historicalfs!I50,0)</f>
        <v>3.9117280747275558</v>
      </c>
      <c r="J28" s="37">
        <f>IFERROR(historicalfs!J6/historicalfs!J50,0)</f>
        <v>4.1449380565234222</v>
      </c>
      <c r="K28" s="37">
        <f>IFERROR(historicalfs!K6/historicalfs!K50,0)</f>
        <v>4.4013708732809853</v>
      </c>
      <c r="L28" s="37">
        <f>IFERROR(historicalfs!L6/historicalfs!L50,0)</f>
        <v>4.3991594956974183</v>
      </c>
      <c r="N28" s="37">
        <f t="shared" ref="N28:N31" si="6">IFERROR(AVERAGE(C28:L28),0)</f>
        <v>3.9454212738824799</v>
      </c>
      <c r="O28" s="37">
        <f t="shared" ref="O28:O31" si="7">IFERROR(AVERAGE(D28:M28),0)</f>
        <v>3.9906547937490719</v>
      </c>
    </row>
    <row r="29" spans="2:15" x14ac:dyDescent="0.3">
      <c r="B29" t="s">
        <v>136</v>
      </c>
      <c r="C29">
        <f>IFERROR(historicalfs!C6/historicalfs!C61,0)</f>
        <v>232.86098597804707</v>
      </c>
      <c r="D29">
        <f>IFERROR(historicalfs!D6/historicalfs!D61,0)</f>
        <v>117.7251209921355</v>
      </c>
      <c r="E29">
        <f>IFERROR(historicalfs!E6/historicalfs!E61,0)</f>
        <v>172.34782608695653</v>
      </c>
      <c r="F29">
        <f>IFERROR(historicalfs!F6/historicalfs!F61,0)</f>
        <v>294.00581395348837</v>
      </c>
      <c r="G29">
        <f>IFERROR(historicalfs!G6/historicalfs!G61,0)</f>
        <v>664.03296703296701</v>
      </c>
      <c r="H29">
        <f>IFERROR(historicalfs!H6/historicalfs!H61,0)</f>
        <v>776.65934065934061</v>
      </c>
      <c r="I29">
        <f>IFERROR(historicalfs!I6/historicalfs!I61,0)</f>
        <v>801.90425531914889</v>
      </c>
      <c r="J29">
        <f>IFERROR(historicalfs!J6/historicalfs!J61,0)</f>
        <v>531.99378881987582</v>
      </c>
      <c r="K29">
        <f>IFERROR(historicalfs!K6/historicalfs!K61,0)</f>
        <v>444.98245614035091</v>
      </c>
      <c r="L29">
        <f>IFERROR(historicalfs!L6/historicalfs!L61,0)</f>
        <v>594.12432432432433</v>
      </c>
      <c r="N29" s="37">
        <f t="shared" si="6"/>
        <v>463.0636879306636</v>
      </c>
      <c r="O29" s="37">
        <f t="shared" si="7"/>
        <v>488.64176592539866</v>
      </c>
    </row>
    <row r="30" spans="2:15" x14ac:dyDescent="0.3">
      <c r="B30" t="s">
        <v>137</v>
      </c>
      <c r="C30" s="37">
        <f>IFERROR(historicalfs!C6/historicalfs!C53,0)</f>
        <v>4.4350480407285806</v>
      </c>
      <c r="D30" s="37">
        <f>IFERROR(historicalfs!D6/historicalfs!D53,0)</f>
        <v>3.2045750914205198</v>
      </c>
      <c r="E30" s="37">
        <f>IFERROR(historicalfs!E6/historicalfs!E53,0)</f>
        <v>3.122284213980965</v>
      </c>
      <c r="F30" s="37">
        <f>IFERROR(historicalfs!F6/historicalfs!F53,0)</f>
        <v>2.6965818802324963</v>
      </c>
      <c r="G30" s="37">
        <f>IFERROR(historicalfs!G6/historicalfs!G53,0)</f>
        <v>2.6401170919258998</v>
      </c>
      <c r="H30" s="37">
        <f>IFERROR(historicalfs!H6/historicalfs!H53,0)</f>
        <v>1.8851960522806082</v>
      </c>
      <c r="I30" s="37">
        <f>IFERROR(historicalfs!I6/historicalfs!I53,0)</f>
        <v>2.0293175393727285</v>
      </c>
      <c r="J30" s="37">
        <f>IFERROR(historicalfs!J6/historicalfs!J53,0)</f>
        <v>2.441799469738005</v>
      </c>
      <c r="K30" s="37">
        <f>IFERROR(historicalfs!K6/historicalfs!K53,0)</f>
        <v>2.9306450215199744</v>
      </c>
      <c r="L30" s="37">
        <f>IFERROR(historicalfs!L6/historicalfs!L53,0)</f>
        <v>3.1347289165216896</v>
      </c>
      <c r="N30" s="37">
        <f t="shared" si="6"/>
        <v>2.8520293317721466</v>
      </c>
      <c r="O30" s="37">
        <f t="shared" si="7"/>
        <v>2.6761383641103205</v>
      </c>
    </row>
    <row r="31" spans="2:15" x14ac:dyDescent="0.3">
      <c r="B31" s="34" t="s">
        <v>138</v>
      </c>
      <c r="C31" s="38">
        <f>IFERROR(historicalfs!C6/SUM(historicalfs!C47:C48),0)</f>
        <v>1.5150511405644143</v>
      </c>
      <c r="D31" s="38">
        <f>IFERROR(historicalfs!D6/SUM(historicalfs!D47:D48),0)</f>
        <v>1.1367310959129662</v>
      </c>
      <c r="E31" s="38">
        <f>IFERROR(historicalfs!E6/SUM(historicalfs!E47:E48),0)</f>
        <v>1.4436856960757534</v>
      </c>
      <c r="F31" s="38">
        <f>IFERROR(historicalfs!F6/SUM(historicalfs!F47:F48),0)</f>
        <v>1.3897927774418732</v>
      </c>
      <c r="G31" s="38">
        <f>IFERROR(historicalfs!G6/SUM(historicalfs!G47:G48),0)</f>
        <v>1.4607890538123096</v>
      </c>
      <c r="H31" s="38">
        <f>IFERROR(historicalfs!H6/SUM(historicalfs!H47:H48),0)</f>
        <v>1.3785866151715529</v>
      </c>
      <c r="I31" s="38">
        <f>IFERROR(historicalfs!I6/SUM(historicalfs!I47:I48),0)</f>
        <v>1.2581409710747251</v>
      </c>
      <c r="J31" s="38">
        <f>IFERROR(historicalfs!J6/SUM(historicalfs!J47:J48),0)</f>
        <v>1.38338663307168</v>
      </c>
      <c r="K31" s="38">
        <f>IFERROR(historicalfs!K6/SUM(historicalfs!K47:K48),0)</f>
        <v>1.5511963917131717</v>
      </c>
      <c r="L31" s="38">
        <f>IFERROR(historicalfs!L6/SUM(historicalfs!L47:L48),0)</f>
        <v>1.6101401930767767</v>
      </c>
      <c r="N31" s="37">
        <f t="shared" si="6"/>
        <v>1.4127500567915223</v>
      </c>
      <c r="O31" s="37">
        <f t="shared" si="7"/>
        <v>1.4013832697056454</v>
      </c>
    </row>
    <row r="32" spans="2:15" x14ac:dyDescent="0.3">
      <c r="N32" s="14"/>
    </row>
    <row r="33" spans="2:15" x14ac:dyDescent="0.3">
      <c r="B33" s="30" t="s">
        <v>139</v>
      </c>
      <c r="C33" s="39">
        <f>IFERROR(365/C27,0)</f>
        <v>65.028406412647854</v>
      </c>
      <c r="D33" s="39">
        <f t="shared" ref="D33:L33" si="8">IFERROR(365/D27,0)</f>
        <v>90.513281436179554</v>
      </c>
      <c r="E33" s="39">
        <f t="shared" si="8"/>
        <v>63.695446518668014</v>
      </c>
      <c r="F33" s="39">
        <f t="shared" si="8"/>
        <v>69.572959718404562</v>
      </c>
      <c r="G33" s="39">
        <f t="shared" si="8"/>
        <v>70.708292650636295</v>
      </c>
      <c r="H33" s="39">
        <f t="shared" si="8"/>
        <v>72.978309468560767</v>
      </c>
      <c r="I33" s="39">
        <f t="shared" si="8"/>
        <v>84.859509943087602</v>
      </c>
      <c r="J33" s="39">
        <f t="shared" si="8"/>
        <v>88.089047413340182</v>
      </c>
      <c r="K33" s="39">
        <f t="shared" si="8"/>
        <v>91.760861851442996</v>
      </c>
      <c r="L33" s="39">
        <f t="shared" si="8"/>
        <v>84.750348002511075</v>
      </c>
      <c r="N33" s="40">
        <f>IFERROR(AVERAGE(C33:L33),0)</f>
        <v>78.195646341547871</v>
      </c>
      <c r="O33" s="40">
        <f>IFERROR(AVERAGE(D33:M33),0)</f>
        <v>79.65867300031455</v>
      </c>
    </row>
    <row r="34" spans="2:15" x14ac:dyDescent="0.3">
      <c r="B34" t="s">
        <v>140</v>
      </c>
      <c r="C34" s="40">
        <f>IFERROR(365/C28,0)</f>
        <v>103.1563119700108</v>
      </c>
      <c r="D34" s="40">
        <f t="shared" ref="D34:L34" si="9">IFERROR(365/D28,0)</f>
        <v>127.30325630123902</v>
      </c>
      <c r="E34" s="40">
        <f t="shared" si="9"/>
        <v>93.851223511604445</v>
      </c>
      <c r="F34" s="40">
        <f t="shared" si="9"/>
        <v>79.728489786232672</v>
      </c>
      <c r="G34" s="40">
        <f t="shared" si="9"/>
        <v>77.243947242126865</v>
      </c>
      <c r="H34" s="40">
        <f t="shared" si="9"/>
        <v>121.70453902314789</v>
      </c>
      <c r="I34" s="40">
        <f t="shared" si="9"/>
        <v>93.309144456678922</v>
      </c>
      <c r="J34" s="40">
        <f t="shared" si="9"/>
        <v>88.05921705525914</v>
      </c>
      <c r="K34" s="40">
        <f t="shared" si="9"/>
        <v>82.928708011354686</v>
      </c>
      <c r="L34" s="40">
        <f t="shared" si="9"/>
        <v>82.970394766770085</v>
      </c>
      <c r="N34" s="40">
        <f t="shared" ref="N34:N36" si="10">IFERROR(AVERAGE(C34:L34),0)</f>
        <v>95.025523212442451</v>
      </c>
      <c r="O34" s="40">
        <f t="shared" ref="O34:O36" si="11">IFERROR(AVERAGE(D34:M34),0)</f>
        <v>94.122102239379331</v>
      </c>
    </row>
    <row r="35" spans="2:15" x14ac:dyDescent="0.3">
      <c r="B35" t="s">
        <v>141</v>
      </c>
      <c r="C35" s="40">
        <f>IFERROR(365/C29,0)</f>
        <v>1.5674587929229602</v>
      </c>
      <c r="D35" s="40">
        <f t="shared" ref="D35:L35" si="12">IFERROR(365/D29,0)</f>
        <v>3.1004427680680271</v>
      </c>
      <c r="E35" s="40">
        <f t="shared" si="12"/>
        <v>2.117810292633703</v>
      </c>
      <c r="F35" s="40">
        <f t="shared" si="12"/>
        <v>1.2414720480927051</v>
      </c>
      <c r="G35" s="40">
        <f t="shared" si="12"/>
        <v>0.54967150445992685</v>
      </c>
      <c r="H35" s="40">
        <f t="shared" si="12"/>
        <v>0.46996151451695062</v>
      </c>
      <c r="I35" s="40">
        <f t="shared" si="12"/>
        <v>0.45516655832526304</v>
      </c>
      <c r="J35" s="40">
        <f t="shared" si="12"/>
        <v>0.68609823586414631</v>
      </c>
      <c r="K35" s="40">
        <f t="shared" si="12"/>
        <v>0.82025705724649101</v>
      </c>
      <c r="L35" s="40">
        <f t="shared" si="12"/>
        <v>0.61434953099269418</v>
      </c>
      <c r="N35" s="40">
        <f t="shared" si="10"/>
        <v>1.162268830312287</v>
      </c>
      <c r="O35" s="40">
        <f t="shared" si="11"/>
        <v>1.1172477233555453</v>
      </c>
    </row>
    <row r="36" spans="2:15" x14ac:dyDescent="0.3">
      <c r="B36" s="34" t="s">
        <v>142</v>
      </c>
      <c r="C36" s="41">
        <f>IFERROR(C33-C35/C34,0)</f>
        <v>65.013211425904061</v>
      </c>
      <c r="D36" s="41">
        <f t="shared" ref="D36:L36" si="13">IFERROR(D33-D35/D34,0)</f>
        <v>90.488926656434316</v>
      </c>
      <c r="E36" s="41">
        <f t="shared" si="13"/>
        <v>63.672880906698431</v>
      </c>
      <c r="F36" s="41">
        <f t="shared" si="13"/>
        <v>69.557388470894153</v>
      </c>
      <c r="G36" s="41">
        <f t="shared" si="13"/>
        <v>70.701176604342891</v>
      </c>
      <c r="H36" s="41">
        <f t="shared" si="13"/>
        <v>72.974447973186074</v>
      </c>
      <c r="I36" s="41">
        <f t="shared" si="13"/>
        <v>84.854631894307119</v>
      </c>
      <c r="J36" s="41">
        <f t="shared" si="13"/>
        <v>88.081256085426901</v>
      </c>
      <c r="K36" s="41">
        <f t="shared" si="13"/>
        <v>91.750970740428286</v>
      </c>
      <c r="L36" s="41">
        <f t="shared" si="13"/>
        <v>84.742943559845472</v>
      </c>
      <c r="N36" s="40">
        <f t="shared" si="10"/>
        <v>78.183783431746775</v>
      </c>
      <c r="O36" s="40">
        <f t="shared" si="11"/>
        <v>79.647180321284864</v>
      </c>
    </row>
    <row r="37" spans="2:15" x14ac:dyDescent="0.3">
      <c r="N37" s="14"/>
    </row>
    <row r="38" spans="2:15" x14ac:dyDescent="0.3">
      <c r="B38" s="30" t="s">
        <v>143</v>
      </c>
      <c r="C38" s="32">
        <f>IFERROR(historicalfs!C99/historicalfs!C6,0)</f>
        <v>0.35222262366210166</v>
      </c>
      <c r="D38" s="32">
        <f>IFERROR(historicalfs!D99/historicalfs!D6,0)</f>
        <v>0.30598080546146994</v>
      </c>
      <c r="E38" s="32">
        <f>IFERROR(historicalfs!E99/historicalfs!E6,0)</f>
        <v>-0.32292717793474607</v>
      </c>
      <c r="F38" s="32">
        <f>IFERROR(historicalfs!F99/historicalfs!F6,0)</f>
        <v>0.29822618600328266</v>
      </c>
      <c r="G38" s="32">
        <f>IFERROR(historicalfs!G99/historicalfs!G6,0)</f>
        <v>0.22263226703294886</v>
      </c>
      <c r="H38" s="32">
        <f>IFERROR(historicalfs!H99/historicalfs!H6,0)</f>
        <v>0.18939951327183202</v>
      </c>
      <c r="I38" s="32">
        <f>IFERROR(historicalfs!I99/historicalfs!I6,0)</f>
        <v>0.30093262049111824</v>
      </c>
      <c r="J38" s="32">
        <f>IFERROR(historicalfs!J99/historicalfs!J6,0)</f>
        <v>0.10197195596081773</v>
      </c>
      <c r="K38" s="32">
        <f>IFERROR(historicalfs!K99/historicalfs!K6,0)</f>
        <v>9.6130342217315881E-2</v>
      </c>
      <c r="L38" s="32">
        <f>IFERROR(historicalfs!L99/historicalfs!L6,0)</f>
        <v>0.16056335465322574</v>
      </c>
      <c r="N38" s="14">
        <f>IFERROR(AVERAGE(C38:L38),0)</f>
        <v>0.17051324908193666</v>
      </c>
      <c r="O38" s="42">
        <f>IFERROR(MEDIAN(C38:L38),0)</f>
        <v>0.20601589015239044</v>
      </c>
    </row>
    <row r="39" spans="2:15" x14ac:dyDescent="0.3">
      <c r="B39" t="s">
        <v>144</v>
      </c>
      <c r="C39" s="33">
        <f>IFERROR('Data Sheet'!B83/'Data Sheet'!B17,0)</f>
        <v>-5.6880125510814082E-2</v>
      </c>
      <c r="D39" s="33">
        <f>IFERROR('Data Sheet'!C83/'Data Sheet'!C17,0)</f>
        <v>-7.092864387585536E-2</v>
      </c>
      <c r="E39" s="33">
        <f>IFERROR('Data Sheet'!D83/'Data Sheet'!D17,0)</f>
        <v>-8.177766565758493E-2</v>
      </c>
      <c r="F39" s="33">
        <f>IFERROR('Data Sheet'!E83/'Data Sheet'!E17,0)</f>
        <v>-4.4216812671794975E-2</v>
      </c>
      <c r="G39" s="33">
        <f>IFERROR('Data Sheet'!F83/'Data Sheet'!F17,0)</f>
        <v>-5.3883197908219833E-2</v>
      </c>
      <c r="H39" s="33">
        <f>IFERROR('Data Sheet'!G83/'Data Sheet'!G17,0)</f>
        <v>-0.1744863885901862</v>
      </c>
      <c r="I39" s="33">
        <f>IFERROR('Data Sheet'!H83/'Data Sheet'!H17,0)</f>
        <v>-7.5153557356823525E-2</v>
      </c>
      <c r="J39" s="33">
        <f>IFERROR('Data Sheet'!I83/'Data Sheet'!I17,0)</f>
        <v>1.8645433211521172E-2</v>
      </c>
      <c r="K39" s="33">
        <f>IFERROR('Data Sheet'!J83/'Data Sheet'!J17,0)</f>
        <v>-3.5217237028859802E-2</v>
      </c>
      <c r="L39" s="33">
        <f>IFERROR('Data Sheet'!K83/'Data Sheet'!K17,0)</f>
        <v>-6.0120276946312085E-2</v>
      </c>
      <c r="N39" s="14">
        <f t="shared" ref="N39:N40" si="14">IFERROR(AVERAGE(C39:L39),0)</f>
        <v>-6.3401847233492958E-2</v>
      </c>
      <c r="O39" s="42">
        <f t="shared" ref="O39:O40" si="15">IFERROR(MEDIAN(C39:L39),0)</f>
        <v>-5.8500201228563087E-2</v>
      </c>
    </row>
    <row r="40" spans="2:15" x14ac:dyDescent="0.3">
      <c r="B40" s="34" t="s">
        <v>145</v>
      </c>
      <c r="C40" s="35">
        <f>IFERROR('Data Sheet'!B82/'Data Sheet'!B59,0)</f>
        <v>8.5513153019636903</v>
      </c>
      <c r="D40" s="35">
        <f>IFERROR('Data Sheet'!C82/'Data Sheet'!C59,0)</f>
        <v>3.5058329359110756</v>
      </c>
      <c r="E40" s="35">
        <f>IFERROR('Data Sheet'!D82/'Data Sheet'!D59,0)</f>
        <v>15.4553264604811</v>
      </c>
      <c r="F40" s="35">
        <f>IFERROR('Data Sheet'!E82/'Data Sheet'!E59,0)</f>
        <v>14.951526032315979</v>
      </c>
      <c r="G40" s="35">
        <f>IFERROR('Data Sheet'!F82/'Data Sheet'!F59,0)</f>
        <v>2.1384982121573302</v>
      </c>
      <c r="H40" s="35">
        <f>IFERROR('Data Sheet'!G82/'Data Sheet'!G59,0)</f>
        <v>1.6728024042073628</v>
      </c>
      <c r="I40" s="35">
        <f>IFERROR('Data Sheet'!H82/'Data Sheet'!H59,0)</f>
        <v>2.8581002331002332</v>
      </c>
      <c r="J40" s="35">
        <f>IFERROR('Data Sheet'!I82/'Data Sheet'!I59,0)</f>
        <v>2.6643544064322877</v>
      </c>
      <c r="K40" s="35">
        <f>IFERROR('Data Sheet'!J82/'Data Sheet'!J59,0)</f>
        <v>3.7565707133917399</v>
      </c>
      <c r="L40" s="35">
        <f>IFERROR('Data Sheet'!K82/'Data Sheet'!K59,0)</f>
        <v>3.8985758944077804</v>
      </c>
      <c r="N40" s="14">
        <f t="shared" si="14"/>
        <v>5.9452902594368569</v>
      </c>
      <c r="O40" s="42">
        <f t="shared" si="15"/>
        <v>3.6312018246514075</v>
      </c>
    </row>
  </sheetData>
  <mergeCells count="1">
    <mergeCell ref="B2:L2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C57A07-723F-4AA3-817D-88098368631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financials!C5:L5</xm:f>
              <xm:sqref>M5</xm:sqref>
            </x14:sparkline>
            <x14:sparkline>
              <xm:f>financials!C6:L6</xm:f>
              <xm:sqref>M6</xm:sqref>
            </x14:sparkline>
            <x14:sparkline>
              <xm:f>financials!C7:L7</xm:f>
              <xm:sqref>M7</xm:sqref>
            </x14:sparkline>
            <x14:sparkline>
              <xm:f>financials!C8:L8</xm:f>
              <xm:sqref>M8</xm:sqref>
            </x14:sparkline>
            <x14:sparkline>
              <xm:f>financials!C9:L9</xm:f>
              <xm:sqref>M9</xm:sqref>
            </x14:sparkline>
          </x14:sparklines>
        </x14:sparklineGroup>
        <x14:sparklineGroup displayEmptyCellsAs="gap" xr2:uid="{4756B751-11CA-4D0D-B0D0-2609685F566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financials!C11:L11</xm:f>
              <xm:sqref>M11</xm:sqref>
            </x14:sparkline>
            <x14:sparkline>
              <xm:f>financials!C12:L12</xm:f>
              <xm:sqref>M12</xm:sqref>
            </x14:sparkline>
            <x14:sparkline>
              <xm:f>financials!C13:L13</xm:f>
              <xm:sqref>M13</xm:sqref>
            </x14:sparkline>
            <x14:sparkline>
              <xm:f>financials!C14:L14</xm:f>
              <xm:sqref>M14</xm:sqref>
            </x14:sparkline>
            <x14:sparkline>
              <xm:f>financials!C15:L15</xm:f>
              <xm:sqref>M15</xm:sqref>
            </x14:sparkline>
            <x14:sparkline>
              <xm:f>financials!C16:L16</xm:f>
              <xm:sqref>M16</xm:sqref>
            </x14:sparkline>
            <x14:sparkline>
              <xm:f>financials!C17:L17</xm:f>
              <xm:sqref>M17</xm:sqref>
            </x14:sparkline>
            <x14:sparkline>
              <xm:f>financials!C18:L18</xm:f>
              <xm:sqref>M18</xm:sqref>
            </x14:sparkline>
            <x14:sparkline>
              <xm:f>financials!C19:L19</xm:f>
              <xm:sqref>M19</xm:sqref>
            </x14:sparkline>
            <x14:sparkline>
              <xm:f>financials!C20:L20</xm:f>
              <xm:sqref>M20</xm:sqref>
            </x14:sparkline>
            <x14:sparkline>
              <xm:f>financials!C21:L21</xm:f>
              <xm:sqref>M21</xm:sqref>
            </x14:sparkline>
            <x14:sparkline>
              <xm:f>financials!C22:L22</xm:f>
              <xm:sqref>M22</xm:sqref>
            </x14:sparkline>
            <x14:sparkline>
              <xm:f>financials!C23:L23</xm:f>
              <xm:sqref>M23</xm:sqref>
            </x14:sparkline>
            <x14:sparkline>
              <xm:f>financials!C24:L24</xm:f>
              <xm:sqref>M24</xm:sqref>
            </x14:sparkline>
            <x14:sparkline>
              <xm:f>financials!C25:L25</xm:f>
              <xm:sqref>M25</xm:sqref>
            </x14:sparkline>
            <x14:sparkline>
              <xm:f>financials!C26:L26</xm:f>
              <xm:sqref>M26</xm:sqref>
            </x14:sparkline>
            <x14:sparkline>
              <xm:f>financials!C27:L27</xm:f>
              <xm:sqref>M27</xm:sqref>
            </x14:sparkline>
            <x14:sparkline>
              <xm:f>financials!C28:L28</xm:f>
              <xm:sqref>M28</xm:sqref>
            </x14:sparkline>
            <x14:sparkline>
              <xm:f>financials!C29:L29</xm:f>
              <xm:sqref>M29</xm:sqref>
            </x14:sparkline>
            <x14:sparkline>
              <xm:f>financials!C30:L30</xm:f>
              <xm:sqref>M30</xm:sqref>
            </x14:sparkline>
            <x14:sparkline>
              <xm:f>financials!C31:L31</xm:f>
              <xm:sqref>M31</xm:sqref>
            </x14:sparkline>
            <x14:sparkline>
              <xm:f>financials!C32:L32</xm:f>
              <xm:sqref>M32</xm:sqref>
            </x14:sparkline>
            <x14:sparkline>
              <xm:f>financials!C33:L33</xm:f>
              <xm:sqref>M33</xm:sqref>
            </x14:sparkline>
            <x14:sparkline>
              <xm:f>financials!C34:L34</xm:f>
              <xm:sqref>M34</xm:sqref>
            </x14:sparkline>
            <x14:sparkline>
              <xm:f>financials!C35:L35</xm:f>
              <xm:sqref>M35</xm:sqref>
            </x14:sparkline>
            <x14:sparkline>
              <xm:f>financials!C36:L36</xm:f>
              <xm:sqref>M36</xm:sqref>
            </x14:sparkline>
            <x14:sparkline>
              <xm:f>financials!C37:L37</xm:f>
              <xm:sqref>M37</xm:sqref>
            </x14:sparkline>
            <x14:sparkline>
              <xm:f>financials!C38:L38</xm:f>
              <xm:sqref>M38</xm:sqref>
            </x14:sparkline>
            <x14:sparkline>
              <xm:f>financials!C39:L39</xm:f>
              <xm:sqref>M39</xm:sqref>
            </x14:sparkline>
            <x14:sparkline>
              <xm:f>financials!C40:L40</xm:f>
              <xm:sqref>M40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FC09-2EC9-43E8-8852-C3EC020B5D5C}">
  <dimension ref="B3:T18"/>
  <sheetViews>
    <sheetView showGridLines="0" workbookViewId="0">
      <selection activeCell="P3" sqref="P3"/>
    </sheetView>
  </sheetViews>
  <sheetFormatPr defaultRowHeight="14.4" x14ac:dyDescent="0.3"/>
  <cols>
    <col min="1" max="1" width="2.77734375" customWidth="1"/>
    <col min="3" max="3" width="11.44140625" customWidth="1"/>
    <col min="4" max="4" width="11.6640625" customWidth="1"/>
    <col min="5" max="5" width="10.77734375" customWidth="1"/>
    <col min="6" max="6" width="2.77734375" customWidth="1"/>
    <col min="9" max="9" width="10.21875" customWidth="1"/>
    <col min="10" max="10" width="9.5546875" customWidth="1"/>
    <col min="11" max="11" width="2.77734375" customWidth="1"/>
    <col min="14" max="14" width="11.21875" customWidth="1"/>
    <col min="15" max="15" width="11.5546875" customWidth="1"/>
    <col min="16" max="16" width="2.77734375" customWidth="1"/>
    <col min="20" max="20" width="11.5546875" customWidth="1"/>
  </cols>
  <sheetData>
    <row r="3" spans="2:20" x14ac:dyDescent="0.3">
      <c r="B3" s="51" t="str">
        <f>'Data Sheet'!B1&amp;" - "&amp;'Data Sheet'!A17 &amp; " forecasting"</f>
        <v>HCL TECHNOLOGIES LTD - Sales forecasting</v>
      </c>
      <c r="C3" s="51"/>
      <c r="D3" s="51"/>
      <c r="E3" s="51"/>
      <c r="G3" s="52" t="str">
        <f>'Data Sheet'!B1&amp;" - "&amp;historicalfs!B18&amp;" forecasting"</f>
        <v>HCL TECHNOLOGIES LTD - EBITDA forecasting</v>
      </c>
      <c r="H3" s="51"/>
      <c r="I3" s="51"/>
      <c r="J3" s="51"/>
      <c r="L3" s="52" t="str">
        <f>'Data Sheet'!B1&amp;" - "&amp;'Data Sheet'!A30&amp;" forecasting"</f>
        <v>HCL TECHNOLOGIES LTD - Net profit forecasting</v>
      </c>
      <c r="M3" s="51"/>
      <c r="N3" s="51"/>
      <c r="O3" s="51"/>
      <c r="Q3" s="52" t="str">
        <f>'Data Sheet'!B1&amp;" - "&amp;historicalfs!B38&amp;" forecasting"</f>
        <v>HCL TECHNOLOGIES LTD - Earning per share forecasting</v>
      </c>
      <c r="R3" s="51"/>
      <c r="S3" s="51"/>
      <c r="T3" s="51"/>
    </row>
    <row r="4" spans="2:20" x14ac:dyDescent="0.3">
      <c r="B4" s="45" t="s">
        <v>151</v>
      </c>
      <c r="C4" s="46" t="s">
        <v>152</v>
      </c>
      <c r="D4" s="46" t="s">
        <v>153</v>
      </c>
      <c r="E4" s="45" t="s">
        <v>154</v>
      </c>
      <c r="G4" s="45" t="s">
        <v>151</v>
      </c>
      <c r="H4" s="46" t="s">
        <v>152</v>
      </c>
      <c r="I4" s="46" t="s">
        <v>153</v>
      </c>
      <c r="J4" s="45" t="s">
        <v>154</v>
      </c>
      <c r="L4" s="45" t="s">
        <v>151</v>
      </c>
      <c r="M4" s="46" t="s">
        <v>152</v>
      </c>
      <c r="N4" s="46" t="s">
        <v>153</v>
      </c>
      <c r="O4" s="45" t="s">
        <v>154</v>
      </c>
      <c r="Q4" s="45" t="s">
        <v>151</v>
      </c>
      <c r="R4" s="46" t="s">
        <v>152</v>
      </c>
      <c r="S4" s="46" t="s">
        <v>155</v>
      </c>
      <c r="T4" s="45" t="s">
        <v>154</v>
      </c>
    </row>
    <row r="5" spans="2:20" x14ac:dyDescent="0.3">
      <c r="B5" s="43">
        <v>1</v>
      </c>
      <c r="C5" s="47">
        <v>42094</v>
      </c>
      <c r="D5" s="48">
        <f t="array" ref="D5:D14">TRANSPOSE('Data Sheet'!B17:K17)</f>
        <v>36701.22</v>
      </c>
      <c r="G5" s="43">
        <v>1</v>
      </c>
      <c r="H5" s="47">
        <v>42094</v>
      </c>
      <c r="I5" s="49">
        <v>14883</v>
      </c>
      <c r="L5" s="43">
        <v>1</v>
      </c>
      <c r="M5" s="47">
        <v>42094</v>
      </c>
      <c r="N5" s="49">
        <v>12372</v>
      </c>
      <c r="Q5" s="43">
        <v>1</v>
      </c>
      <c r="R5" s="47">
        <v>42094</v>
      </c>
      <c r="S5" s="49">
        <v>21.707518829727025</v>
      </c>
    </row>
    <row r="6" spans="2:20" x14ac:dyDescent="0.3">
      <c r="B6" s="43">
        <v>2</v>
      </c>
      <c r="C6" s="47">
        <v>42460</v>
      </c>
      <c r="D6" s="48">
        <v>62441</v>
      </c>
      <c r="E6" s="14">
        <f>D6/D5-1</f>
        <v>0.70133308919975956</v>
      </c>
      <c r="G6" s="43">
        <v>2</v>
      </c>
      <c r="H6" s="47">
        <v>42460</v>
      </c>
      <c r="I6" s="49">
        <v>17079</v>
      </c>
      <c r="J6" s="14">
        <f>I6/I5-1</f>
        <v>0.14755089699657331</v>
      </c>
      <c r="L6" s="43">
        <v>2</v>
      </c>
      <c r="M6" s="47">
        <v>42460</v>
      </c>
      <c r="N6" s="49">
        <v>13489</v>
      </c>
      <c r="O6" s="14">
        <f>N6/N5-1</f>
        <v>9.0284513417394185E-2</v>
      </c>
      <c r="Q6" s="43">
        <v>2</v>
      </c>
      <c r="R6" s="47">
        <v>42460</v>
      </c>
      <c r="S6" s="49">
        <v>25.747186486427655</v>
      </c>
      <c r="T6" s="14">
        <f>S6/S5-1</f>
        <v>0.18609531970869786</v>
      </c>
    </row>
    <row r="7" spans="2:20" x14ac:dyDescent="0.3">
      <c r="B7" s="43">
        <v>3</v>
      </c>
      <c r="C7" s="47">
        <v>42825</v>
      </c>
      <c r="D7" s="48">
        <v>68484</v>
      </c>
      <c r="E7" s="14">
        <f t="shared" ref="E7:E18" si="0">D7/D6-1</f>
        <v>9.67793597155715E-2</v>
      </c>
      <c r="G7" s="43">
        <v>3</v>
      </c>
      <c r="H7" s="47">
        <v>42825</v>
      </c>
      <c r="I7" s="49">
        <v>18604</v>
      </c>
      <c r="J7" s="14">
        <f t="shared" ref="J7:J18" si="1">I7/I6-1</f>
        <v>8.9290942092628445E-2</v>
      </c>
      <c r="L7" s="43">
        <v>3</v>
      </c>
      <c r="M7" s="47">
        <v>42825</v>
      </c>
      <c r="N7" s="49">
        <v>14353</v>
      </c>
      <c r="O7" s="14">
        <f t="shared" ref="O7:O18" si="2">N7/N6-1</f>
        <v>6.4052190673882459E-2</v>
      </c>
      <c r="Q7" s="43">
        <v>3</v>
      </c>
      <c r="R7" s="47">
        <v>42825</v>
      </c>
      <c r="S7" s="49">
        <v>28.311456496658614</v>
      </c>
      <c r="T7" s="14">
        <f t="shared" ref="T7:T18" si="3">S7/S6-1</f>
        <v>9.9594183293878924E-2</v>
      </c>
    </row>
    <row r="8" spans="2:20" x14ac:dyDescent="0.3">
      <c r="B8" s="43">
        <v>4</v>
      </c>
      <c r="C8" s="47">
        <v>43190</v>
      </c>
      <c r="D8" s="48">
        <v>70522</v>
      </c>
      <c r="E8" s="14">
        <f t="shared" si="0"/>
        <v>2.9758775772443125E-2</v>
      </c>
      <c r="G8" s="43">
        <v>4</v>
      </c>
      <c r="H8" s="47">
        <v>43190</v>
      </c>
      <c r="I8" s="49">
        <v>18822</v>
      </c>
      <c r="J8" s="14">
        <f t="shared" si="1"/>
        <v>1.1717910126854525E-2</v>
      </c>
      <c r="L8" s="43">
        <v>4</v>
      </c>
      <c r="M8" s="47">
        <v>43190</v>
      </c>
      <c r="N8" s="49">
        <v>16029</v>
      </c>
      <c r="O8" s="14">
        <f t="shared" si="2"/>
        <v>0.11677001323765057</v>
      </c>
      <c r="Q8" s="43">
        <v>4</v>
      </c>
      <c r="R8" s="47">
        <v>43190</v>
      </c>
      <c r="S8" s="49">
        <v>33.37988187354059</v>
      </c>
      <c r="T8" s="14">
        <f t="shared" si="3"/>
        <v>0.17902383006964562</v>
      </c>
    </row>
    <row r="9" spans="2:20" x14ac:dyDescent="0.3">
      <c r="B9" s="43">
        <v>5</v>
      </c>
      <c r="C9" s="47">
        <v>43555</v>
      </c>
      <c r="D9" s="48">
        <v>82675</v>
      </c>
      <c r="E9" s="14">
        <f t="shared" si="0"/>
        <v>0.17232920223476356</v>
      </c>
      <c r="G9" s="43">
        <v>5</v>
      </c>
      <c r="H9" s="47">
        <v>43555</v>
      </c>
      <c r="I9" s="49">
        <v>20170</v>
      </c>
      <c r="J9" s="14">
        <f t="shared" si="1"/>
        <v>7.1618318988417862E-2</v>
      </c>
      <c r="L9" s="43">
        <v>5</v>
      </c>
      <c r="M9" s="47">
        <v>43555</v>
      </c>
      <c r="N9" s="49">
        <v>15404</v>
      </c>
      <c r="O9" s="14">
        <f t="shared" si="2"/>
        <v>-3.899182731299522E-2</v>
      </c>
      <c r="Q9" s="43">
        <v>5</v>
      </c>
      <c r="R9" s="47">
        <v>43555</v>
      </c>
      <c r="S9" s="49">
        <v>33.2783995971526</v>
      </c>
      <c r="T9" s="14">
        <f t="shared" si="3"/>
        <v>-3.040222753706967E-3</v>
      </c>
    </row>
    <row r="10" spans="2:20" x14ac:dyDescent="0.3">
      <c r="B10" s="43">
        <v>6</v>
      </c>
      <c r="C10" s="47">
        <v>43921</v>
      </c>
      <c r="D10" s="48">
        <v>90791</v>
      </c>
      <c r="E10" s="14">
        <f t="shared" si="0"/>
        <v>9.8167523435137571E-2</v>
      </c>
      <c r="G10" s="43">
        <v>6</v>
      </c>
      <c r="H10" s="47">
        <v>43921</v>
      </c>
      <c r="I10" s="49">
        <v>22267</v>
      </c>
      <c r="J10" s="14">
        <f t="shared" si="1"/>
        <v>0.10396628656420437</v>
      </c>
      <c r="L10" s="43">
        <v>6</v>
      </c>
      <c r="M10" s="47">
        <v>43921</v>
      </c>
      <c r="N10" s="49">
        <v>16594</v>
      </c>
      <c r="O10" s="14">
        <f t="shared" si="2"/>
        <v>7.7252661646325604E-2</v>
      </c>
      <c r="Q10" s="43">
        <v>6</v>
      </c>
      <c r="R10" s="47">
        <v>43921</v>
      </c>
      <c r="S10" s="49">
        <v>39.678328246067153</v>
      </c>
      <c r="T10" s="14">
        <f t="shared" si="3"/>
        <v>0.19231479657640005</v>
      </c>
    </row>
    <row r="11" spans="2:20" x14ac:dyDescent="0.3">
      <c r="B11" s="43">
        <v>7</v>
      </c>
      <c r="C11" s="47">
        <v>44286</v>
      </c>
      <c r="D11" s="48">
        <v>100472</v>
      </c>
      <c r="E11" s="14">
        <f t="shared" si="0"/>
        <v>0.10662951173574475</v>
      </c>
      <c r="G11" s="43">
        <v>7</v>
      </c>
      <c r="H11" s="47">
        <v>44286</v>
      </c>
      <c r="I11" s="49">
        <v>27889</v>
      </c>
      <c r="J11" s="14">
        <f t="shared" si="1"/>
        <v>0.25248125028068436</v>
      </c>
      <c r="L11" s="43">
        <v>7</v>
      </c>
      <c r="M11" s="47">
        <v>44286</v>
      </c>
      <c r="N11" s="49">
        <v>19351</v>
      </c>
      <c r="O11" s="14">
        <f t="shared" si="2"/>
        <v>0.16614438953838739</v>
      </c>
      <c r="Q11" s="43">
        <v>7</v>
      </c>
      <c r="R11" s="47">
        <v>44286</v>
      </c>
      <c r="S11" s="49">
        <v>48.546013565845989</v>
      </c>
      <c r="T11" s="14">
        <f t="shared" si="3"/>
        <v>0.22348938858475687</v>
      </c>
    </row>
    <row r="12" spans="2:20" x14ac:dyDescent="0.3">
      <c r="B12" s="43">
        <v>8</v>
      </c>
      <c r="C12" s="47">
        <v>44651</v>
      </c>
      <c r="D12" s="48">
        <v>121641</v>
      </c>
      <c r="E12" s="14">
        <f t="shared" si="0"/>
        <v>0.21069551715900947</v>
      </c>
      <c r="G12" s="43">
        <v>8</v>
      </c>
      <c r="H12" s="47">
        <v>44651</v>
      </c>
      <c r="I12" s="49">
        <v>31491</v>
      </c>
      <c r="J12" s="14">
        <f t="shared" si="1"/>
        <v>0.12915486392484499</v>
      </c>
      <c r="L12" s="43">
        <v>8</v>
      </c>
      <c r="M12" s="47">
        <v>44651</v>
      </c>
      <c r="N12" s="49">
        <v>22110</v>
      </c>
      <c r="O12" s="14">
        <f t="shared" si="2"/>
        <v>0.14257661102785391</v>
      </c>
      <c r="Q12" s="43">
        <v>8</v>
      </c>
      <c r="R12" s="47">
        <v>44651</v>
      </c>
      <c r="S12" s="49">
        <v>55.927449069341762</v>
      </c>
      <c r="T12" s="14">
        <f t="shared" si="3"/>
        <v>0.15205029128671654</v>
      </c>
    </row>
    <row r="13" spans="2:20" x14ac:dyDescent="0.3">
      <c r="B13" s="43">
        <v>9</v>
      </c>
      <c r="C13" s="47">
        <v>45016</v>
      </c>
      <c r="D13" s="48">
        <v>146767</v>
      </c>
      <c r="E13" s="14">
        <f t="shared" si="0"/>
        <v>0.20655864387829759</v>
      </c>
      <c r="G13" s="43">
        <v>9</v>
      </c>
      <c r="H13" s="47">
        <v>45016</v>
      </c>
      <c r="I13" s="49">
        <v>35130</v>
      </c>
      <c r="J13" s="14">
        <f t="shared" si="1"/>
        <v>0.1155568257597408</v>
      </c>
      <c r="L13" s="43">
        <v>9</v>
      </c>
      <c r="M13" s="47">
        <v>45016</v>
      </c>
      <c r="N13" s="49">
        <v>24095</v>
      </c>
      <c r="O13" s="14">
        <f t="shared" si="2"/>
        <v>8.9778380823156922E-2</v>
      </c>
      <c r="Q13" s="43">
        <v>9</v>
      </c>
      <c r="R13" s="47">
        <v>45016</v>
      </c>
      <c r="S13" s="49">
        <v>62.469266740587187</v>
      </c>
      <c r="T13" s="14">
        <f t="shared" si="3"/>
        <v>0.11696971308551074</v>
      </c>
    </row>
    <row r="14" spans="2:20" x14ac:dyDescent="0.3">
      <c r="B14" s="43">
        <v>10</v>
      </c>
      <c r="C14" s="47">
        <v>45382</v>
      </c>
      <c r="D14" s="48">
        <v>153670</v>
      </c>
      <c r="E14" s="14">
        <f t="shared" si="0"/>
        <v>4.7033733741236095E-2</v>
      </c>
      <c r="G14" s="43">
        <v>10</v>
      </c>
      <c r="H14" s="47">
        <v>45382</v>
      </c>
      <c r="I14" s="49">
        <v>36425</v>
      </c>
      <c r="J14" s="14">
        <f t="shared" si="1"/>
        <v>3.6863079988613823E-2</v>
      </c>
      <c r="L14" s="43">
        <v>10</v>
      </c>
      <c r="M14" s="47">
        <v>45382</v>
      </c>
      <c r="N14" s="49">
        <v>26233</v>
      </c>
      <c r="O14" s="14">
        <f t="shared" si="2"/>
        <v>8.8732102095870458E-2</v>
      </c>
      <c r="Q14" s="43">
        <v>10</v>
      </c>
      <c r="R14" s="47">
        <v>45382</v>
      </c>
      <c r="S14" s="49">
        <v>64.287263003204131</v>
      </c>
      <c r="T14" s="14">
        <f t="shared" si="3"/>
        <v>2.9102250714202249E-2</v>
      </c>
    </row>
    <row r="15" spans="2:20" x14ac:dyDescent="0.3">
      <c r="B15" s="43">
        <v>11</v>
      </c>
      <c r="C15" s="44">
        <v>2025</v>
      </c>
      <c r="D15" s="48">
        <f>FORECAST(B15,$D$5:$D$14,$B$5:$B$14)</f>
        <v>160308.15599999999</v>
      </c>
      <c r="E15" s="14">
        <f>D15/D14-1</f>
        <v>4.3197475108999628E-2</v>
      </c>
      <c r="G15" s="43">
        <v>11</v>
      </c>
      <c r="H15" s="44">
        <v>2025</v>
      </c>
      <c r="I15" s="49">
        <v>36798</v>
      </c>
      <c r="J15" s="14">
        <f>I15/I14-1</f>
        <v>1.024021962937538E-2</v>
      </c>
      <c r="L15" s="43">
        <v>11</v>
      </c>
      <c r="M15" s="44">
        <v>2025</v>
      </c>
      <c r="N15" s="49">
        <f>FORECAST(L15,N5:N14,L5:L14)</f>
        <v>26300.733333333334</v>
      </c>
      <c r="O15" s="14">
        <f>N15/N14-1</f>
        <v>2.5819896059671166E-3</v>
      </c>
      <c r="Q15" s="43">
        <v>11</v>
      </c>
      <c r="R15" s="44">
        <v>2025</v>
      </c>
      <c r="S15" s="49">
        <v>63.477108433734941</v>
      </c>
      <c r="T15" s="14">
        <f>S15/S14-1</f>
        <v>-1.2602100814726125E-2</v>
      </c>
    </row>
    <row r="16" spans="2:20" x14ac:dyDescent="0.3">
      <c r="B16" s="43">
        <v>12</v>
      </c>
      <c r="C16" s="44">
        <v>2026</v>
      </c>
      <c r="D16" s="48">
        <f t="shared" ref="D16:D18" si="4">FORECAST(B16,$D$5:$D$14,$B$5:$B$14)</f>
        <v>172470.28945454545</v>
      </c>
      <c r="E16" s="14">
        <f t="shared" si="0"/>
        <v>7.5867215730093251E-2</v>
      </c>
      <c r="G16" s="43">
        <v>12</v>
      </c>
      <c r="H16" s="44">
        <v>2026</v>
      </c>
      <c r="I16" s="48">
        <f>FORECAST(G16,$D$5:$D$14,$B$5:$B$14)</f>
        <v>172470.28945454545</v>
      </c>
      <c r="J16" s="14">
        <f t="shared" si="1"/>
        <v>3.6869473736220844</v>
      </c>
      <c r="L16" s="43">
        <v>12</v>
      </c>
      <c r="M16" s="44">
        <v>2026</v>
      </c>
      <c r="N16" s="49">
        <f t="shared" ref="N16:N18" si="5">FORECAST(L16,N6:N15,L6:L15)</f>
        <v>28118.226666666666</v>
      </c>
      <c r="O16" s="14">
        <f t="shared" si="2"/>
        <v>6.910428353075071E-2</v>
      </c>
      <c r="Q16" s="43">
        <v>12</v>
      </c>
      <c r="R16" s="44">
        <v>2026</v>
      </c>
      <c r="S16" s="49">
        <f t="shared" ref="S16:S18" si="6">FORECAST(Q16,S6:S15,Q6:Q15)</f>
        <v>72.632292056028177</v>
      </c>
      <c r="T16" s="14">
        <f t="shared" si="3"/>
        <v>0.14422811385383949</v>
      </c>
    </row>
    <row r="17" spans="2:20" x14ac:dyDescent="0.3">
      <c r="B17" s="43">
        <v>13</v>
      </c>
      <c r="C17" s="44">
        <v>2027</v>
      </c>
      <c r="D17" s="48">
        <f t="shared" si="4"/>
        <v>184632.42290909091</v>
      </c>
      <c r="E17" s="14">
        <f t="shared" si="0"/>
        <v>7.0517267020362873E-2</v>
      </c>
      <c r="G17" s="43">
        <v>13</v>
      </c>
      <c r="H17" s="44">
        <v>2027</v>
      </c>
      <c r="I17" s="48">
        <f t="shared" ref="I17:I18" si="7">FORECAST(G17,$D$5:$D$14,$B$5:$B$14)</f>
        <v>184632.42290909091</v>
      </c>
      <c r="J17" s="14">
        <f t="shared" si="1"/>
        <v>7.0517267020362873E-2</v>
      </c>
      <c r="L17" s="43">
        <v>13</v>
      </c>
      <c r="M17" s="44">
        <v>2027</v>
      </c>
      <c r="N17" s="49">
        <f t="shared" si="5"/>
        <v>30032.001777777779</v>
      </c>
      <c r="O17" s="14">
        <f t="shared" si="2"/>
        <v>6.8061728564832835E-2</v>
      </c>
      <c r="Q17" s="43">
        <v>13</v>
      </c>
      <c r="R17" s="44">
        <v>2027</v>
      </c>
      <c r="S17" s="49">
        <f t="shared" si="6"/>
        <v>78.21096837398278</v>
      </c>
      <c r="T17" s="14">
        <f t="shared" si="3"/>
        <v>7.6807108243964528E-2</v>
      </c>
    </row>
    <row r="18" spans="2:20" x14ac:dyDescent="0.3">
      <c r="B18" s="43">
        <v>14</v>
      </c>
      <c r="C18" s="44">
        <v>2028</v>
      </c>
      <c r="D18" s="48">
        <f t="shared" si="4"/>
        <v>196794.55636363634</v>
      </c>
      <c r="E18" s="14">
        <f t="shared" si="0"/>
        <v>6.5872143488762136E-2</v>
      </c>
      <c r="G18" s="43">
        <v>14</v>
      </c>
      <c r="H18" s="44">
        <v>2028</v>
      </c>
      <c r="I18" s="48">
        <f t="shared" si="7"/>
        <v>196794.55636363634</v>
      </c>
      <c r="J18" s="14">
        <f t="shared" si="1"/>
        <v>6.5872143488762136E-2</v>
      </c>
      <c r="L18" s="43">
        <v>14</v>
      </c>
      <c r="M18" s="44">
        <v>2028</v>
      </c>
      <c r="N18" s="49">
        <f t="shared" si="5"/>
        <v>31966.405155555552</v>
      </c>
      <c r="O18" s="14">
        <f t="shared" si="2"/>
        <v>6.4411403278789692E-2</v>
      </c>
      <c r="Q18" s="43">
        <v>14</v>
      </c>
      <c r="R18" s="44">
        <v>2028</v>
      </c>
      <c r="S18" s="49">
        <f t="shared" si="6"/>
        <v>83.579246850540784</v>
      </c>
      <c r="T18" s="14">
        <f t="shared" si="3"/>
        <v>6.8638435096320727E-2</v>
      </c>
    </row>
  </sheetData>
  <mergeCells count="4">
    <mergeCell ref="B3:E3"/>
    <mergeCell ref="G3:J3"/>
    <mergeCell ref="L3:O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Sheet</vt:lpstr>
      <vt:lpstr>historicalfs</vt:lpstr>
      <vt:lpstr>cashflow data</vt:lpstr>
      <vt:lpstr>Data&gt;</vt:lpstr>
      <vt:lpstr>financials</vt:lpstr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</dc:creator>
  <cp:lastModifiedBy>arjun s</cp:lastModifiedBy>
  <cp:lastPrinted>2024-11-08T16:58:59Z</cp:lastPrinted>
  <dcterms:created xsi:type="dcterms:W3CDTF">2024-10-16T04:37:50Z</dcterms:created>
  <dcterms:modified xsi:type="dcterms:W3CDTF">2024-11-18T03:44:24Z</dcterms:modified>
</cp:coreProperties>
</file>