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xl/drawings/drawing9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EM6TEE\QF\test\"/>
    </mc:Choice>
  </mc:AlternateContent>
  <xr:revisionPtr revIDLastSave="0" documentId="13_ncr:1_{45BBA335-A067-408F-B01A-ED50C66FCCBA}" xr6:coauthVersionLast="47" xr6:coauthVersionMax="47" xr10:uidLastSave="{00000000-0000-0000-0000-000000000000}"/>
  <bookViews>
    <workbookView xWindow="12225" yWindow="2520" windowWidth="23010" windowHeight="11250" firstSheet="18" activeTab="26" xr2:uid="{00000000-000D-0000-FFFF-FFFF00000000}"/>
  </bookViews>
  <sheets>
    <sheet name="FVPV" sheetId="1" r:id="rId1"/>
    <sheet name="Annuities" sheetId="6" r:id="rId2"/>
    <sheet name="TVM1" sheetId="24" r:id="rId3"/>
    <sheet name="TVM2" sheetId="25" r:id="rId4"/>
    <sheet name="TVM3" sheetId="26" r:id="rId5"/>
    <sheet name="AM GM" sheetId="2" r:id="rId6"/>
    <sheet name="Risk" sheetId="3" r:id="rId7"/>
    <sheet name="Risk_PQ" sheetId="4" r:id="rId8"/>
    <sheet name="Risk_sir" sheetId="28" r:id="rId9"/>
    <sheet name="M1" sheetId="7" r:id="rId10"/>
    <sheet name="Utility" sheetId="5" r:id="rId11"/>
    <sheet name="Utility Maximization" sheetId="9" r:id="rId12"/>
    <sheet name="Risk Minimization" sheetId="8" r:id="rId13"/>
    <sheet name="Portfolio Optimization" sheetId="14" r:id="rId14"/>
    <sheet name="3-stk portfolio" sheetId="10" r:id="rId15"/>
    <sheet name="data1" sheetId="11" r:id="rId16"/>
    <sheet name="data2" sheetId="13" r:id="rId17"/>
    <sheet name="Multi Asset Portfolio" sheetId="12" r:id="rId18"/>
    <sheet name="M2" sheetId="15" r:id="rId19"/>
    <sheet name="VaR" sheetId="16" r:id="rId20"/>
    <sheet name="VaR_PQ" sheetId="22" r:id="rId21"/>
    <sheet name="BSM" sheetId="18" r:id="rId22"/>
    <sheet name="BSM_PQ" sheetId="30" r:id="rId23"/>
    <sheet name="Credit Risk" sheetId="17" r:id="rId24"/>
    <sheet name="Solvency" sheetId="19" r:id="rId25"/>
    <sheet name="Equity" sheetId="20" r:id="rId26"/>
    <sheet name="Bonds" sheetId="21" r:id="rId27"/>
  </sheets>
  <externalReferences>
    <externalReference r:id="rId28"/>
  </externalReferences>
  <definedNames>
    <definedName name="solver_adj" localSheetId="10" hidden="1">'Utility Maximization'!$Q$25:$Q$26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lhs1" localSheetId="10" hidden="1">'Utility Maximization'!$Q$27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1</definedName>
    <definedName name="solver_nod" localSheetId="10" hidden="1">2147483647</definedName>
    <definedName name="solver_num" localSheetId="10" hidden="1">1</definedName>
    <definedName name="solver_nwt" localSheetId="10" hidden="1">1</definedName>
    <definedName name="solver_opt" localSheetId="10" hidden="1">'Utility Maximization'!$Q$33</definedName>
    <definedName name="solver_pre" localSheetId="10" hidden="1">0.000001</definedName>
    <definedName name="solver_rbv" localSheetId="10" hidden="1">1</definedName>
    <definedName name="solver_rel1" localSheetId="10" hidden="1">2</definedName>
    <definedName name="solver_rhs1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" i="8" l="1"/>
  <c r="K40" i="8"/>
  <c r="G96" i="6"/>
  <c r="G90" i="6"/>
  <c r="G78" i="6"/>
  <c r="I78" i="6" s="1"/>
  <c r="E79" i="6" s="1"/>
  <c r="G67" i="6"/>
  <c r="G62" i="6"/>
  <c r="K59" i="6"/>
  <c r="I59" i="6"/>
  <c r="G59" i="6"/>
  <c r="F51" i="6"/>
  <c r="F50" i="6"/>
  <c r="F49" i="6"/>
  <c r="F48" i="6"/>
  <c r="F47" i="6"/>
  <c r="G33" i="6"/>
  <c r="G28" i="6"/>
  <c r="I25" i="6"/>
  <c r="G25" i="6"/>
  <c r="F17" i="6"/>
  <c r="F16" i="6"/>
  <c r="F15" i="6"/>
  <c r="F14" i="6"/>
  <c r="F13" i="6"/>
  <c r="H13" i="6" s="1"/>
  <c r="E14" i="6" s="1"/>
  <c r="D85" i="30"/>
  <c r="D84" i="30"/>
  <c r="I113" i="30"/>
  <c r="I115" i="30" s="1"/>
  <c r="I111" i="30"/>
  <c r="I109" i="30"/>
  <c r="I108" i="30"/>
  <c r="M105" i="30"/>
  <c r="J105" i="30"/>
  <c r="G105" i="30"/>
  <c r="J50" i="30"/>
  <c r="K41" i="30"/>
  <c r="J48" i="30" s="1"/>
  <c r="K45" i="30"/>
  <c r="J26" i="30"/>
  <c r="J24" i="30"/>
  <c r="L20" i="30"/>
  <c r="F17" i="30"/>
  <c r="F15" i="30"/>
  <c r="P103" i="30"/>
  <c r="M103" i="30"/>
  <c r="J103" i="30"/>
  <c r="G103" i="30"/>
  <c r="P95" i="30"/>
  <c r="M95" i="30"/>
  <c r="J95" i="30"/>
  <c r="G95" i="30"/>
  <c r="P94" i="30"/>
  <c r="M94" i="30"/>
  <c r="J94" i="30"/>
  <c r="G94" i="30"/>
  <c r="P93" i="30"/>
  <c r="P97" i="30" s="1"/>
  <c r="M93" i="30"/>
  <c r="M97" i="30" s="1"/>
  <c r="J93" i="30"/>
  <c r="J97" i="30" s="1"/>
  <c r="G93" i="30"/>
  <c r="G97" i="30" s="1"/>
  <c r="K67" i="30"/>
  <c r="G66" i="30"/>
  <c r="G64" i="30"/>
  <c r="G62" i="30"/>
  <c r="I63" i="30" s="1"/>
  <c r="G44" i="30"/>
  <c r="I43" i="30"/>
  <c r="K43" i="30" s="1"/>
  <c r="G42" i="30"/>
  <c r="I41" i="30"/>
  <c r="G40" i="30"/>
  <c r="F19" i="30"/>
  <c r="I16" i="30"/>
  <c r="K36" i="14"/>
  <c r="K39" i="14" s="1"/>
  <c r="L36" i="14"/>
  <c r="K37" i="14"/>
  <c r="L37" i="14"/>
  <c r="L39" i="14" s="1"/>
  <c r="F68" i="8"/>
  <c r="F61" i="8"/>
  <c r="F66" i="8" s="1"/>
  <c r="I54" i="8"/>
  <c r="I55" i="8" s="1"/>
  <c r="N49" i="8"/>
  <c r="L49" i="8"/>
  <c r="M49" i="8" s="1"/>
  <c r="K36" i="8"/>
  <c r="T27" i="8"/>
  <c r="N27" i="8"/>
  <c r="I27" i="8"/>
  <c r="T25" i="8"/>
  <c r="N25" i="8"/>
  <c r="I25" i="8"/>
  <c r="T21" i="8"/>
  <c r="N21" i="8"/>
  <c r="I20" i="8"/>
  <c r="H55" i="7"/>
  <c r="H52" i="7"/>
  <c r="H51" i="7"/>
  <c r="H50" i="7"/>
  <c r="H54" i="7" s="1"/>
  <c r="F23" i="7"/>
  <c r="G22" i="7" s="1"/>
  <c r="E116" i="28"/>
  <c r="C119" i="28" s="1" a="1"/>
  <c r="C119" i="28" s="1"/>
  <c r="C121" i="28" s="1" a="1"/>
  <c r="C121" i="28" s="1"/>
  <c r="C122" i="28" s="1"/>
  <c r="E115" i="28"/>
  <c r="D115" i="28"/>
  <c r="O111" i="28"/>
  <c r="K111" i="28"/>
  <c r="I111" i="28"/>
  <c r="I110" i="28"/>
  <c r="S109" i="28"/>
  <c r="I106" i="28"/>
  <c r="M105" i="28"/>
  <c r="N103" i="28" s="1"/>
  <c r="O103" i="28" s="1"/>
  <c r="G105" i="28"/>
  <c r="F109" i="28" s="1"/>
  <c r="F105" i="28"/>
  <c r="F122" i="28" s="1"/>
  <c r="M103" i="28"/>
  <c r="J103" i="28"/>
  <c r="K103" i="28" s="1"/>
  <c r="I103" i="28"/>
  <c r="H103" i="28"/>
  <c r="M102" i="28"/>
  <c r="N102" i="28" s="1"/>
  <c r="O102" i="28" s="1"/>
  <c r="J102" i="28"/>
  <c r="P102" i="28" s="1"/>
  <c r="I102" i="28"/>
  <c r="H102" i="28"/>
  <c r="M101" i="28"/>
  <c r="N101" i="28" s="1"/>
  <c r="O101" i="28" s="1"/>
  <c r="J101" i="28"/>
  <c r="P101" i="28" s="1"/>
  <c r="I101" i="28"/>
  <c r="H101" i="28"/>
  <c r="O88" i="28"/>
  <c r="K88" i="28"/>
  <c r="I88" i="28"/>
  <c r="M82" i="28"/>
  <c r="G82" i="28"/>
  <c r="J79" i="28" s="1"/>
  <c r="K79" i="28" s="1"/>
  <c r="F82" i="28"/>
  <c r="F86" i="28" s="1"/>
  <c r="M80" i="28"/>
  <c r="N80" i="28" s="1"/>
  <c r="O80" i="28" s="1"/>
  <c r="I80" i="28"/>
  <c r="H80" i="28"/>
  <c r="M79" i="28"/>
  <c r="N79" i="28" s="1"/>
  <c r="O79" i="28" s="1"/>
  <c r="I79" i="28"/>
  <c r="H79" i="28"/>
  <c r="M78" i="28"/>
  <c r="N78" i="28" s="1"/>
  <c r="O78" i="28" s="1"/>
  <c r="I78" i="28"/>
  <c r="I83" i="28" s="1"/>
  <c r="I87" i="28" s="1"/>
  <c r="H78" i="28"/>
  <c r="H57" i="28"/>
  <c r="G57" i="28"/>
  <c r="O57" i="28" s="1"/>
  <c r="H56" i="28"/>
  <c r="G56" i="28"/>
  <c r="H55" i="28"/>
  <c r="K55" i="28" s="1"/>
  <c r="L55" i="28" s="1"/>
  <c r="G55" i="28"/>
  <c r="O55" i="28" s="1"/>
  <c r="H54" i="28"/>
  <c r="G54" i="28"/>
  <c r="O54" i="28" s="1"/>
  <c r="H53" i="28"/>
  <c r="G53" i="28"/>
  <c r="O53" i="28" s="1"/>
  <c r="H52" i="28"/>
  <c r="H59" i="28" s="1"/>
  <c r="G52" i="28"/>
  <c r="M67" i="28" s="1"/>
  <c r="H48" i="28"/>
  <c r="O56" i="28" s="1"/>
  <c r="L30" i="28"/>
  <c r="K30" i="28"/>
  <c r="L29" i="28"/>
  <c r="K29" i="28"/>
  <c r="L28" i="28"/>
  <c r="K28" i="28"/>
  <c r="L27" i="28"/>
  <c r="K27" i="28"/>
  <c r="L26" i="28"/>
  <c r="Q39" i="28" s="1"/>
  <c r="K26" i="28"/>
  <c r="L25" i="28"/>
  <c r="K25" i="28"/>
  <c r="O39" i="28" s="1"/>
  <c r="K321" i="26"/>
  <c r="K320" i="26"/>
  <c r="K319" i="26"/>
  <c r="K318" i="26"/>
  <c r="K317" i="26"/>
  <c r="K316" i="26"/>
  <c r="K315" i="26"/>
  <c r="K314" i="26"/>
  <c r="K313" i="26"/>
  <c r="K312" i="26"/>
  <c r="K311" i="26"/>
  <c r="K310" i="26"/>
  <c r="K309" i="26"/>
  <c r="K308" i="26"/>
  <c r="K307" i="26"/>
  <c r="K306" i="26"/>
  <c r="K305" i="26"/>
  <c r="K304" i="26"/>
  <c r="K303" i="26"/>
  <c r="K302" i="26"/>
  <c r="K301" i="26"/>
  <c r="K300" i="26"/>
  <c r="K299" i="26"/>
  <c r="K298" i="26"/>
  <c r="K297" i="26"/>
  <c r="K296" i="26"/>
  <c r="K295" i="26"/>
  <c r="K294" i="26"/>
  <c r="K293" i="26"/>
  <c r="K292" i="26"/>
  <c r="K291" i="26"/>
  <c r="K290" i="26"/>
  <c r="K289" i="26"/>
  <c r="K288" i="26"/>
  <c r="K287" i="26"/>
  <c r="K286" i="26"/>
  <c r="K285" i="26"/>
  <c r="K284" i="26"/>
  <c r="K283" i="26"/>
  <c r="K282" i="26"/>
  <c r="K281" i="26"/>
  <c r="K280" i="26"/>
  <c r="K279" i="26"/>
  <c r="K278" i="26"/>
  <c r="K277" i="26"/>
  <c r="K276" i="26"/>
  <c r="K275" i="26"/>
  <c r="K274" i="26"/>
  <c r="K273" i="26"/>
  <c r="K272" i="26"/>
  <c r="K271" i="26"/>
  <c r="K270" i="26"/>
  <c r="K269" i="26"/>
  <c r="K268" i="26"/>
  <c r="K267" i="26"/>
  <c r="K266" i="26"/>
  <c r="K265" i="26"/>
  <c r="K264" i="26"/>
  <c r="K263" i="26"/>
  <c r="K262" i="26"/>
  <c r="K261" i="26"/>
  <c r="K260" i="26"/>
  <c r="K259" i="26"/>
  <c r="K258" i="26"/>
  <c r="K257" i="26"/>
  <c r="K256" i="26"/>
  <c r="K255" i="26"/>
  <c r="K254" i="26"/>
  <c r="K253" i="26"/>
  <c r="K252" i="26"/>
  <c r="K251" i="26"/>
  <c r="K250" i="26"/>
  <c r="K249" i="26"/>
  <c r="K248" i="26"/>
  <c r="K247" i="26"/>
  <c r="K246" i="26"/>
  <c r="K245" i="26"/>
  <c r="K244" i="26"/>
  <c r="K243" i="26"/>
  <c r="K242" i="26"/>
  <c r="K241" i="26"/>
  <c r="K240" i="26"/>
  <c r="K239" i="26"/>
  <c r="K238" i="26"/>
  <c r="K237" i="26"/>
  <c r="K236" i="26"/>
  <c r="K235" i="26"/>
  <c r="K234" i="26"/>
  <c r="K233" i="26"/>
  <c r="K232" i="26"/>
  <c r="K231" i="26"/>
  <c r="K230" i="26"/>
  <c r="K229" i="26"/>
  <c r="K228" i="26"/>
  <c r="K227" i="26"/>
  <c r="K226" i="26"/>
  <c r="K225" i="26"/>
  <c r="K224" i="26"/>
  <c r="K223" i="26"/>
  <c r="K222" i="26"/>
  <c r="K221" i="26"/>
  <c r="K220" i="26"/>
  <c r="K219" i="26"/>
  <c r="K218" i="26"/>
  <c r="K217" i="26"/>
  <c r="K216" i="26"/>
  <c r="K215" i="26"/>
  <c r="K214" i="26"/>
  <c r="K213" i="26"/>
  <c r="K212" i="26"/>
  <c r="K211" i="26"/>
  <c r="K210" i="26"/>
  <c r="K209" i="26"/>
  <c r="K208" i="26"/>
  <c r="K207" i="26"/>
  <c r="K206" i="26"/>
  <c r="K205" i="26"/>
  <c r="K204" i="26"/>
  <c r="K203" i="26"/>
  <c r="K202" i="26"/>
  <c r="K201" i="26"/>
  <c r="K200" i="26"/>
  <c r="K199" i="26"/>
  <c r="K198" i="26"/>
  <c r="K197" i="26"/>
  <c r="K196" i="26"/>
  <c r="K195" i="26"/>
  <c r="K194" i="26"/>
  <c r="K193" i="26"/>
  <c r="K192" i="26"/>
  <c r="K191" i="26"/>
  <c r="K190" i="26"/>
  <c r="K189" i="26"/>
  <c r="K188" i="26"/>
  <c r="K187" i="26"/>
  <c r="K186" i="26"/>
  <c r="K185" i="26"/>
  <c r="K184" i="26"/>
  <c r="K183" i="26"/>
  <c r="K182" i="26"/>
  <c r="K181" i="26"/>
  <c r="K180" i="26"/>
  <c r="K179" i="26"/>
  <c r="K178" i="26"/>
  <c r="K177" i="26"/>
  <c r="K176" i="26"/>
  <c r="K175" i="26"/>
  <c r="K174" i="26"/>
  <c r="K173" i="26"/>
  <c r="K172" i="26"/>
  <c r="K171" i="26"/>
  <c r="K170" i="26"/>
  <c r="K169" i="26"/>
  <c r="K168" i="26"/>
  <c r="K167" i="26"/>
  <c r="K166" i="26"/>
  <c r="K165" i="26"/>
  <c r="K164" i="26"/>
  <c r="K163" i="26"/>
  <c r="K162" i="26"/>
  <c r="K161" i="26"/>
  <c r="K160" i="26"/>
  <c r="K159" i="26"/>
  <c r="K158" i="26"/>
  <c r="K157" i="26"/>
  <c r="K156" i="26"/>
  <c r="K155" i="26"/>
  <c r="K154" i="26"/>
  <c r="K153" i="26"/>
  <c r="K152" i="26"/>
  <c r="K151" i="26"/>
  <c r="K150" i="26"/>
  <c r="K149" i="26"/>
  <c r="K148" i="26"/>
  <c r="K147" i="26"/>
  <c r="K146" i="26"/>
  <c r="K145" i="26"/>
  <c r="K144" i="26"/>
  <c r="K143" i="26"/>
  <c r="K142" i="26"/>
  <c r="K141" i="26"/>
  <c r="K140" i="26"/>
  <c r="K139" i="26"/>
  <c r="K138" i="26"/>
  <c r="K137" i="26"/>
  <c r="K136" i="26"/>
  <c r="K135" i="26"/>
  <c r="K134" i="26"/>
  <c r="K133" i="26"/>
  <c r="K132" i="26"/>
  <c r="K131" i="26"/>
  <c r="K130" i="26"/>
  <c r="K129" i="26"/>
  <c r="K128" i="26"/>
  <c r="K127" i="26"/>
  <c r="K126" i="26"/>
  <c r="K125" i="26"/>
  <c r="K124" i="26"/>
  <c r="K123" i="26"/>
  <c r="K122" i="26"/>
  <c r="K121" i="26"/>
  <c r="K120" i="26"/>
  <c r="K119" i="26"/>
  <c r="K118" i="26"/>
  <c r="K117" i="26"/>
  <c r="K116" i="26"/>
  <c r="K115" i="26"/>
  <c r="K114" i="26"/>
  <c r="K113" i="26"/>
  <c r="K112" i="26"/>
  <c r="K111" i="26"/>
  <c r="K110" i="26"/>
  <c r="K109" i="26"/>
  <c r="K108" i="26"/>
  <c r="K107" i="26"/>
  <c r="K106" i="26"/>
  <c r="K105" i="26"/>
  <c r="K104" i="26"/>
  <c r="K103" i="26"/>
  <c r="K102" i="26"/>
  <c r="K101" i="26"/>
  <c r="K100" i="26"/>
  <c r="K99" i="26"/>
  <c r="K98" i="26"/>
  <c r="K97" i="26"/>
  <c r="K96" i="26"/>
  <c r="K95" i="26"/>
  <c r="K94" i="26"/>
  <c r="K93" i="26"/>
  <c r="K92" i="26"/>
  <c r="K91" i="26"/>
  <c r="K90" i="26"/>
  <c r="K89" i="26"/>
  <c r="K88" i="26"/>
  <c r="K87" i="26"/>
  <c r="K86" i="26"/>
  <c r="K85" i="26"/>
  <c r="K84" i="26"/>
  <c r="K83" i="26"/>
  <c r="K82" i="26"/>
  <c r="K81" i="26"/>
  <c r="K80" i="26"/>
  <c r="K79" i="26"/>
  <c r="K78" i="26"/>
  <c r="K77" i="26"/>
  <c r="K76" i="26"/>
  <c r="K75" i="26"/>
  <c r="K74" i="26"/>
  <c r="K73" i="26"/>
  <c r="K72" i="26"/>
  <c r="K71" i="26"/>
  <c r="K70" i="26"/>
  <c r="K69" i="26"/>
  <c r="K68" i="26"/>
  <c r="K67" i="26"/>
  <c r="K66" i="26"/>
  <c r="K65" i="26"/>
  <c r="K64" i="26"/>
  <c r="K63" i="26"/>
  <c r="K62" i="26"/>
  <c r="K61" i="26"/>
  <c r="K60" i="26"/>
  <c r="K59" i="26"/>
  <c r="K58" i="26"/>
  <c r="G22" i="26"/>
  <c r="G15" i="26"/>
  <c r="K13" i="26"/>
  <c r="G17" i="26" s="1"/>
  <c r="N20" i="25"/>
  <c r="N19" i="25"/>
  <c r="H19" i="25"/>
  <c r="Q18" i="25"/>
  <c r="M19" i="25" s="1"/>
  <c r="G17" i="25"/>
  <c r="F17" i="25" s="1"/>
  <c r="D19" i="25" s="1"/>
  <c r="G23" i="25" s="1"/>
  <c r="F29" i="24"/>
  <c r="F30" i="24" s="1"/>
  <c r="F31" i="24" s="1"/>
  <c r="F32" i="24" s="1"/>
  <c r="F33" i="24" s="1"/>
  <c r="I28" i="24"/>
  <c r="E29" i="24" s="1"/>
  <c r="H20" i="24"/>
  <c r="K18" i="24"/>
  <c r="H18" i="24"/>
  <c r="D20" i="24" s="1"/>
  <c r="G23" i="24" s="1"/>
  <c r="R54" i="22"/>
  <c r="L33" i="22"/>
  <c r="I33" i="22"/>
  <c r="P33" i="22" s="1"/>
  <c r="H33" i="22"/>
  <c r="O33" i="22" s="1"/>
  <c r="E33" i="22"/>
  <c r="E34" i="22" s="1"/>
  <c r="P32" i="22"/>
  <c r="N32" i="22"/>
  <c r="M32" i="22"/>
  <c r="L32" i="22"/>
  <c r="I32" i="22"/>
  <c r="H32" i="22"/>
  <c r="O32" i="22" s="1"/>
  <c r="G32" i="22"/>
  <c r="G33" i="22" s="1"/>
  <c r="F32" i="22"/>
  <c r="F33" i="22" s="1"/>
  <c r="E32" i="22"/>
  <c r="H22" i="22"/>
  <c r="H23" i="22" s="1"/>
  <c r="H24" i="22" s="1"/>
  <c r="H25" i="22" s="1"/>
  <c r="G22" i="22"/>
  <c r="G23" i="22" s="1"/>
  <c r="G24" i="22" s="1"/>
  <c r="G25" i="22" s="1"/>
  <c r="F22" i="22"/>
  <c r="F23" i="22" s="1"/>
  <c r="F24" i="22" s="1"/>
  <c r="F25" i="22" s="1"/>
  <c r="I21" i="22"/>
  <c r="I22" i="22" s="1"/>
  <c r="I23" i="22" s="1"/>
  <c r="I24" i="22" s="1"/>
  <c r="I25" i="22" s="1"/>
  <c r="H21" i="22"/>
  <c r="G21" i="22"/>
  <c r="F21" i="22"/>
  <c r="E21" i="22"/>
  <c r="E22" i="22" s="1"/>
  <c r="E23" i="22" s="1"/>
  <c r="E24" i="22" s="1"/>
  <c r="E25" i="22" s="1"/>
  <c r="F12" i="22"/>
  <c r="L11" i="22" s="1"/>
  <c r="L12" i="22" s="1"/>
  <c r="L13" i="22" s="1"/>
  <c r="F5" i="22"/>
  <c r="L5" i="22" s="1"/>
  <c r="L6" i="22" s="1"/>
  <c r="L7" i="22" s="1"/>
  <c r="D5" i="12"/>
  <c r="F18" i="21"/>
  <c r="F17" i="21"/>
  <c r="F16" i="21"/>
  <c r="F15" i="21"/>
  <c r="F14" i="21"/>
  <c r="D8" i="21"/>
  <c r="G16" i="21" s="1"/>
  <c r="H16" i="21" s="1"/>
  <c r="K51" i="20"/>
  <c r="I58" i="20" s="1"/>
  <c r="C49" i="20"/>
  <c r="A69" i="20"/>
  <c r="C66" i="20"/>
  <c r="D55" i="20"/>
  <c r="A30" i="19"/>
  <c r="A28" i="19"/>
  <c r="A63" i="20"/>
  <c r="D57" i="20"/>
  <c r="D61" i="20" s="1"/>
  <c r="C53" i="20"/>
  <c r="F8" i="20"/>
  <c r="F9" i="20"/>
  <c r="F10" i="20"/>
  <c r="F11" i="20"/>
  <c r="F12" i="20"/>
  <c r="F13" i="20"/>
  <c r="E9" i="20"/>
  <c r="E10" i="20"/>
  <c r="E11" i="20"/>
  <c r="E12" i="20"/>
  <c r="E13" i="20"/>
  <c r="E8" i="20"/>
  <c r="D67" i="19"/>
  <c r="D68" i="19"/>
  <c r="D30" i="19"/>
  <c r="D31" i="19"/>
  <c r="D32" i="19"/>
  <c r="D66" i="19"/>
  <c r="A66" i="19"/>
  <c r="D62" i="19"/>
  <c r="D60" i="19" s="1"/>
  <c r="D58" i="19" s="1"/>
  <c r="E58" i="19"/>
  <c r="E62" i="19" s="1"/>
  <c r="F56" i="19"/>
  <c r="F54" i="19"/>
  <c r="F22" i="19"/>
  <c r="F20" i="19"/>
  <c r="F18" i="19"/>
  <c r="E22" i="19"/>
  <c r="E26" i="19" s="1"/>
  <c r="D26" i="19"/>
  <c r="D28" i="19" s="1"/>
  <c r="G14" i="6" l="1"/>
  <c r="H14" i="6" s="1"/>
  <c r="E15" i="6" s="1"/>
  <c r="G79" i="6"/>
  <c r="I79" i="6" s="1"/>
  <c r="E80" i="6" s="1"/>
  <c r="G47" i="6"/>
  <c r="H47" i="6" s="1"/>
  <c r="E48" i="6" s="1"/>
  <c r="P100" i="30"/>
  <c r="P105" i="30" s="1"/>
  <c r="P98" i="30"/>
  <c r="P101" i="30" s="1"/>
  <c r="J98" i="30"/>
  <c r="J101" i="30" s="1"/>
  <c r="J100" i="30"/>
  <c r="I18" i="30"/>
  <c r="L18" i="30" s="1"/>
  <c r="L16" i="30"/>
  <c r="M100" i="30"/>
  <c r="M98" i="30"/>
  <c r="M101" i="30" s="1"/>
  <c r="I65" i="30"/>
  <c r="K65" i="30" s="1"/>
  <c r="K63" i="30"/>
  <c r="G98" i="30"/>
  <c r="G101" i="30" s="1"/>
  <c r="G100" i="30"/>
  <c r="I51" i="7"/>
  <c r="J51" i="7" s="1"/>
  <c r="K51" i="7" s="1"/>
  <c r="I50" i="7"/>
  <c r="J50" i="7" s="1"/>
  <c r="K50" i="7" s="1"/>
  <c r="K55" i="7" s="1"/>
  <c r="K57" i="7" s="1"/>
  <c r="I52" i="7"/>
  <c r="J52" i="7" s="1"/>
  <c r="K52" i="7" s="1"/>
  <c r="G21" i="7"/>
  <c r="P108" i="28"/>
  <c r="O83" i="28"/>
  <c r="O87" i="28" s="1"/>
  <c r="O106" i="28"/>
  <c r="O110" i="28" s="1"/>
  <c r="P79" i="28"/>
  <c r="P80" i="28"/>
  <c r="P27" i="28"/>
  <c r="Q27" i="28" s="1"/>
  <c r="K57" i="28"/>
  <c r="L57" i="28" s="1"/>
  <c r="K53" i="28"/>
  <c r="L53" i="28" s="1"/>
  <c r="K56" i="28"/>
  <c r="L56" i="28" s="1"/>
  <c r="K52" i="28"/>
  <c r="L52" i="28" s="1"/>
  <c r="K54" i="28"/>
  <c r="L54" i="28" s="1"/>
  <c r="O52" i="28"/>
  <c r="J80" i="28"/>
  <c r="K80" i="28" s="1"/>
  <c r="K101" i="28"/>
  <c r="K102" i="28"/>
  <c r="O38" i="28"/>
  <c r="Q38" i="28"/>
  <c r="G59" i="28"/>
  <c r="I52" i="28" s="1"/>
  <c r="M64" i="28"/>
  <c r="P103" i="28"/>
  <c r="J78" i="28"/>
  <c r="K78" i="28" s="1"/>
  <c r="K83" i="28" s="1"/>
  <c r="K87" i="28" s="1"/>
  <c r="K32" i="28"/>
  <c r="M27" i="28" s="1"/>
  <c r="O27" i="28" s="1"/>
  <c r="L32" i="28"/>
  <c r="P28" i="28" s="1"/>
  <c r="Q28" i="28" s="1"/>
  <c r="H319" i="26"/>
  <c r="H311" i="26"/>
  <c r="H303" i="26"/>
  <c r="H295" i="26"/>
  <c r="H287" i="26"/>
  <c r="H279" i="26"/>
  <c r="H271" i="26"/>
  <c r="H263" i="26"/>
  <c r="H255" i="26"/>
  <c r="H247" i="26"/>
  <c r="H239" i="26"/>
  <c r="H318" i="26"/>
  <c r="H310" i="26"/>
  <c r="H317" i="26"/>
  <c r="H309" i="26"/>
  <c r="H301" i="26"/>
  <c r="H293" i="26"/>
  <c r="H285" i="26"/>
  <c r="H277" i="26"/>
  <c r="H269" i="26"/>
  <c r="H261" i="26"/>
  <c r="H253" i="26"/>
  <c r="H245" i="26"/>
  <c r="H316" i="26"/>
  <c r="H308" i="26"/>
  <c r="H300" i="26"/>
  <c r="H292" i="26"/>
  <c r="H284" i="26"/>
  <c r="H276" i="26"/>
  <c r="H268" i="26"/>
  <c r="H321" i="26"/>
  <c r="H313" i="26"/>
  <c r="H305" i="26"/>
  <c r="H297" i="26"/>
  <c r="H289" i="26"/>
  <c r="H281" i="26"/>
  <c r="H273" i="26"/>
  <c r="H265" i="26"/>
  <c r="H257" i="26"/>
  <c r="H249" i="26"/>
  <c r="H241" i="26"/>
  <c r="H302" i="26"/>
  <c r="H294" i="26"/>
  <c r="H286" i="26"/>
  <c r="H278" i="26"/>
  <c r="H270" i="26"/>
  <c r="H229" i="26"/>
  <c r="H221" i="26"/>
  <c r="H213" i="26"/>
  <c r="H205" i="26"/>
  <c r="H197" i="26"/>
  <c r="H315" i="26"/>
  <c r="H307" i="26"/>
  <c r="H237" i="26"/>
  <c r="H236" i="26"/>
  <c r="H228" i="26"/>
  <c r="H220" i="26"/>
  <c r="H212" i="26"/>
  <c r="H204" i="26"/>
  <c r="H196" i="26"/>
  <c r="H262" i="26"/>
  <c r="H254" i="26"/>
  <c r="H246" i="26"/>
  <c r="H238" i="26"/>
  <c r="H235" i="26"/>
  <c r="H227" i="26"/>
  <c r="H219" i="26"/>
  <c r="H211" i="26"/>
  <c r="H203" i="26"/>
  <c r="H195" i="26"/>
  <c r="H258" i="26"/>
  <c r="H250" i="26"/>
  <c r="H242" i="26"/>
  <c r="H234" i="26"/>
  <c r="H226" i="26"/>
  <c r="H218" i="26"/>
  <c r="H210" i="26"/>
  <c r="H202" i="26"/>
  <c r="H233" i="26"/>
  <c r="H225" i="26"/>
  <c r="H217" i="26"/>
  <c r="H209" i="26"/>
  <c r="H201" i="26"/>
  <c r="H314" i="26"/>
  <c r="H306" i="26"/>
  <c r="H304" i="26"/>
  <c r="H296" i="26"/>
  <c r="H288" i="26"/>
  <c r="H280" i="26"/>
  <c r="H272" i="26"/>
  <c r="H264" i="26"/>
  <c r="H260" i="26"/>
  <c r="H256" i="26"/>
  <c r="H252" i="26"/>
  <c r="H248" i="26"/>
  <c r="H244" i="26"/>
  <c r="H240" i="26"/>
  <c r="H231" i="26"/>
  <c r="H223" i="26"/>
  <c r="H215" i="26"/>
  <c r="H207" i="26"/>
  <c r="H199" i="26"/>
  <c r="H187" i="26"/>
  <c r="H179" i="26"/>
  <c r="H171" i="26"/>
  <c r="H163" i="26"/>
  <c r="H155" i="26"/>
  <c r="H147" i="26"/>
  <c r="H139" i="26"/>
  <c r="H194" i="26"/>
  <c r="H186" i="26"/>
  <c r="H178" i="26"/>
  <c r="H170" i="26"/>
  <c r="H162" i="26"/>
  <c r="H154" i="26"/>
  <c r="H146" i="26"/>
  <c r="H138" i="26"/>
  <c r="H130" i="26"/>
  <c r="H122" i="26"/>
  <c r="H114" i="26"/>
  <c r="H106" i="26"/>
  <c r="H98" i="26"/>
  <c r="H90" i="26"/>
  <c r="H82" i="26"/>
  <c r="H74" i="26"/>
  <c r="H66" i="26"/>
  <c r="H320" i="26"/>
  <c r="H312" i="26"/>
  <c r="H193" i="26"/>
  <c r="H185" i="26"/>
  <c r="H177" i="26"/>
  <c r="H169" i="26"/>
  <c r="H161" i="26"/>
  <c r="H153" i="26"/>
  <c r="H145" i="26"/>
  <c r="H137" i="26"/>
  <c r="H129" i="26"/>
  <c r="H121" i="26"/>
  <c r="H113" i="26"/>
  <c r="H105" i="26"/>
  <c r="H97" i="26"/>
  <c r="H89" i="26"/>
  <c r="H81" i="26"/>
  <c r="H73" i="26"/>
  <c r="H192" i="26"/>
  <c r="H184" i="26"/>
  <c r="H176" i="26"/>
  <c r="H168" i="26"/>
  <c r="H160" i="26"/>
  <c r="H152" i="26"/>
  <c r="H144" i="26"/>
  <c r="H136" i="26"/>
  <c r="H128" i="26"/>
  <c r="H120" i="26"/>
  <c r="H112" i="26"/>
  <c r="H104" i="26"/>
  <c r="H96" i="26"/>
  <c r="H88" i="26"/>
  <c r="H80" i="26"/>
  <c r="H72" i="26"/>
  <c r="H299" i="26"/>
  <c r="H291" i="26"/>
  <c r="H283" i="26"/>
  <c r="H275" i="26"/>
  <c r="H267" i="26"/>
  <c r="H259" i="26"/>
  <c r="H251" i="26"/>
  <c r="H243" i="26"/>
  <c r="H191" i="26"/>
  <c r="H183" i="26"/>
  <c r="H175" i="26"/>
  <c r="H167" i="26"/>
  <c r="H159" i="26"/>
  <c r="H151" i="26"/>
  <c r="H143" i="26"/>
  <c r="H298" i="26"/>
  <c r="H290" i="26"/>
  <c r="H282" i="26"/>
  <c r="H274" i="26"/>
  <c r="H266" i="26"/>
  <c r="H189" i="26"/>
  <c r="H181" i="26"/>
  <c r="H173" i="26"/>
  <c r="H165" i="26"/>
  <c r="H157" i="26"/>
  <c r="H149" i="26"/>
  <c r="H141" i="26"/>
  <c r="H133" i="26"/>
  <c r="H125" i="26"/>
  <c r="H117" i="26"/>
  <c r="H109" i="26"/>
  <c r="H101" i="26"/>
  <c r="H93" i="26"/>
  <c r="H85" i="26"/>
  <c r="H77" i="26"/>
  <c r="H69" i="26"/>
  <c r="H232" i="26"/>
  <c r="H216" i="26"/>
  <c r="H200" i="26"/>
  <c r="H60" i="26"/>
  <c r="H57" i="26"/>
  <c r="H55" i="26"/>
  <c r="H53" i="26"/>
  <c r="H51" i="26"/>
  <c r="H49" i="26"/>
  <c r="H47" i="26"/>
  <c r="H45" i="26"/>
  <c r="H43" i="26"/>
  <c r="H41" i="26"/>
  <c r="H39" i="26"/>
  <c r="H37" i="26"/>
  <c r="H35" i="26"/>
  <c r="H33" i="26"/>
  <c r="H31" i="26"/>
  <c r="H29" i="26"/>
  <c r="H27" i="26"/>
  <c r="H25" i="26"/>
  <c r="H23" i="26"/>
  <c r="H131" i="26"/>
  <c r="H123" i="26"/>
  <c r="H115" i="26"/>
  <c r="H107" i="26"/>
  <c r="H99" i="26"/>
  <c r="H91" i="26"/>
  <c r="H83" i="26"/>
  <c r="H75" i="26"/>
  <c r="H67" i="26"/>
  <c r="H59" i="26"/>
  <c r="H63" i="26"/>
  <c r="H134" i="26"/>
  <c r="H126" i="26"/>
  <c r="H118" i="26"/>
  <c r="H110" i="26"/>
  <c r="H102" i="26"/>
  <c r="H94" i="26"/>
  <c r="H86" i="26"/>
  <c r="H78" i="26"/>
  <c r="H70" i="26"/>
  <c r="H58" i="26"/>
  <c r="H142" i="26"/>
  <c r="H230" i="26"/>
  <c r="H214" i="26"/>
  <c r="H198" i="26"/>
  <c r="H188" i="26"/>
  <c r="H180" i="26"/>
  <c r="H172" i="26"/>
  <c r="H164" i="26"/>
  <c r="H156" i="26"/>
  <c r="H148" i="26"/>
  <c r="H140" i="26"/>
  <c r="H132" i="26"/>
  <c r="H124" i="26"/>
  <c r="H116" i="26"/>
  <c r="H108" i="26"/>
  <c r="H100" i="26"/>
  <c r="H92" i="26"/>
  <c r="H84" i="26"/>
  <c r="H76" i="26"/>
  <c r="H68" i="26"/>
  <c r="H65" i="26"/>
  <c r="H190" i="26"/>
  <c r="H224" i="26"/>
  <c r="H208" i="26"/>
  <c r="H135" i="26"/>
  <c r="H127" i="26"/>
  <c r="H119" i="26"/>
  <c r="H111" i="26"/>
  <c r="H103" i="26"/>
  <c r="H95" i="26"/>
  <c r="H87" i="26"/>
  <c r="H79" i="26"/>
  <c r="H71" i="26"/>
  <c r="H64" i="26"/>
  <c r="H56" i="26"/>
  <c r="H54" i="26"/>
  <c r="H52" i="26"/>
  <c r="H50" i="26"/>
  <c r="H48" i="26"/>
  <c r="H46" i="26"/>
  <c r="H44" i="26"/>
  <c r="H42" i="26"/>
  <c r="H40" i="26"/>
  <c r="H38" i="26"/>
  <c r="H36" i="26"/>
  <c r="H34" i="26"/>
  <c r="H32" i="26"/>
  <c r="H30" i="26"/>
  <c r="H28" i="26"/>
  <c r="H26" i="26"/>
  <c r="H24" i="26"/>
  <c r="H22" i="26"/>
  <c r="H182" i="26"/>
  <c r="H174" i="26"/>
  <c r="H166" i="26"/>
  <c r="H158" i="26"/>
  <c r="H150" i="26"/>
  <c r="H62" i="26"/>
  <c r="H222" i="26"/>
  <c r="H206" i="26"/>
  <c r="H61" i="26"/>
  <c r="I22" i="26"/>
  <c r="F23" i="26" s="1"/>
  <c r="Q19" i="25"/>
  <c r="M20" i="25" s="1"/>
  <c r="O19" i="25"/>
  <c r="G29" i="24"/>
  <c r="I29" i="24" s="1"/>
  <c r="E30" i="24" s="1"/>
  <c r="F34" i="22"/>
  <c r="M33" i="22"/>
  <c r="E35" i="22"/>
  <c r="L34" i="22"/>
  <c r="G34" i="22"/>
  <c r="N33" i="22"/>
  <c r="H34" i="22"/>
  <c r="I34" i="22"/>
  <c r="G14" i="21"/>
  <c r="H14" i="21" s="1"/>
  <c r="G17" i="21"/>
  <c r="H17" i="21" s="1"/>
  <c r="G18" i="21"/>
  <c r="H18" i="21" s="1"/>
  <c r="G15" i="21"/>
  <c r="H15" i="21" s="1"/>
  <c r="C55" i="20"/>
  <c r="C57" i="20" s="1"/>
  <c r="C59" i="20" s="1"/>
  <c r="C61" i="20" s="1"/>
  <c r="C51" i="20"/>
  <c r="C17" i="20"/>
  <c r="I64" i="20"/>
  <c r="F15" i="20"/>
  <c r="I63" i="20"/>
  <c r="I62" i="20"/>
  <c r="I60" i="20"/>
  <c r="C15" i="20"/>
  <c r="G16" i="20" s="1"/>
  <c r="I61" i="20"/>
  <c r="F58" i="19"/>
  <c r="H50" i="19"/>
  <c r="D50" i="19"/>
  <c r="D64" i="19"/>
  <c r="D24" i="19"/>
  <c r="D22" i="19" s="1"/>
  <c r="G48" i="6" l="1"/>
  <c r="H48" i="6" s="1"/>
  <c r="E49" i="6" s="1"/>
  <c r="I80" i="6"/>
  <c r="E81" i="6" s="1"/>
  <c r="G80" i="6"/>
  <c r="G15" i="6"/>
  <c r="H15" i="6" s="1"/>
  <c r="E16" i="6" s="1"/>
  <c r="J70" i="30"/>
  <c r="G29" i="7"/>
  <c r="G27" i="7"/>
  <c r="M52" i="28"/>
  <c r="J52" i="28"/>
  <c r="P26" i="28"/>
  <c r="Q26" i="28" s="1"/>
  <c r="M25" i="28"/>
  <c r="O25" i="28" s="1"/>
  <c r="K106" i="28"/>
  <c r="K110" i="28" s="1"/>
  <c r="M30" i="28"/>
  <c r="O30" i="28" s="1"/>
  <c r="P30" i="28"/>
  <c r="Q30" i="28" s="1"/>
  <c r="M28" i="28"/>
  <c r="O28" i="28" s="1"/>
  <c r="P25" i="28"/>
  <c r="Q25" i="28" s="1"/>
  <c r="Q34" i="28" s="1"/>
  <c r="Q36" i="28" s="1"/>
  <c r="M26" i="28"/>
  <c r="O26" i="28" s="1"/>
  <c r="I54" i="28"/>
  <c r="I55" i="28"/>
  <c r="I57" i="28"/>
  <c r="I53" i="28"/>
  <c r="G61" i="28"/>
  <c r="P29" i="28"/>
  <c r="Q29" i="28" s="1"/>
  <c r="M29" i="28"/>
  <c r="O29" i="28" s="1"/>
  <c r="O60" i="28"/>
  <c r="I56" i="28"/>
  <c r="P78" i="28"/>
  <c r="P85" i="28" s="1"/>
  <c r="R86" i="28" s="1"/>
  <c r="G23" i="26"/>
  <c r="I23" i="26"/>
  <c r="F24" i="26" s="1"/>
  <c r="O20" i="25"/>
  <c r="Q20" i="25" s="1"/>
  <c r="M21" i="25" s="1"/>
  <c r="G30" i="24"/>
  <c r="I30" i="24" s="1"/>
  <c r="E31" i="24" s="1"/>
  <c r="N34" i="22"/>
  <c r="G35" i="22"/>
  <c r="L35" i="22"/>
  <c r="E36" i="22"/>
  <c r="L36" i="22" s="1"/>
  <c r="O34" i="22"/>
  <c r="H35" i="22"/>
  <c r="P34" i="22"/>
  <c r="I35" i="22"/>
  <c r="M34" i="22"/>
  <c r="F35" i="22"/>
  <c r="H20" i="21"/>
  <c r="C19" i="20"/>
  <c r="C63" i="20"/>
  <c r="C65" i="20" s="1"/>
  <c r="C67" i="20" s="1"/>
  <c r="H14" i="19"/>
  <c r="D14" i="19"/>
  <c r="D52" i="19"/>
  <c r="D54" i="19" s="1"/>
  <c r="D56" i="19"/>
  <c r="G16" i="6" l="1"/>
  <c r="H16" i="6" s="1"/>
  <c r="E17" i="6" s="1"/>
  <c r="G49" i="6"/>
  <c r="H49" i="6" s="1"/>
  <c r="E50" i="6" s="1"/>
  <c r="G81" i="6"/>
  <c r="I81" i="6"/>
  <c r="E82" i="6" s="1"/>
  <c r="M60" i="28"/>
  <c r="M62" i="28" s="1"/>
  <c r="M53" i="28"/>
  <c r="J53" i="28"/>
  <c r="M56" i="28"/>
  <c r="J56" i="28"/>
  <c r="M57" i="28"/>
  <c r="J57" i="28"/>
  <c r="M55" i="28"/>
  <c r="J55" i="28"/>
  <c r="O34" i="28"/>
  <c r="O36" i="28" s="1"/>
  <c r="P54" i="28"/>
  <c r="Q54" i="28" s="1"/>
  <c r="P56" i="28"/>
  <c r="Q56" i="28" s="1"/>
  <c r="P53" i="28"/>
  <c r="Q53" i="28" s="1"/>
  <c r="P55" i="28"/>
  <c r="Q55" i="28" s="1"/>
  <c r="P57" i="28"/>
  <c r="Q57" i="28" s="1"/>
  <c r="P52" i="28"/>
  <c r="Q52" i="28" s="1"/>
  <c r="Q61" i="28" s="1"/>
  <c r="Q63" i="28" s="1"/>
  <c r="J54" i="28"/>
  <c r="M54" i="28"/>
  <c r="R109" i="28"/>
  <c r="L124" i="28" s="1"/>
  <c r="G24" i="26"/>
  <c r="I24" i="26" s="1"/>
  <c r="F25" i="26" s="1"/>
  <c r="Q21" i="25"/>
  <c r="M22" i="25" s="1"/>
  <c r="O21" i="25"/>
  <c r="G31" i="24"/>
  <c r="I31" i="24" s="1"/>
  <c r="E32" i="24" s="1"/>
  <c r="N38" i="22"/>
  <c r="H44" i="22" s="1"/>
  <c r="F46" i="22"/>
  <c r="H36" i="22"/>
  <c r="O36" i="22" s="1"/>
  <c r="O35" i="22"/>
  <c r="M35" i="22"/>
  <c r="F36" i="22"/>
  <c r="M36" i="22" s="1"/>
  <c r="L38" i="22"/>
  <c r="M38" i="22"/>
  <c r="I36" i="22"/>
  <c r="P36" i="22" s="1"/>
  <c r="P35" i="22"/>
  <c r="G36" i="22"/>
  <c r="N36" i="22" s="1"/>
  <c r="N35" i="22"/>
  <c r="C69" i="20"/>
  <c r="C71" i="20" s="1"/>
  <c r="H58" i="20" s="1"/>
  <c r="D16" i="19"/>
  <c r="D18" i="19" s="1"/>
  <c r="D20" i="19"/>
  <c r="G50" i="6" l="1"/>
  <c r="H50" i="6" s="1"/>
  <c r="E51" i="6" s="1"/>
  <c r="G17" i="6"/>
  <c r="H17" i="6"/>
  <c r="G82" i="6"/>
  <c r="I82" i="6" s="1"/>
  <c r="G25" i="26"/>
  <c r="I25" i="26" s="1"/>
  <c r="F26" i="26" s="1"/>
  <c r="O22" i="25"/>
  <c r="Q22" i="25" s="1"/>
  <c r="M23" i="25" s="1"/>
  <c r="G32" i="24"/>
  <c r="I32" i="24" s="1"/>
  <c r="E33" i="24" s="1"/>
  <c r="F43" i="22"/>
  <c r="F42" i="22"/>
  <c r="F44" i="22"/>
  <c r="O38" i="22"/>
  <c r="F45" i="22"/>
  <c r="J45" i="22"/>
  <c r="G42" i="22"/>
  <c r="G43" i="22"/>
  <c r="G44" i="22"/>
  <c r="H42" i="22"/>
  <c r="H43" i="22"/>
  <c r="H45" i="22"/>
  <c r="G46" i="22"/>
  <c r="H46" i="22"/>
  <c r="G45" i="22"/>
  <c r="P38" i="22"/>
  <c r="J58" i="20"/>
  <c r="H60" i="20"/>
  <c r="G51" i="6" l="1"/>
  <c r="H51" i="6" s="1"/>
  <c r="G26" i="26"/>
  <c r="I26" i="26" s="1"/>
  <c r="F27" i="26" s="1"/>
  <c r="Q23" i="25"/>
  <c r="M24" i="25" s="1"/>
  <c r="O23" i="25"/>
  <c r="G33" i="24"/>
  <c r="I33" i="24" s="1"/>
  <c r="E34" i="24" s="1"/>
  <c r="I42" i="22"/>
  <c r="I43" i="22"/>
  <c r="I44" i="22"/>
  <c r="N42" i="22" a="1"/>
  <c r="J42" i="22"/>
  <c r="J43" i="22"/>
  <c r="J44" i="22"/>
  <c r="I45" i="22"/>
  <c r="J46" i="22"/>
  <c r="I46" i="22"/>
  <c r="H61" i="20"/>
  <c r="J60" i="20"/>
  <c r="G27" i="26" l="1"/>
  <c r="I27" i="26"/>
  <c r="F28" i="26" s="1"/>
  <c r="O24" i="25"/>
  <c r="Q24" i="25" s="1"/>
  <c r="G34" i="24"/>
  <c r="I34" i="24" s="1"/>
  <c r="E35" i="24" s="1"/>
  <c r="P48" i="22"/>
  <c r="O48" i="22"/>
  <c r="N42" i="22"/>
  <c r="N48" i="22" s="1"/>
  <c r="R50" i="22" s="1"/>
  <c r="R52" i="22" s="1"/>
  <c r="R56" i="22" s="1"/>
  <c r="R58" i="22" s="1"/>
  <c r="R60" i="22" s="1"/>
  <c r="R48" i="22"/>
  <c r="Q48" i="22"/>
  <c r="H62" i="20"/>
  <c r="J61" i="20"/>
  <c r="G28" i="26" l="1"/>
  <c r="I28" i="26"/>
  <c r="F29" i="26" s="1"/>
  <c r="G35" i="24"/>
  <c r="I35" i="24" s="1"/>
  <c r="E36" i="24" s="1"/>
  <c r="H63" i="20"/>
  <c r="J62" i="20"/>
  <c r="G29" i="26" l="1"/>
  <c r="I29" i="26" s="1"/>
  <c r="F30" i="26" s="1"/>
  <c r="G36" i="24"/>
  <c r="I36" i="24" s="1"/>
  <c r="E37" i="24" s="1"/>
  <c r="H64" i="20"/>
  <c r="M61" i="20" s="1"/>
  <c r="M65" i="20" s="1"/>
  <c r="M67" i="20" s="1"/>
  <c r="N52" i="20" s="1"/>
  <c r="J63" i="20"/>
  <c r="G30" i="26" l="1"/>
  <c r="I30" i="26"/>
  <c r="F31" i="26" s="1"/>
  <c r="G37" i="24"/>
  <c r="I37" i="24" s="1"/>
  <c r="E38" i="24" s="1"/>
  <c r="J64" i="20"/>
  <c r="G31" i="26" l="1"/>
  <c r="I31" i="26"/>
  <c r="F32" i="26" s="1"/>
  <c r="G38" i="24"/>
  <c r="I38" i="24"/>
  <c r="E39" i="24" s="1"/>
  <c r="H56" i="20"/>
  <c r="N51" i="20" s="1"/>
  <c r="N53" i="20" s="1"/>
  <c r="G32" i="26" l="1"/>
  <c r="I32" i="26" s="1"/>
  <c r="F33" i="26" s="1"/>
  <c r="G39" i="24"/>
  <c r="I39" i="24" s="1"/>
  <c r="E40" i="24" s="1"/>
  <c r="G33" i="26" l="1"/>
  <c r="I33" i="26" s="1"/>
  <c r="F34" i="26" s="1"/>
  <c r="G40" i="24"/>
  <c r="I40" i="24" s="1"/>
  <c r="E41" i="24" s="1"/>
  <c r="G34" i="26" l="1"/>
  <c r="I34" i="26"/>
  <c r="F35" i="26" s="1"/>
  <c r="G41" i="24"/>
  <c r="I41" i="24" s="1"/>
  <c r="G35" i="26" l="1"/>
  <c r="I35" i="26"/>
  <c r="F36" i="26" s="1"/>
  <c r="G36" i="26" l="1"/>
  <c r="I36" i="26" s="1"/>
  <c r="F37" i="26" s="1"/>
  <c r="G37" i="26" l="1"/>
  <c r="I37" i="26" s="1"/>
  <c r="F38" i="26" s="1"/>
  <c r="G38" i="26" l="1"/>
  <c r="I38" i="26"/>
  <c r="F39" i="26" s="1"/>
  <c r="G39" i="26" l="1"/>
  <c r="I39" i="26" s="1"/>
  <c r="F40" i="26" s="1"/>
  <c r="G40" i="26" l="1"/>
  <c r="I40" i="26" s="1"/>
  <c r="F41" i="26" s="1"/>
  <c r="G41" i="26" l="1"/>
  <c r="I41" i="26"/>
  <c r="F42" i="26" s="1"/>
  <c r="G42" i="26" l="1"/>
  <c r="I42" i="26" s="1"/>
  <c r="F43" i="26" s="1"/>
  <c r="G43" i="26" l="1"/>
  <c r="I43" i="26"/>
  <c r="F44" i="26" s="1"/>
  <c r="G44" i="26" l="1"/>
  <c r="I44" i="26" s="1"/>
  <c r="F45" i="26" s="1"/>
  <c r="G45" i="26" l="1"/>
  <c r="I45" i="26" s="1"/>
  <c r="F46" i="26" s="1"/>
  <c r="G46" i="26" l="1"/>
  <c r="I46" i="26"/>
  <c r="F47" i="26" s="1"/>
  <c r="G47" i="26" l="1"/>
  <c r="I47" i="26" s="1"/>
  <c r="F48" i="26" s="1"/>
  <c r="G48" i="26" l="1"/>
  <c r="I48" i="26" s="1"/>
  <c r="F49" i="26" s="1"/>
  <c r="G49" i="26" l="1"/>
  <c r="I49" i="26" s="1"/>
  <c r="F50" i="26" s="1"/>
  <c r="G50" i="26" l="1"/>
  <c r="I50" i="26" s="1"/>
  <c r="F51" i="26" s="1"/>
  <c r="G51" i="26" l="1"/>
  <c r="I51" i="26" s="1"/>
  <c r="F52" i="26" s="1"/>
  <c r="G52" i="26" l="1"/>
  <c r="I52" i="26" s="1"/>
  <c r="F53" i="26" s="1"/>
  <c r="G53" i="26" l="1"/>
  <c r="I53" i="26" s="1"/>
  <c r="F54" i="26" s="1"/>
  <c r="G54" i="26" l="1"/>
  <c r="I54" i="26"/>
  <c r="F55" i="26" s="1"/>
  <c r="G55" i="26" l="1"/>
  <c r="I55" i="26" s="1"/>
  <c r="F56" i="26" s="1"/>
  <c r="G56" i="26" l="1"/>
  <c r="I56" i="26"/>
  <c r="F57" i="26" s="1"/>
  <c r="G57" i="26" l="1"/>
  <c r="I57" i="26"/>
  <c r="F58" i="26" l="1"/>
  <c r="M57" i="26"/>
  <c r="L58" i="26" l="1"/>
  <c r="O57" i="26"/>
  <c r="G58" i="26"/>
  <c r="I58" i="26" s="1"/>
  <c r="F59" i="26" s="1"/>
  <c r="G59" i="26" l="1"/>
  <c r="I59" i="26" s="1"/>
  <c r="F60" i="26" s="1"/>
  <c r="N314" i="26"/>
  <c r="N306" i="26"/>
  <c r="N298" i="26"/>
  <c r="N290" i="26"/>
  <c r="N282" i="26"/>
  <c r="N274" i="26"/>
  <c r="N266" i="26"/>
  <c r="N258" i="26"/>
  <c r="N250" i="26"/>
  <c r="N242" i="26"/>
  <c r="N321" i="26"/>
  <c r="N313" i="26"/>
  <c r="N305" i="26"/>
  <c r="N320" i="26"/>
  <c r="N312" i="26"/>
  <c r="N304" i="26"/>
  <c r="N296" i="26"/>
  <c r="N288" i="26"/>
  <c r="N280" i="26"/>
  <c r="N272" i="26"/>
  <c r="N264" i="26"/>
  <c r="N256" i="26"/>
  <c r="N248" i="26"/>
  <c r="N240" i="26"/>
  <c r="N319" i="26"/>
  <c r="N311" i="26"/>
  <c r="N303" i="26"/>
  <c r="N295" i="26"/>
  <c r="N287" i="26"/>
  <c r="N279" i="26"/>
  <c r="N271" i="26"/>
  <c r="N316" i="26"/>
  <c r="N308" i="26"/>
  <c r="N300" i="26"/>
  <c r="N292" i="26"/>
  <c r="N284" i="26"/>
  <c r="N276" i="26"/>
  <c r="N268" i="26"/>
  <c r="N260" i="26"/>
  <c r="N252" i="26"/>
  <c r="N244" i="26"/>
  <c r="N236" i="26"/>
  <c r="N263" i="26"/>
  <c r="N255" i="26"/>
  <c r="N247" i="26"/>
  <c r="N239" i="26"/>
  <c r="N232" i="26"/>
  <c r="N224" i="26"/>
  <c r="N216" i="26"/>
  <c r="N208" i="26"/>
  <c r="N200" i="26"/>
  <c r="N259" i="26"/>
  <c r="N251" i="26"/>
  <c r="N243" i="26"/>
  <c r="N231" i="26"/>
  <c r="N223" i="26"/>
  <c r="N215" i="26"/>
  <c r="N207" i="26"/>
  <c r="N199" i="26"/>
  <c r="N318" i="26"/>
  <c r="N310" i="26"/>
  <c r="N301" i="26"/>
  <c r="N293" i="26"/>
  <c r="N285" i="26"/>
  <c r="N277" i="26"/>
  <c r="N269" i="26"/>
  <c r="N230" i="26"/>
  <c r="N222" i="26"/>
  <c r="N214" i="26"/>
  <c r="N206" i="26"/>
  <c r="N198" i="26"/>
  <c r="N229" i="26"/>
  <c r="N221" i="26"/>
  <c r="N213" i="26"/>
  <c r="N205" i="26"/>
  <c r="N197" i="26"/>
  <c r="N299" i="26"/>
  <c r="N291" i="26"/>
  <c r="N283" i="26"/>
  <c r="N275" i="26"/>
  <c r="N267" i="26"/>
  <c r="N228" i="26"/>
  <c r="N220" i="26"/>
  <c r="N212" i="26"/>
  <c r="N204" i="26"/>
  <c r="N196" i="26"/>
  <c r="N317" i="26"/>
  <c r="N309" i="26"/>
  <c r="N234" i="26"/>
  <c r="N226" i="26"/>
  <c r="N218" i="26"/>
  <c r="N210" i="26"/>
  <c r="N202" i="26"/>
  <c r="N194" i="26"/>
  <c r="N190" i="26"/>
  <c r="N182" i="26"/>
  <c r="N174" i="26"/>
  <c r="N166" i="26"/>
  <c r="N158" i="26"/>
  <c r="N150" i="26"/>
  <c r="N142" i="26"/>
  <c r="N189" i="26"/>
  <c r="N181" i="26"/>
  <c r="N173" i="26"/>
  <c r="N165" i="26"/>
  <c r="N157" i="26"/>
  <c r="N149" i="26"/>
  <c r="N141" i="26"/>
  <c r="N133" i="26"/>
  <c r="N125" i="26"/>
  <c r="N117" i="26"/>
  <c r="N109" i="26"/>
  <c r="N101" i="26"/>
  <c r="N93" i="26"/>
  <c r="N85" i="26"/>
  <c r="N77" i="26"/>
  <c r="N69" i="26"/>
  <c r="N233" i="26"/>
  <c r="N225" i="26"/>
  <c r="N217" i="26"/>
  <c r="N209" i="26"/>
  <c r="N201" i="26"/>
  <c r="N188" i="26"/>
  <c r="N180" i="26"/>
  <c r="N172" i="26"/>
  <c r="N164" i="26"/>
  <c r="N156" i="26"/>
  <c r="N148" i="26"/>
  <c r="N140" i="26"/>
  <c r="N132" i="26"/>
  <c r="N124" i="26"/>
  <c r="N116" i="26"/>
  <c r="N108" i="26"/>
  <c r="N100" i="26"/>
  <c r="N92" i="26"/>
  <c r="N84" i="26"/>
  <c r="N76" i="26"/>
  <c r="N68" i="26"/>
  <c r="N315" i="26"/>
  <c r="N307" i="26"/>
  <c r="N235" i="26"/>
  <c r="N227" i="26"/>
  <c r="N219" i="26"/>
  <c r="N211" i="26"/>
  <c r="N203" i="26"/>
  <c r="N195" i="26"/>
  <c r="N187" i="26"/>
  <c r="N179" i="26"/>
  <c r="N171" i="26"/>
  <c r="N163" i="26"/>
  <c r="N155" i="26"/>
  <c r="N147" i="26"/>
  <c r="N139" i="26"/>
  <c r="N131" i="26"/>
  <c r="N123" i="26"/>
  <c r="N115" i="26"/>
  <c r="N107" i="26"/>
  <c r="N99" i="26"/>
  <c r="N91" i="26"/>
  <c r="N83" i="26"/>
  <c r="N75" i="26"/>
  <c r="N67" i="26"/>
  <c r="N302" i="26"/>
  <c r="N294" i="26"/>
  <c r="N286" i="26"/>
  <c r="N278" i="26"/>
  <c r="N270" i="26"/>
  <c r="N186" i="26"/>
  <c r="N178" i="26"/>
  <c r="N170" i="26"/>
  <c r="N162" i="26"/>
  <c r="N154" i="26"/>
  <c r="N146" i="26"/>
  <c r="N138" i="26"/>
  <c r="N192" i="26"/>
  <c r="N184" i="26"/>
  <c r="N176" i="26"/>
  <c r="N168" i="26"/>
  <c r="N160" i="26"/>
  <c r="N152" i="26"/>
  <c r="N144" i="26"/>
  <c r="N136" i="26"/>
  <c r="N128" i="26"/>
  <c r="N120" i="26"/>
  <c r="N112" i="26"/>
  <c r="N104" i="26"/>
  <c r="N96" i="26"/>
  <c r="N88" i="26"/>
  <c r="N80" i="26"/>
  <c r="N72" i="26"/>
  <c r="N191" i="26"/>
  <c r="N183" i="26"/>
  <c r="N175" i="26"/>
  <c r="N167" i="26"/>
  <c r="N159" i="26"/>
  <c r="N151" i="26"/>
  <c r="N143" i="26"/>
  <c r="N63" i="26"/>
  <c r="N73" i="26"/>
  <c r="N64" i="26"/>
  <c r="N281" i="26"/>
  <c r="N262" i="26"/>
  <c r="N257" i="26"/>
  <c r="N246" i="26"/>
  <c r="N241" i="26"/>
  <c r="N193" i="26"/>
  <c r="N185" i="26"/>
  <c r="N177" i="26"/>
  <c r="N169" i="26"/>
  <c r="N161" i="26"/>
  <c r="N153" i="26"/>
  <c r="N145" i="26"/>
  <c r="N137" i="26"/>
  <c r="N127" i="26"/>
  <c r="N119" i="26"/>
  <c r="N111" i="26"/>
  <c r="N103" i="26"/>
  <c r="N95" i="26"/>
  <c r="N87" i="26"/>
  <c r="N79" i="26"/>
  <c r="N71" i="26"/>
  <c r="N62" i="26"/>
  <c r="N135" i="26"/>
  <c r="N130" i="26"/>
  <c r="N122" i="26"/>
  <c r="N114" i="26"/>
  <c r="N106" i="26"/>
  <c r="N98" i="26"/>
  <c r="N90" i="26"/>
  <c r="N82" i="26"/>
  <c r="N74" i="26"/>
  <c r="N66" i="26"/>
  <c r="N61" i="26"/>
  <c r="N265" i="26"/>
  <c r="N273" i="26"/>
  <c r="N261" i="26"/>
  <c r="N245" i="26"/>
  <c r="N60" i="26"/>
  <c r="N297" i="26"/>
  <c r="N254" i="26"/>
  <c r="N238" i="26"/>
  <c r="N58" i="26"/>
  <c r="N78" i="26"/>
  <c r="N59" i="26"/>
  <c r="N249" i="26"/>
  <c r="N289" i="26"/>
  <c r="N253" i="26"/>
  <c r="N237" i="26"/>
  <c r="N134" i="26"/>
  <c r="N129" i="26"/>
  <c r="N126" i="26"/>
  <c r="N121" i="26"/>
  <c r="N118" i="26"/>
  <c r="N113" i="26"/>
  <c r="N110" i="26"/>
  <c r="N105" i="26"/>
  <c r="N102" i="26"/>
  <c r="N97" i="26"/>
  <c r="N94" i="26"/>
  <c r="N89" i="26"/>
  <c r="N86" i="26"/>
  <c r="N81" i="26"/>
  <c r="N70" i="26"/>
  <c r="N65" i="26"/>
  <c r="M58" i="26"/>
  <c r="O58" i="26" s="1"/>
  <c r="L59" i="26" s="1"/>
  <c r="M59" i="26" l="1"/>
  <c r="O59" i="26" s="1"/>
  <c r="L60" i="26" s="1"/>
  <c r="G60" i="26"/>
  <c r="I60" i="26"/>
  <c r="F61" i="26" s="1"/>
  <c r="M60" i="26" l="1"/>
  <c r="O60" i="26" s="1"/>
  <c r="L61" i="26" s="1"/>
  <c r="G61" i="26"/>
  <c r="I61" i="26" s="1"/>
  <c r="F62" i="26" s="1"/>
  <c r="G62" i="26" l="1"/>
  <c r="I62" i="26"/>
  <c r="F63" i="26" s="1"/>
  <c r="M61" i="26"/>
  <c r="O61" i="26" s="1"/>
  <c r="L62" i="26" s="1"/>
  <c r="M62" i="26" l="1"/>
  <c r="O62" i="26" s="1"/>
  <c r="L63" i="26" s="1"/>
  <c r="G63" i="26"/>
  <c r="I63" i="26" s="1"/>
  <c r="F64" i="26" s="1"/>
  <c r="G64" i="26" l="1"/>
  <c r="I64" i="26" s="1"/>
  <c r="F65" i="26" s="1"/>
  <c r="M63" i="26"/>
  <c r="O63" i="26"/>
  <c r="L64" i="26" s="1"/>
  <c r="G65" i="26" l="1"/>
  <c r="I65" i="26" s="1"/>
  <c r="F66" i="26" s="1"/>
  <c r="M64" i="26"/>
  <c r="O64" i="26"/>
  <c r="L65" i="26" s="1"/>
  <c r="G66" i="26" l="1"/>
  <c r="I66" i="26"/>
  <c r="F67" i="26" s="1"/>
  <c r="M65" i="26"/>
  <c r="O65" i="26"/>
  <c r="L66" i="26" s="1"/>
  <c r="G67" i="26" l="1"/>
  <c r="I67" i="26" s="1"/>
  <c r="F68" i="26" s="1"/>
  <c r="M66" i="26"/>
  <c r="O66" i="26" s="1"/>
  <c r="L67" i="26" s="1"/>
  <c r="M67" i="26" l="1"/>
  <c r="O67" i="26" s="1"/>
  <c r="L68" i="26" s="1"/>
  <c r="G68" i="26"/>
  <c r="I68" i="26" s="1"/>
  <c r="F69" i="26" s="1"/>
  <c r="G69" i="26" l="1"/>
  <c r="I69" i="26" s="1"/>
  <c r="F70" i="26" s="1"/>
  <c r="M68" i="26"/>
  <c r="O68" i="26" s="1"/>
  <c r="L69" i="26" s="1"/>
  <c r="M69" i="26" l="1"/>
  <c r="O69" i="26"/>
  <c r="L70" i="26" s="1"/>
  <c r="G70" i="26"/>
  <c r="I70" i="26"/>
  <c r="F71" i="26" s="1"/>
  <c r="M70" i="26" l="1"/>
  <c r="O70" i="26"/>
  <c r="L71" i="26" s="1"/>
  <c r="G71" i="26"/>
  <c r="I71" i="26" s="1"/>
  <c r="F72" i="26" s="1"/>
  <c r="G72" i="26" l="1"/>
  <c r="I72" i="26" s="1"/>
  <c r="F73" i="26" s="1"/>
  <c r="M71" i="26"/>
  <c r="O71" i="26" s="1"/>
  <c r="L72" i="26" s="1"/>
  <c r="M72" i="26" l="1"/>
  <c r="O72" i="26" s="1"/>
  <c r="L73" i="26" s="1"/>
  <c r="G73" i="26"/>
  <c r="I73" i="26" s="1"/>
  <c r="F74" i="26" s="1"/>
  <c r="G74" i="26" l="1"/>
  <c r="I74" i="26" s="1"/>
  <c r="F75" i="26" s="1"/>
  <c r="M73" i="26"/>
  <c r="O73" i="26"/>
  <c r="L74" i="26" s="1"/>
  <c r="G75" i="26" l="1"/>
  <c r="I75" i="26" s="1"/>
  <c r="F76" i="26" s="1"/>
  <c r="M74" i="26"/>
  <c r="O74" i="26" s="1"/>
  <c r="L75" i="26" s="1"/>
  <c r="M75" i="26" l="1"/>
  <c r="O75" i="26" s="1"/>
  <c r="L76" i="26" s="1"/>
  <c r="G76" i="26"/>
  <c r="I76" i="26" s="1"/>
  <c r="F77" i="26" s="1"/>
  <c r="G77" i="26" l="1"/>
  <c r="I77" i="26" s="1"/>
  <c r="F78" i="26" s="1"/>
  <c r="M76" i="26"/>
  <c r="O76" i="26" s="1"/>
  <c r="L77" i="26" s="1"/>
  <c r="M77" i="26" l="1"/>
  <c r="O77" i="26"/>
  <c r="L78" i="26" s="1"/>
  <c r="G78" i="26"/>
  <c r="I78" i="26"/>
  <c r="F79" i="26" s="1"/>
  <c r="M78" i="26" l="1"/>
  <c r="O78" i="26"/>
  <c r="L79" i="26" s="1"/>
  <c r="G79" i="26"/>
  <c r="I79" i="26" s="1"/>
  <c r="F80" i="26" s="1"/>
  <c r="G80" i="26" l="1"/>
  <c r="I80" i="26" s="1"/>
  <c r="F81" i="26" s="1"/>
  <c r="M79" i="26"/>
  <c r="O79" i="26" s="1"/>
  <c r="L80" i="26" s="1"/>
  <c r="M80" i="26" l="1"/>
  <c r="O80" i="26" s="1"/>
  <c r="L81" i="26" s="1"/>
  <c r="G81" i="26"/>
  <c r="I81" i="26" s="1"/>
  <c r="F82" i="26" s="1"/>
  <c r="G82" i="26" l="1"/>
  <c r="I82" i="26" s="1"/>
  <c r="F83" i="26" s="1"/>
  <c r="M81" i="26"/>
  <c r="O81" i="26"/>
  <c r="L82" i="26" s="1"/>
  <c r="G83" i="26" l="1"/>
  <c r="I83" i="26"/>
  <c r="F84" i="26" s="1"/>
  <c r="M82" i="26"/>
  <c r="O82" i="26" s="1"/>
  <c r="L83" i="26" s="1"/>
  <c r="M83" i="26" l="1"/>
  <c r="O83" i="26" s="1"/>
  <c r="L84" i="26" s="1"/>
  <c r="G84" i="26"/>
  <c r="I84" i="26" s="1"/>
  <c r="F85" i="26" s="1"/>
  <c r="G85" i="26" l="1"/>
  <c r="I85" i="26"/>
  <c r="F86" i="26" s="1"/>
  <c r="M84" i="26"/>
  <c r="O84" i="26" s="1"/>
  <c r="L85" i="26" s="1"/>
  <c r="M85" i="26" l="1"/>
  <c r="O85" i="26"/>
  <c r="L86" i="26" s="1"/>
  <c r="G86" i="26"/>
  <c r="I86" i="26" s="1"/>
  <c r="F87" i="26" s="1"/>
  <c r="G87" i="26" l="1"/>
  <c r="I87" i="26" s="1"/>
  <c r="F88" i="26" s="1"/>
  <c r="M86" i="26"/>
  <c r="O86" i="26"/>
  <c r="L87" i="26" s="1"/>
  <c r="I88" i="26" l="1"/>
  <c r="F89" i="26" s="1"/>
  <c r="G88" i="26"/>
  <c r="M87" i="26"/>
  <c r="O87" i="26" s="1"/>
  <c r="L88" i="26" s="1"/>
  <c r="M88" i="26" l="1"/>
  <c r="O88" i="26" s="1"/>
  <c r="L89" i="26" s="1"/>
  <c r="G89" i="26"/>
  <c r="I89" i="26" s="1"/>
  <c r="F90" i="26" s="1"/>
  <c r="G90" i="26" l="1"/>
  <c r="I90" i="26"/>
  <c r="F91" i="26" s="1"/>
  <c r="M89" i="26"/>
  <c r="O89" i="26"/>
  <c r="L90" i="26" s="1"/>
  <c r="G91" i="26" l="1"/>
  <c r="I91" i="26"/>
  <c r="F92" i="26" s="1"/>
  <c r="M90" i="26"/>
  <c r="O90" i="26" s="1"/>
  <c r="L91" i="26" s="1"/>
  <c r="M91" i="26" l="1"/>
  <c r="O91" i="26" s="1"/>
  <c r="L92" i="26" s="1"/>
  <c r="G92" i="26"/>
  <c r="I92" i="26" s="1"/>
  <c r="F93" i="26" s="1"/>
  <c r="G93" i="26" l="1"/>
  <c r="I93" i="26" s="1"/>
  <c r="F94" i="26" s="1"/>
  <c r="M92" i="26"/>
  <c r="O92" i="26" s="1"/>
  <c r="L93" i="26" s="1"/>
  <c r="M93" i="26" l="1"/>
  <c r="O93" i="26"/>
  <c r="L94" i="26" s="1"/>
  <c r="G94" i="26"/>
  <c r="I94" i="26"/>
  <c r="F95" i="26" s="1"/>
  <c r="M94" i="26" l="1"/>
  <c r="O94" i="26"/>
  <c r="L95" i="26" s="1"/>
  <c r="G95" i="26"/>
  <c r="I95" i="26" s="1"/>
  <c r="F96" i="26" s="1"/>
  <c r="G96" i="26" l="1"/>
  <c r="I96" i="26" s="1"/>
  <c r="F97" i="26" s="1"/>
  <c r="M95" i="26"/>
  <c r="O95" i="26" s="1"/>
  <c r="L96" i="26" s="1"/>
  <c r="M96" i="26" l="1"/>
  <c r="O96" i="26" s="1"/>
  <c r="L97" i="26" s="1"/>
  <c r="G97" i="26"/>
  <c r="I97" i="26" s="1"/>
  <c r="F98" i="26" s="1"/>
  <c r="G98" i="26" l="1"/>
  <c r="I98" i="26"/>
  <c r="F99" i="26" s="1"/>
  <c r="M97" i="26"/>
  <c r="O97" i="26"/>
  <c r="L98" i="26" s="1"/>
  <c r="G99" i="26" l="1"/>
  <c r="I99" i="26"/>
  <c r="F100" i="26" s="1"/>
  <c r="M98" i="26"/>
  <c r="O98" i="26" s="1"/>
  <c r="L99" i="26" s="1"/>
  <c r="M99" i="26" l="1"/>
  <c r="O99" i="26" s="1"/>
  <c r="L100" i="26" s="1"/>
  <c r="G100" i="26"/>
  <c r="I100" i="26" s="1"/>
  <c r="F101" i="26" s="1"/>
  <c r="G101" i="26" l="1"/>
  <c r="I101" i="26" s="1"/>
  <c r="F102" i="26" s="1"/>
  <c r="M100" i="26"/>
  <c r="O100" i="26" s="1"/>
  <c r="L101" i="26" s="1"/>
  <c r="M101" i="26" l="1"/>
  <c r="O101" i="26"/>
  <c r="L102" i="26" s="1"/>
  <c r="G102" i="26"/>
  <c r="I102" i="26"/>
  <c r="F103" i="26" s="1"/>
  <c r="M102" i="26" l="1"/>
  <c r="O102" i="26"/>
  <c r="L103" i="26" s="1"/>
  <c r="G103" i="26"/>
  <c r="I103" i="26" s="1"/>
  <c r="F104" i="26" s="1"/>
  <c r="G104" i="26" l="1"/>
  <c r="I104" i="26" s="1"/>
  <c r="F105" i="26" s="1"/>
  <c r="M103" i="26"/>
  <c r="O103" i="26" s="1"/>
  <c r="L104" i="26" s="1"/>
  <c r="M104" i="26" l="1"/>
  <c r="O104" i="26" s="1"/>
  <c r="L105" i="26" s="1"/>
  <c r="G105" i="26"/>
  <c r="I105" i="26" s="1"/>
  <c r="F106" i="26" s="1"/>
  <c r="G106" i="26" l="1"/>
  <c r="I106" i="26"/>
  <c r="F107" i="26" s="1"/>
  <c r="M105" i="26"/>
  <c r="O105" i="26"/>
  <c r="L106" i="26" s="1"/>
  <c r="G107" i="26" l="1"/>
  <c r="I107" i="26"/>
  <c r="F108" i="26" s="1"/>
  <c r="M106" i="26"/>
  <c r="O106" i="26" s="1"/>
  <c r="L107" i="26" s="1"/>
  <c r="M107" i="26" l="1"/>
  <c r="O107" i="26" s="1"/>
  <c r="L108" i="26" s="1"/>
  <c r="G108" i="26"/>
  <c r="I108" i="26" s="1"/>
  <c r="F109" i="26" s="1"/>
  <c r="G109" i="26" l="1"/>
  <c r="I109" i="26" s="1"/>
  <c r="F110" i="26" s="1"/>
  <c r="M108" i="26"/>
  <c r="O108" i="26" s="1"/>
  <c r="L109" i="26" s="1"/>
  <c r="M109" i="26" l="1"/>
  <c r="O109" i="26"/>
  <c r="L110" i="26" s="1"/>
  <c r="G110" i="26"/>
  <c r="I110" i="26"/>
  <c r="F111" i="26" s="1"/>
  <c r="M110" i="26" l="1"/>
  <c r="O110" i="26"/>
  <c r="L111" i="26" s="1"/>
  <c r="G111" i="26"/>
  <c r="I111" i="26" s="1"/>
  <c r="F112" i="26" s="1"/>
  <c r="G112" i="26" l="1"/>
  <c r="I112" i="26" s="1"/>
  <c r="F113" i="26" s="1"/>
  <c r="M111" i="26"/>
  <c r="O111" i="26" s="1"/>
  <c r="L112" i="26" s="1"/>
  <c r="M112" i="26" l="1"/>
  <c r="O112" i="26" s="1"/>
  <c r="L113" i="26" s="1"/>
  <c r="G113" i="26"/>
  <c r="I113" i="26" s="1"/>
  <c r="F114" i="26" s="1"/>
  <c r="G114" i="26" l="1"/>
  <c r="I114" i="26"/>
  <c r="F115" i="26" s="1"/>
  <c r="M113" i="26"/>
  <c r="O113" i="26"/>
  <c r="L114" i="26" s="1"/>
  <c r="G115" i="26" l="1"/>
  <c r="I115" i="26"/>
  <c r="F116" i="26" s="1"/>
  <c r="M114" i="26"/>
  <c r="O114" i="26" s="1"/>
  <c r="L115" i="26" s="1"/>
  <c r="M115" i="26" l="1"/>
  <c r="O115" i="26" s="1"/>
  <c r="L116" i="26" s="1"/>
  <c r="G116" i="26"/>
  <c r="I116" i="26" s="1"/>
  <c r="F117" i="26" s="1"/>
  <c r="G117" i="26" l="1"/>
  <c r="I117" i="26" s="1"/>
  <c r="F118" i="26" s="1"/>
  <c r="M116" i="26"/>
  <c r="O116" i="26" s="1"/>
  <c r="L117" i="26" s="1"/>
  <c r="M117" i="26" l="1"/>
  <c r="O117" i="26"/>
  <c r="L118" i="26" s="1"/>
  <c r="G118" i="26"/>
  <c r="I118" i="26"/>
  <c r="F119" i="26" s="1"/>
  <c r="M118" i="26" l="1"/>
  <c r="O118" i="26"/>
  <c r="L119" i="26" s="1"/>
  <c r="G119" i="26"/>
  <c r="I119" i="26" s="1"/>
  <c r="F120" i="26" s="1"/>
  <c r="G120" i="26" l="1"/>
  <c r="I120" i="26" s="1"/>
  <c r="F121" i="26" s="1"/>
  <c r="M119" i="26"/>
  <c r="O119" i="26" s="1"/>
  <c r="L120" i="26" s="1"/>
  <c r="M120" i="26" l="1"/>
  <c r="O120" i="26" s="1"/>
  <c r="L121" i="26" s="1"/>
  <c r="G121" i="26"/>
  <c r="I121" i="26" s="1"/>
  <c r="F122" i="26" s="1"/>
  <c r="G122" i="26" l="1"/>
  <c r="I122" i="26"/>
  <c r="F123" i="26" s="1"/>
  <c r="M121" i="26"/>
  <c r="O121" i="26"/>
  <c r="L122" i="26" s="1"/>
  <c r="G123" i="26" l="1"/>
  <c r="I123" i="26"/>
  <c r="F124" i="26" s="1"/>
  <c r="M122" i="26"/>
  <c r="O122" i="26" s="1"/>
  <c r="L123" i="26" s="1"/>
  <c r="M123" i="26" l="1"/>
  <c r="O123" i="26" s="1"/>
  <c r="L124" i="26" s="1"/>
  <c r="G124" i="26"/>
  <c r="I124" i="26" s="1"/>
  <c r="F125" i="26" s="1"/>
  <c r="I125" i="26" l="1"/>
  <c r="F126" i="26" s="1"/>
  <c r="G125" i="26"/>
  <c r="M124" i="26"/>
  <c r="O124" i="26" s="1"/>
  <c r="L125" i="26" s="1"/>
  <c r="M125" i="26" l="1"/>
  <c r="O125" i="26" s="1"/>
  <c r="L126" i="26" s="1"/>
  <c r="G126" i="26"/>
  <c r="I126" i="26"/>
  <c r="F127" i="26" s="1"/>
  <c r="M126" i="26" l="1"/>
  <c r="O126" i="26" s="1"/>
  <c r="L127" i="26" s="1"/>
  <c r="G127" i="26"/>
  <c r="I127" i="26" s="1"/>
  <c r="F128" i="26" s="1"/>
  <c r="G128" i="26" l="1"/>
  <c r="I128" i="26" s="1"/>
  <c r="F129" i="26" s="1"/>
  <c r="M127" i="26"/>
  <c r="O127" i="26" s="1"/>
  <c r="L128" i="26" s="1"/>
  <c r="M128" i="26" l="1"/>
  <c r="O128" i="26" s="1"/>
  <c r="L129" i="26" s="1"/>
  <c r="G129" i="26"/>
  <c r="I129" i="26" s="1"/>
  <c r="F130" i="26" s="1"/>
  <c r="G130" i="26" l="1"/>
  <c r="I130" i="26" s="1"/>
  <c r="F131" i="26" s="1"/>
  <c r="M129" i="26"/>
  <c r="O129" i="26"/>
  <c r="L130" i="26" s="1"/>
  <c r="G131" i="26" l="1"/>
  <c r="I131" i="26" s="1"/>
  <c r="F132" i="26" s="1"/>
  <c r="M130" i="26"/>
  <c r="O130" i="26" s="1"/>
  <c r="L131" i="26" s="1"/>
  <c r="G132" i="26" l="1"/>
  <c r="I132" i="26" s="1"/>
  <c r="F133" i="26" s="1"/>
  <c r="M131" i="26"/>
  <c r="O131" i="26" s="1"/>
  <c r="L132" i="26" s="1"/>
  <c r="M132" i="26" l="1"/>
  <c r="O132" i="26" s="1"/>
  <c r="L133" i="26" s="1"/>
  <c r="G133" i="26"/>
  <c r="I133" i="26" s="1"/>
  <c r="F134" i="26" s="1"/>
  <c r="M133" i="26" l="1"/>
  <c r="O133" i="26"/>
  <c r="L134" i="26" s="1"/>
  <c r="G134" i="26"/>
  <c r="I134" i="26"/>
  <c r="F135" i="26" s="1"/>
  <c r="G135" i="26" l="1"/>
  <c r="I135" i="26" s="1"/>
  <c r="F136" i="26" s="1"/>
  <c r="M134" i="26"/>
  <c r="O134" i="26"/>
  <c r="L135" i="26" s="1"/>
  <c r="I136" i="26" l="1"/>
  <c r="F137" i="26" s="1"/>
  <c r="G136" i="26"/>
  <c r="M135" i="26"/>
  <c r="O135" i="26"/>
  <c r="L136" i="26" s="1"/>
  <c r="M136" i="26" l="1"/>
  <c r="O136" i="26" s="1"/>
  <c r="L137" i="26" s="1"/>
  <c r="G137" i="26"/>
  <c r="I137" i="26" s="1"/>
  <c r="F138" i="26" s="1"/>
  <c r="G138" i="26" l="1"/>
  <c r="I138" i="26" s="1"/>
  <c r="F139" i="26" s="1"/>
  <c r="M137" i="26"/>
  <c r="O137" i="26" s="1"/>
  <c r="L138" i="26" s="1"/>
  <c r="M138" i="26" l="1"/>
  <c r="O138" i="26" s="1"/>
  <c r="L139" i="26" s="1"/>
  <c r="G139" i="26"/>
  <c r="I139" i="26"/>
  <c r="F140" i="26" s="1"/>
  <c r="M139" i="26" l="1"/>
  <c r="O139" i="26" s="1"/>
  <c r="L140" i="26" s="1"/>
  <c r="G140" i="26"/>
  <c r="I140" i="26" s="1"/>
  <c r="F141" i="26" s="1"/>
  <c r="G141" i="26" l="1"/>
  <c r="I141" i="26" s="1"/>
  <c r="F142" i="26" s="1"/>
  <c r="M140" i="26"/>
  <c r="O140" i="26" s="1"/>
  <c r="L141" i="26" s="1"/>
  <c r="I142" i="26" l="1"/>
  <c r="F143" i="26" s="1"/>
  <c r="G142" i="26"/>
  <c r="M141" i="26"/>
  <c r="O141" i="26" s="1"/>
  <c r="L142" i="26" s="1"/>
  <c r="M142" i="26" l="1"/>
  <c r="O142" i="26" s="1"/>
  <c r="L143" i="26" s="1"/>
  <c r="G143" i="26"/>
  <c r="I143" i="26" s="1"/>
  <c r="F144" i="26" s="1"/>
  <c r="M143" i="26" l="1"/>
  <c r="O143" i="26" s="1"/>
  <c r="L144" i="26" s="1"/>
  <c r="G144" i="26"/>
  <c r="I144" i="26" s="1"/>
  <c r="F145" i="26" s="1"/>
  <c r="M144" i="26" l="1"/>
  <c r="O144" i="26" s="1"/>
  <c r="L145" i="26" s="1"/>
  <c r="G145" i="26"/>
  <c r="I145" i="26" s="1"/>
  <c r="F146" i="26" s="1"/>
  <c r="O145" i="26" l="1"/>
  <c r="L146" i="26" s="1"/>
  <c r="M145" i="26"/>
  <c r="G146" i="26"/>
  <c r="I146" i="26" s="1"/>
  <c r="F147" i="26" s="1"/>
  <c r="G147" i="26" l="1"/>
  <c r="I147" i="26" s="1"/>
  <c r="F148" i="26" s="1"/>
  <c r="M146" i="26"/>
  <c r="O146" i="26" s="1"/>
  <c r="L147" i="26" s="1"/>
  <c r="M147" i="26" l="1"/>
  <c r="O147" i="26" s="1"/>
  <c r="L148" i="26" s="1"/>
  <c r="G148" i="26"/>
  <c r="I148" i="26" s="1"/>
  <c r="F149" i="26" s="1"/>
  <c r="G149" i="26" l="1"/>
  <c r="I149" i="26" s="1"/>
  <c r="F150" i="26" s="1"/>
  <c r="M148" i="26"/>
  <c r="O148" i="26" s="1"/>
  <c r="L149" i="26" s="1"/>
  <c r="M149" i="26" l="1"/>
  <c r="O149" i="26" s="1"/>
  <c r="L150" i="26" s="1"/>
  <c r="G150" i="26"/>
  <c r="I150" i="26" s="1"/>
  <c r="F151" i="26" s="1"/>
  <c r="G151" i="26" l="1"/>
  <c r="I151" i="26" s="1"/>
  <c r="F152" i="26" s="1"/>
  <c r="M150" i="26"/>
  <c r="O150" i="26" s="1"/>
  <c r="L151" i="26" s="1"/>
  <c r="M151" i="26" l="1"/>
  <c r="O151" i="26"/>
  <c r="L152" i="26" s="1"/>
  <c r="G152" i="26"/>
  <c r="I152" i="26" s="1"/>
  <c r="F153" i="26" s="1"/>
  <c r="G153" i="26" l="1"/>
  <c r="I153" i="26" s="1"/>
  <c r="F154" i="26" s="1"/>
  <c r="M152" i="26"/>
  <c r="O152" i="26" s="1"/>
  <c r="L153" i="26" s="1"/>
  <c r="O153" i="26" l="1"/>
  <c r="L154" i="26" s="1"/>
  <c r="M153" i="26"/>
  <c r="G154" i="26"/>
  <c r="I154" i="26" s="1"/>
  <c r="F155" i="26" s="1"/>
  <c r="G155" i="26" l="1"/>
  <c r="I155" i="26" s="1"/>
  <c r="F156" i="26" s="1"/>
  <c r="M154" i="26"/>
  <c r="O154" i="26" s="1"/>
  <c r="L155" i="26" s="1"/>
  <c r="G156" i="26" l="1"/>
  <c r="I156" i="26" s="1"/>
  <c r="F157" i="26" s="1"/>
  <c r="M155" i="26"/>
  <c r="O155" i="26" s="1"/>
  <c r="L156" i="26" s="1"/>
  <c r="G157" i="26" l="1"/>
  <c r="I157" i="26" s="1"/>
  <c r="F158" i="26" s="1"/>
  <c r="M156" i="26"/>
  <c r="O156" i="26" s="1"/>
  <c r="L157" i="26" s="1"/>
  <c r="I158" i="26" l="1"/>
  <c r="F159" i="26" s="1"/>
  <c r="G158" i="26"/>
  <c r="M157" i="26"/>
  <c r="O157" i="26" s="1"/>
  <c r="L158" i="26" s="1"/>
  <c r="M158" i="26" l="1"/>
  <c r="O158" i="26"/>
  <c r="L159" i="26" s="1"/>
  <c r="G159" i="26"/>
  <c r="I159" i="26" s="1"/>
  <c r="F160" i="26" s="1"/>
  <c r="I160" i="26" l="1"/>
  <c r="F161" i="26" s="1"/>
  <c r="G160" i="26"/>
  <c r="M159" i="26"/>
  <c r="O159" i="26"/>
  <c r="L160" i="26" s="1"/>
  <c r="I161" i="26" l="1"/>
  <c r="F162" i="26" s="1"/>
  <c r="G161" i="26"/>
  <c r="M160" i="26"/>
  <c r="O160" i="26"/>
  <c r="L161" i="26" s="1"/>
  <c r="I162" i="26" l="1"/>
  <c r="F163" i="26" s="1"/>
  <c r="G162" i="26"/>
  <c r="M161" i="26"/>
  <c r="O161" i="26" s="1"/>
  <c r="L162" i="26" s="1"/>
  <c r="O162" i="26" l="1"/>
  <c r="L163" i="26" s="1"/>
  <c r="M162" i="26"/>
  <c r="G163" i="26"/>
  <c r="I163" i="26"/>
  <c r="F164" i="26" s="1"/>
  <c r="O163" i="26" l="1"/>
  <c r="L164" i="26" s="1"/>
  <c r="M163" i="26"/>
  <c r="G164" i="26"/>
  <c r="I164" i="26"/>
  <c r="F165" i="26" s="1"/>
  <c r="O164" i="26" l="1"/>
  <c r="L165" i="26" s="1"/>
  <c r="M164" i="26"/>
  <c r="G165" i="26"/>
  <c r="I165" i="26" s="1"/>
  <c r="F166" i="26" s="1"/>
  <c r="G166" i="26" l="1"/>
  <c r="I166" i="26" s="1"/>
  <c r="F167" i="26" s="1"/>
  <c r="M165" i="26"/>
  <c r="O165" i="26" s="1"/>
  <c r="L166" i="26" s="1"/>
  <c r="M166" i="26" l="1"/>
  <c r="O166" i="26"/>
  <c r="L167" i="26" s="1"/>
  <c r="I167" i="26"/>
  <c r="F168" i="26" s="1"/>
  <c r="G167" i="26"/>
  <c r="G168" i="26" l="1"/>
  <c r="I168" i="26" s="1"/>
  <c r="F169" i="26" s="1"/>
  <c r="M167" i="26"/>
  <c r="O167" i="26"/>
  <c r="L168" i="26" s="1"/>
  <c r="G169" i="26" l="1"/>
  <c r="I169" i="26" s="1"/>
  <c r="F170" i="26" s="1"/>
  <c r="M168" i="26"/>
  <c r="O168" i="26"/>
  <c r="L169" i="26" s="1"/>
  <c r="G170" i="26" l="1"/>
  <c r="I170" i="26" s="1"/>
  <c r="F171" i="26" s="1"/>
  <c r="M169" i="26"/>
  <c r="O169" i="26" s="1"/>
  <c r="L170" i="26" s="1"/>
  <c r="M170" i="26" l="1"/>
  <c r="O170" i="26" s="1"/>
  <c r="L171" i="26" s="1"/>
  <c r="G171" i="26"/>
  <c r="I171" i="26" s="1"/>
  <c r="F172" i="26" s="1"/>
  <c r="G172" i="26" l="1"/>
  <c r="I172" i="26" s="1"/>
  <c r="F173" i="26" s="1"/>
  <c r="M171" i="26"/>
  <c r="O171" i="26" s="1"/>
  <c r="L172" i="26" s="1"/>
  <c r="O172" i="26" l="1"/>
  <c r="L173" i="26" s="1"/>
  <c r="M172" i="26"/>
  <c r="G173" i="26"/>
  <c r="I173" i="26" s="1"/>
  <c r="F174" i="26" s="1"/>
  <c r="I174" i="26" l="1"/>
  <c r="F175" i="26" s="1"/>
  <c r="G174" i="26"/>
  <c r="M173" i="26"/>
  <c r="O173" i="26" s="1"/>
  <c r="L174" i="26" s="1"/>
  <c r="M174" i="26" l="1"/>
  <c r="O174" i="26"/>
  <c r="L175" i="26" s="1"/>
  <c r="G175" i="26"/>
  <c r="I175" i="26" s="1"/>
  <c r="F176" i="26" s="1"/>
  <c r="I176" i="26" l="1"/>
  <c r="F177" i="26" s="1"/>
  <c r="G176" i="26"/>
  <c r="M175" i="26"/>
  <c r="O175" i="26" s="1"/>
  <c r="L176" i="26" s="1"/>
  <c r="M176" i="26" l="1"/>
  <c r="O176" i="26" s="1"/>
  <c r="L177" i="26" s="1"/>
  <c r="G177" i="26"/>
  <c r="I177" i="26" s="1"/>
  <c r="F178" i="26" s="1"/>
  <c r="I178" i="26" l="1"/>
  <c r="F179" i="26" s="1"/>
  <c r="G178" i="26"/>
  <c r="M177" i="26"/>
  <c r="O177" i="26" s="1"/>
  <c r="L178" i="26" s="1"/>
  <c r="O178" i="26" l="1"/>
  <c r="L179" i="26" s="1"/>
  <c r="M178" i="26"/>
  <c r="G179" i="26"/>
  <c r="I179" i="26"/>
  <c r="F180" i="26" s="1"/>
  <c r="M179" i="26" l="1"/>
  <c r="O179" i="26" s="1"/>
  <c r="L180" i="26" s="1"/>
  <c r="G180" i="26"/>
  <c r="I180" i="26" s="1"/>
  <c r="F181" i="26" s="1"/>
  <c r="G181" i="26" l="1"/>
  <c r="I181" i="26" s="1"/>
  <c r="F182" i="26" s="1"/>
  <c r="M180" i="26"/>
  <c r="O180" i="26" s="1"/>
  <c r="L181" i="26" s="1"/>
  <c r="M181" i="26" l="1"/>
  <c r="O181" i="26" s="1"/>
  <c r="L182" i="26" s="1"/>
  <c r="G182" i="26"/>
  <c r="I182" i="26" s="1"/>
  <c r="F183" i="26" s="1"/>
  <c r="G183" i="26" l="1"/>
  <c r="I183" i="26" s="1"/>
  <c r="F184" i="26" s="1"/>
  <c r="M182" i="26"/>
  <c r="O182" i="26"/>
  <c r="L183" i="26" s="1"/>
  <c r="G184" i="26" l="1"/>
  <c r="I184" i="26" s="1"/>
  <c r="F185" i="26" s="1"/>
  <c r="M183" i="26"/>
  <c r="O183" i="26"/>
  <c r="L184" i="26" s="1"/>
  <c r="G185" i="26" l="1"/>
  <c r="I185" i="26" s="1"/>
  <c r="F186" i="26" s="1"/>
  <c r="M184" i="26"/>
  <c r="O184" i="26" s="1"/>
  <c r="L185" i="26" s="1"/>
  <c r="M185" i="26" l="1"/>
  <c r="O185" i="26" s="1"/>
  <c r="L186" i="26" s="1"/>
  <c r="I186" i="26"/>
  <c r="F187" i="26" s="1"/>
  <c r="G186" i="26"/>
  <c r="M186" i="26" l="1"/>
  <c r="O186" i="26" s="1"/>
  <c r="L187" i="26" s="1"/>
  <c r="G187" i="26"/>
  <c r="I187" i="26"/>
  <c r="F188" i="26" s="1"/>
  <c r="M187" i="26" l="1"/>
  <c r="O187" i="26" s="1"/>
  <c r="L188" i="26" s="1"/>
  <c r="G188" i="26"/>
  <c r="I188" i="26"/>
  <c r="F189" i="26" s="1"/>
  <c r="M188" i="26" l="1"/>
  <c r="O188" i="26" s="1"/>
  <c r="L189" i="26" s="1"/>
  <c r="G189" i="26"/>
  <c r="I189" i="26" s="1"/>
  <c r="F190" i="26" s="1"/>
  <c r="G190" i="26" l="1"/>
  <c r="I190" i="26" s="1"/>
  <c r="F191" i="26" s="1"/>
  <c r="M189" i="26"/>
  <c r="O189" i="26" s="1"/>
  <c r="L190" i="26" s="1"/>
  <c r="M190" i="26" l="1"/>
  <c r="O190" i="26"/>
  <c r="L191" i="26" s="1"/>
  <c r="G191" i="26"/>
  <c r="I191" i="26" s="1"/>
  <c r="F192" i="26" s="1"/>
  <c r="I192" i="26" l="1"/>
  <c r="F193" i="26" s="1"/>
  <c r="G192" i="26"/>
  <c r="M191" i="26"/>
  <c r="O191" i="26"/>
  <c r="L192" i="26" s="1"/>
  <c r="I193" i="26" l="1"/>
  <c r="F194" i="26" s="1"/>
  <c r="G193" i="26"/>
  <c r="M192" i="26"/>
  <c r="O192" i="26"/>
  <c r="L193" i="26" s="1"/>
  <c r="I194" i="26" l="1"/>
  <c r="F195" i="26" s="1"/>
  <c r="G194" i="26"/>
  <c r="M193" i="26"/>
  <c r="O193" i="26" s="1"/>
  <c r="L194" i="26" s="1"/>
  <c r="O194" i="26" l="1"/>
  <c r="L195" i="26" s="1"/>
  <c r="M194" i="26"/>
  <c r="G195" i="26"/>
  <c r="I195" i="26" s="1"/>
  <c r="F196" i="26" s="1"/>
  <c r="I196" i="26" l="1"/>
  <c r="F197" i="26" s="1"/>
  <c r="G196" i="26"/>
  <c r="M195" i="26"/>
  <c r="O195" i="26" s="1"/>
  <c r="L196" i="26" s="1"/>
  <c r="O196" i="26" l="1"/>
  <c r="L197" i="26" s="1"/>
  <c r="M196" i="26"/>
  <c r="G197" i="26"/>
  <c r="I197" i="26"/>
  <c r="F198" i="26" s="1"/>
  <c r="O197" i="26" l="1"/>
  <c r="L198" i="26" s="1"/>
  <c r="M197" i="26"/>
  <c r="G198" i="26"/>
  <c r="I198" i="26"/>
  <c r="F199" i="26" s="1"/>
  <c r="O198" i="26" l="1"/>
  <c r="L199" i="26" s="1"/>
  <c r="M198" i="26"/>
  <c r="G199" i="26"/>
  <c r="I199" i="26" s="1"/>
  <c r="F200" i="26" s="1"/>
  <c r="G200" i="26" l="1"/>
  <c r="I200" i="26" s="1"/>
  <c r="F201" i="26" s="1"/>
  <c r="M199" i="26"/>
  <c r="O199" i="26" s="1"/>
  <c r="L200" i="26" s="1"/>
  <c r="M200" i="26" l="1"/>
  <c r="O200" i="26"/>
  <c r="L201" i="26" s="1"/>
  <c r="G201" i="26"/>
  <c r="I201" i="26" s="1"/>
  <c r="F202" i="26" s="1"/>
  <c r="G202" i="26" l="1"/>
  <c r="I202" i="26" s="1"/>
  <c r="F203" i="26" s="1"/>
  <c r="M201" i="26"/>
  <c r="O201" i="26"/>
  <c r="L202" i="26" s="1"/>
  <c r="G203" i="26" l="1"/>
  <c r="I203" i="26" s="1"/>
  <c r="F204" i="26" s="1"/>
  <c r="O202" i="26"/>
  <c r="L203" i="26" s="1"/>
  <c r="M202" i="26"/>
  <c r="G204" i="26" l="1"/>
  <c r="I204" i="26" s="1"/>
  <c r="F205" i="26" s="1"/>
  <c r="O203" i="26"/>
  <c r="L204" i="26" s="1"/>
  <c r="M203" i="26"/>
  <c r="G205" i="26" l="1"/>
  <c r="I205" i="26"/>
  <c r="F206" i="26" s="1"/>
  <c r="M204" i="26"/>
  <c r="O204" i="26" s="1"/>
  <c r="L205" i="26" s="1"/>
  <c r="M205" i="26" l="1"/>
  <c r="O205" i="26" s="1"/>
  <c r="L206" i="26" s="1"/>
  <c r="G206" i="26"/>
  <c r="I206" i="26"/>
  <c r="F207" i="26" s="1"/>
  <c r="M206" i="26" l="1"/>
  <c r="O206" i="26" s="1"/>
  <c r="L207" i="26" s="1"/>
  <c r="G207" i="26"/>
  <c r="I207" i="26" s="1"/>
  <c r="F208" i="26" s="1"/>
  <c r="G208" i="26" l="1"/>
  <c r="I208" i="26" s="1"/>
  <c r="F209" i="26" s="1"/>
  <c r="M207" i="26"/>
  <c r="O207" i="26" s="1"/>
  <c r="L208" i="26" s="1"/>
  <c r="M208" i="26" l="1"/>
  <c r="O208" i="26"/>
  <c r="L209" i="26" s="1"/>
  <c r="I209" i="26"/>
  <c r="F210" i="26" s="1"/>
  <c r="G209" i="26"/>
  <c r="G210" i="26" l="1"/>
  <c r="I210" i="26" s="1"/>
  <c r="F211" i="26" s="1"/>
  <c r="M209" i="26"/>
  <c r="O209" i="26" s="1"/>
  <c r="L210" i="26" s="1"/>
  <c r="M210" i="26" l="1"/>
  <c r="O210" i="26" s="1"/>
  <c r="L211" i="26" s="1"/>
  <c r="G211" i="26"/>
  <c r="I211" i="26" s="1"/>
  <c r="F212" i="26" s="1"/>
  <c r="G212" i="26" l="1"/>
  <c r="I212" i="26" s="1"/>
  <c r="F213" i="26" s="1"/>
  <c r="M211" i="26"/>
  <c r="O211" i="26" s="1"/>
  <c r="L212" i="26" s="1"/>
  <c r="M212" i="26" l="1"/>
  <c r="O212" i="26" s="1"/>
  <c r="L213" i="26" s="1"/>
  <c r="G213" i="26"/>
  <c r="I213" i="26"/>
  <c r="F214" i="26" s="1"/>
  <c r="M213" i="26" l="1"/>
  <c r="O213" i="26" s="1"/>
  <c r="L214" i="26" s="1"/>
  <c r="G214" i="26"/>
  <c r="I214" i="26"/>
  <c r="F215" i="26" s="1"/>
  <c r="M214" i="26" l="1"/>
  <c r="O214" i="26" s="1"/>
  <c r="L215" i="26" s="1"/>
  <c r="G215" i="26"/>
  <c r="I215" i="26" s="1"/>
  <c r="F216" i="26" s="1"/>
  <c r="G216" i="26" l="1"/>
  <c r="I216" i="26" s="1"/>
  <c r="F217" i="26" s="1"/>
  <c r="M215" i="26"/>
  <c r="O215" i="26" s="1"/>
  <c r="L216" i="26" s="1"/>
  <c r="M216" i="26" l="1"/>
  <c r="O216" i="26"/>
  <c r="L217" i="26" s="1"/>
  <c r="G217" i="26"/>
  <c r="I217" i="26" s="1"/>
  <c r="F218" i="26" s="1"/>
  <c r="G218" i="26" l="1"/>
  <c r="I218" i="26" s="1"/>
  <c r="F219" i="26" s="1"/>
  <c r="M217" i="26"/>
  <c r="O217" i="26"/>
  <c r="L218" i="26" s="1"/>
  <c r="G219" i="26" l="1"/>
  <c r="I219" i="26" s="1"/>
  <c r="F220" i="26" s="1"/>
  <c r="M218" i="26"/>
  <c r="O218" i="26" s="1"/>
  <c r="L219" i="26" s="1"/>
  <c r="M219" i="26" l="1"/>
  <c r="O219" i="26" s="1"/>
  <c r="L220" i="26" s="1"/>
  <c r="G220" i="26"/>
  <c r="I220" i="26" s="1"/>
  <c r="F221" i="26" s="1"/>
  <c r="G221" i="26" l="1"/>
  <c r="I221" i="26"/>
  <c r="F222" i="26" s="1"/>
  <c r="M220" i="26"/>
  <c r="O220" i="26" s="1"/>
  <c r="L221" i="26" s="1"/>
  <c r="M221" i="26" l="1"/>
  <c r="O221" i="26" s="1"/>
  <c r="L222" i="26" s="1"/>
  <c r="G222" i="26"/>
  <c r="I222" i="26"/>
  <c r="F223" i="26" s="1"/>
  <c r="M222" i="26" l="1"/>
  <c r="O222" i="26" s="1"/>
  <c r="L223" i="26" s="1"/>
  <c r="G223" i="26"/>
  <c r="I223" i="26" s="1"/>
  <c r="F224" i="26" s="1"/>
  <c r="G224" i="26" l="1"/>
  <c r="I224" i="26" s="1"/>
  <c r="F225" i="26" s="1"/>
  <c r="M223" i="26"/>
  <c r="O223" i="26" s="1"/>
  <c r="L224" i="26" s="1"/>
  <c r="M224" i="26" l="1"/>
  <c r="O224" i="26"/>
  <c r="L225" i="26" s="1"/>
  <c r="I225" i="26"/>
  <c r="F226" i="26" s="1"/>
  <c r="G225" i="26"/>
  <c r="G226" i="26" l="1"/>
  <c r="I226" i="26" s="1"/>
  <c r="F227" i="26" s="1"/>
  <c r="M225" i="26"/>
  <c r="O225" i="26"/>
  <c r="L226" i="26" s="1"/>
  <c r="G227" i="26" l="1"/>
  <c r="I227" i="26" s="1"/>
  <c r="F228" i="26" s="1"/>
  <c r="M226" i="26"/>
  <c r="O226" i="26" s="1"/>
  <c r="L227" i="26" s="1"/>
  <c r="G228" i="26" l="1"/>
  <c r="I228" i="26" s="1"/>
  <c r="F229" i="26" s="1"/>
  <c r="M227" i="26"/>
  <c r="O227" i="26" s="1"/>
  <c r="L228" i="26" s="1"/>
  <c r="M228" i="26" l="1"/>
  <c r="O228" i="26" s="1"/>
  <c r="L229" i="26" s="1"/>
  <c r="G229" i="26"/>
  <c r="I229" i="26"/>
  <c r="F230" i="26" s="1"/>
  <c r="M229" i="26" l="1"/>
  <c r="O229" i="26" s="1"/>
  <c r="L230" i="26" s="1"/>
  <c r="G230" i="26"/>
  <c r="I230" i="26"/>
  <c r="F231" i="26" s="1"/>
  <c r="M230" i="26" l="1"/>
  <c r="O230" i="26" s="1"/>
  <c r="L231" i="26" s="1"/>
  <c r="G231" i="26"/>
  <c r="I231" i="26" s="1"/>
  <c r="F232" i="26" s="1"/>
  <c r="G232" i="26" l="1"/>
  <c r="I232" i="26" s="1"/>
  <c r="F233" i="26" s="1"/>
  <c r="M231" i="26"/>
  <c r="O231" i="26" s="1"/>
  <c r="L232" i="26" s="1"/>
  <c r="M232" i="26" l="1"/>
  <c r="O232" i="26"/>
  <c r="L233" i="26" s="1"/>
  <c r="I233" i="26"/>
  <c r="F234" i="26" s="1"/>
  <c r="G233" i="26"/>
  <c r="G234" i="26" l="1"/>
  <c r="I234" i="26" s="1"/>
  <c r="F235" i="26" s="1"/>
  <c r="M233" i="26"/>
  <c r="O233" i="26"/>
  <c r="L234" i="26" s="1"/>
  <c r="G235" i="26" l="1"/>
  <c r="I235" i="26" s="1"/>
  <c r="F236" i="26" s="1"/>
  <c r="M234" i="26"/>
  <c r="O234" i="26" s="1"/>
  <c r="L235" i="26" s="1"/>
  <c r="M235" i="26" l="1"/>
  <c r="O235" i="26" s="1"/>
  <c r="L236" i="26" s="1"/>
  <c r="G236" i="26"/>
  <c r="I236" i="26" s="1"/>
  <c r="F237" i="26" s="1"/>
  <c r="G237" i="26" l="1"/>
  <c r="I237" i="26" s="1"/>
  <c r="F238" i="26" s="1"/>
  <c r="M236" i="26"/>
  <c r="O236" i="26" s="1"/>
  <c r="L237" i="26" s="1"/>
  <c r="M237" i="26" l="1"/>
  <c r="O237" i="26"/>
  <c r="L238" i="26" s="1"/>
  <c r="G238" i="26"/>
  <c r="I238" i="26" s="1"/>
  <c r="F239" i="26" s="1"/>
  <c r="G239" i="26" l="1"/>
  <c r="I239" i="26" s="1"/>
  <c r="F240" i="26" s="1"/>
  <c r="M238" i="26"/>
  <c r="O238" i="26" s="1"/>
  <c r="L239" i="26" s="1"/>
  <c r="M239" i="26" l="1"/>
  <c r="O239" i="26" s="1"/>
  <c r="L240" i="26" s="1"/>
  <c r="G240" i="26"/>
  <c r="I240" i="26" s="1"/>
  <c r="F241" i="26" s="1"/>
  <c r="G241" i="26" l="1"/>
  <c r="I241" i="26" s="1"/>
  <c r="F242" i="26" s="1"/>
  <c r="M240" i="26"/>
  <c r="O240" i="26" s="1"/>
  <c r="L241" i="26" s="1"/>
  <c r="M241" i="26" l="1"/>
  <c r="O241" i="26" s="1"/>
  <c r="L242" i="26" s="1"/>
  <c r="G242" i="26"/>
  <c r="I242" i="26"/>
  <c r="F243" i="26" s="1"/>
  <c r="M242" i="26" l="1"/>
  <c r="O242" i="26"/>
  <c r="L243" i="26" s="1"/>
  <c r="G243" i="26"/>
  <c r="I243" i="26" s="1"/>
  <c r="F244" i="26" s="1"/>
  <c r="G244" i="26" l="1"/>
  <c r="I244" i="26" s="1"/>
  <c r="F245" i="26" s="1"/>
  <c r="M243" i="26"/>
  <c r="O243" i="26"/>
  <c r="L244" i="26" s="1"/>
  <c r="G245" i="26" l="1"/>
  <c r="I245" i="26" s="1"/>
  <c r="F246" i="26" s="1"/>
  <c r="M244" i="26"/>
  <c r="O244" i="26" s="1"/>
  <c r="L245" i="26" s="1"/>
  <c r="M245" i="26" l="1"/>
  <c r="O245" i="26"/>
  <c r="L246" i="26" s="1"/>
  <c r="G246" i="26"/>
  <c r="I246" i="26" s="1"/>
  <c r="F247" i="26" s="1"/>
  <c r="G247" i="26" l="1"/>
  <c r="I247" i="26" s="1"/>
  <c r="F248" i="26" s="1"/>
  <c r="M246" i="26"/>
  <c r="O246" i="26"/>
  <c r="L247" i="26" s="1"/>
  <c r="G248" i="26" l="1"/>
  <c r="I248" i="26"/>
  <c r="F249" i="26" s="1"/>
  <c r="M247" i="26"/>
  <c r="O247" i="26" s="1"/>
  <c r="L248" i="26" s="1"/>
  <c r="M248" i="26" l="1"/>
  <c r="O248" i="26" s="1"/>
  <c r="L249" i="26" s="1"/>
  <c r="G249" i="26"/>
  <c r="I249" i="26" s="1"/>
  <c r="F250" i="26" s="1"/>
  <c r="G250" i="26" l="1"/>
  <c r="I250" i="26"/>
  <c r="F251" i="26" s="1"/>
  <c r="M249" i="26"/>
  <c r="O249" i="26" s="1"/>
  <c r="L250" i="26" s="1"/>
  <c r="M250" i="26" l="1"/>
  <c r="O250" i="26"/>
  <c r="L251" i="26" s="1"/>
  <c r="G251" i="26"/>
  <c r="I251" i="26" s="1"/>
  <c r="F252" i="26" s="1"/>
  <c r="G252" i="26" l="1"/>
  <c r="I252" i="26" s="1"/>
  <c r="F253" i="26" s="1"/>
  <c r="M251" i="26"/>
  <c r="O251" i="26"/>
  <c r="L252" i="26" s="1"/>
  <c r="G253" i="26" l="1"/>
  <c r="I253" i="26" s="1"/>
  <c r="F254" i="26" s="1"/>
  <c r="M252" i="26"/>
  <c r="O252" i="26" s="1"/>
  <c r="L253" i="26" s="1"/>
  <c r="M253" i="26" l="1"/>
  <c r="O253" i="26"/>
  <c r="L254" i="26" s="1"/>
  <c r="G254" i="26"/>
  <c r="I254" i="26" s="1"/>
  <c r="F255" i="26" s="1"/>
  <c r="G255" i="26" l="1"/>
  <c r="I255" i="26" s="1"/>
  <c r="F256" i="26" s="1"/>
  <c r="M254" i="26"/>
  <c r="O254" i="26"/>
  <c r="L255" i="26" s="1"/>
  <c r="G256" i="26" l="1"/>
  <c r="I256" i="26"/>
  <c r="F257" i="26" s="1"/>
  <c r="M255" i="26"/>
  <c r="O255" i="26" s="1"/>
  <c r="L256" i="26" s="1"/>
  <c r="M256" i="26" l="1"/>
  <c r="O256" i="26" s="1"/>
  <c r="L257" i="26" s="1"/>
  <c r="G257" i="26"/>
  <c r="I257" i="26" s="1"/>
  <c r="F258" i="26" s="1"/>
  <c r="G258" i="26" l="1"/>
  <c r="I258" i="26"/>
  <c r="F259" i="26" s="1"/>
  <c r="M257" i="26"/>
  <c r="O257" i="26" s="1"/>
  <c r="L258" i="26" s="1"/>
  <c r="M258" i="26" l="1"/>
  <c r="O258" i="26"/>
  <c r="L259" i="26" s="1"/>
  <c r="G259" i="26"/>
  <c r="I259" i="26" s="1"/>
  <c r="F260" i="26" s="1"/>
  <c r="G260" i="26" l="1"/>
  <c r="I260" i="26" s="1"/>
  <c r="F261" i="26" s="1"/>
  <c r="M259" i="26"/>
  <c r="O259" i="26"/>
  <c r="L260" i="26" s="1"/>
  <c r="G261" i="26" l="1"/>
  <c r="I261" i="26" s="1"/>
  <c r="F262" i="26" s="1"/>
  <c r="M260" i="26"/>
  <c r="O260" i="26" s="1"/>
  <c r="L261" i="26" s="1"/>
  <c r="M261" i="26" l="1"/>
  <c r="O261" i="26"/>
  <c r="L262" i="26" s="1"/>
  <c r="G262" i="26"/>
  <c r="I262" i="26" s="1"/>
  <c r="F263" i="26" s="1"/>
  <c r="G263" i="26" l="1"/>
  <c r="I263" i="26" s="1"/>
  <c r="F264" i="26" s="1"/>
  <c r="M262" i="26"/>
  <c r="O262" i="26"/>
  <c r="L263" i="26" s="1"/>
  <c r="G264" i="26" l="1"/>
  <c r="I264" i="26"/>
  <c r="F265" i="26" s="1"/>
  <c r="M263" i="26"/>
  <c r="O263" i="26" s="1"/>
  <c r="L264" i="26" s="1"/>
  <c r="M264" i="26" l="1"/>
  <c r="O264" i="26"/>
  <c r="L265" i="26" s="1"/>
  <c r="G265" i="26"/>
  <c r="I265" i="26" s="1"/>
  <c r="F266" i="26" s="1"/>
  <c r="G266" i="26" l="1"/>
  <c r="I266" i="26"/>
  <c r="F267" i="26" s="1"/>
  <c r="M265" i="26"/>
  <c r="O265" i="26" s="1"/>
  <c r="L266" i="26" s="1"/>
  <c r="M266" i="26" l="1"/>
  <c r="O266" i="26" s="1"/>
  <c r="L267" i="26" s="1"/>
  <c r="G267" i="26"/>
  <c r="I267" i="26" s="1"/>
  <c r="F268" i="26" s="1"/>
  <c r="G268" i="26" l="1"/>
  <c r="I268" i="26" s="1"/>
  <c r="F269" i="26" s="1"/>
  <c r="M267" i="26"/>
  <c r="O267" i="26"/>
  <c r="L268" i="26" s="1"/>
  <c r="G269" i="26" l="1"/>
  <c r="I269" i="26"/>
  <c r="F270" i="26" s="1"/>
  <c r="M268" i="26"/>
  <c r="O268" i="26"/>
  <c r="L269" i="26" s="1"/>
  <c r="M269" i="26" l="1"/>
  <c r="O269" i="26"/>
  <c r="L270" i="26" s="1"/>
  <c r="G270" i="26"/>
  <c r="I270" i="26" s="1"/>
  <c r="F271" i="26" s="1"/>
  <c r="G271" i="26" l="1"/>
  <c r="I271" i="26" s="1"/>
  <c r="F272" i="26" s="1"/>
  <c r="M270" i="26"/>
  <c r="O270" i="26" s="1"/>
  <c r="L271" i="26" s="1"/>
  <c r="M271" i="26" l="1"/>
  <c r="O271" i="26" s="1"/>
  <c r="L272" i="26" s="1"/>
  <c r="G272" i="26"/>
  <c r="I272" i="26"/>
  <c r="F273" i="26" s="1"/>
  <c r="M272" i="26" l="1"/>
  <c r="O272" i="26"/>
  <c r="L273" i="26" s="1"/>
  <c r="G273" i="26"/>
  <c r="I273" i="26" s="1"/>
  <c r="F274" i="26" s="1"/>
  <c r="G274" i="26" l="1"/>
  <c r="I274" i="26"/>
  <c r="F275" i="26" s="1"/>
  <c r="M273" i="26"/>
  <c r="O273" i="26" s="1"/>
  <c r="L274" i="26" s="1"/>
  <c r="M274" i="26" l="1"/>
  <c r="O274" i="26" s="1"/>
  <c r="L275" i="26" s="1"/>
  <c r="G275" i="26"/>
  <c r="I275" i="26" s="1"/>
  <c r="F276" i="26" s="1"/>
  <c r="G276" i="26" l="1"/>
  <c r="I276" i="26" s="1"/>
  <c r="F277" i="26" s="1"/>
  <c r="M275" i="26"/>
  <c r="O275" i="26"/>
  <c r="L276" i="26" s="1"/>
  <c r="G277" i="26" l="1"/>
  <c r="I277" i="26"/>
  <c r="F278" i="26" s="1"/>
  <c r="M276" i="26"/>
  <c r="O276" i="26" s="1"/>
  <c r="L277" i="26" s="1"/>
  <c r="M277" i="26" l="1"/>
  <c r="O277" i="26"/>
  <c r="L278" i="26" s="1"/>
  <c r="G278" i="26"/>
  <c r="I278" i="26" s="1"/>
  <c r="F279" i="26" s="1"/>
  <c r="G279" i="26" l="1"/>
  <c r="I279" i="26" s="1"/>
  <c r="F280" i="26" s="1"/>
  <c r="M278" i="26"/>
  <c r="O278" i="26" s="1"/>
  <c r="L279" i="26" s="1"/>
  <c r="M279" i="26" l="1"/>
  <c r="O279" i="26" s="1"/>
  <c r="L280" i="26" s="1"/>
  <c r="G280" i="26"/>
  <c r="I280" i="26" s="1"/>
  <c r="F281" i="26" s="1"/>
  <c r="G281" i="26" l="1"/>
  <c r="I281" i="26" s="1"/>
  <c r="F282" i="26" s="1"/>
  <c r="M280" i="26"/>
  <c r="O280" i="26"/>
  <c r="L281" i="26" s="1"/>
  <c r="G282" i="26" l="1"/>
  <c r="I282" i="26"/>
  <c r="F283" i="26" s="1"/>
  <c r="M281" i="26"/>
  <c r="O281" i="26" s="1"/>
  <c r="L282" i="26" s="1"/>
  <c r="M282" i="26" l="1"/>
  <c r="O282" i="26" s="1"/>
  <c r="L283" i="26" s="1"/>
  <c r="G283" i="26"/>
  <c r="I283" i="26" s="1"/>
  <c r="F284" i="26" s="1"/>
  <c r="G284" i="26" l="1"/>
  <c r="I284" i="26" s="1"/>
  <c r="F285" i="26" s="1"/>
  <c r="M283" i="26"/>
  <c r="O283" i="26"/>
  <c r="L284" i="26" s="1"/>
  <c r="G285" i="26" l="1"/>
  <c r="I285" i="26"/>
  <c r="F286" i="26" s="1"/>
  <c r="M284" i="26"/>
  <c r="O284" i="26"/>
  <c r="L285" i="26" s="1"/>
  <c r="M285" i="26" l="1"/>
  <c r="O285" i="26"/>
  <c r="L286" i="26" s="1"/>
  <c r="G286" i="26"/>
  <c r="I286" i="26" s="1"/>
  <c r="F287" i="26" s="1"/>
  <c r="G287" i="26" l="1"/>
  <c r="I287" i="26" s="1"/>
  <c r="F288" i="26" s="1"/>
  <c r="M286" i="26"/>
  <c r="O286" i="26" s="1"/>
  <c r="L287" i="26" s="1"/>
  <c r="M287" i="26" l="1"/>
  <c r="O287" i="26" s="1"/>
  <c r="L288" i="26" s="1"/>
  <c r="G288" i="26"/>
  <c r="I288" i="26"/>
  <c r="F289" i="26" s="1"/>
  <c r="M288" i="26" l="1"/>
  <c r="O288" i="26"/>
  <c r="L289" i="26" s="1"/>
  <c r="G289" i="26"/>
  <c r="I289" i="26" s="1"/>
  <c r="F290" i="26" s="1"/>
  <c r="G290" i="26" l="1"/>
  <c r="I290" i="26"/>
  <c r="F291" i="26" s="1"/>
  <c r="M289" i="26"/>
  <c r="O289" i="26" s="1"/>
  <c r="L290" i="26" s="1"/>
  <c r="M290" i="26" l="1"/>
  <c r="O290" i="26" s="1"/>
  <c r="L291" i="26" s="1"/>
  <c r="G291" i="26"/>
  <c r="I291" i="26" s="1"/>
  <c r="F292" i="26" s="1"/>
  <c r="G292" i="26" l="1"/>
  <c r="I292" i="26" s="1"/>
  <c r="F293" i="26" s="1"/>
  <c r="M291" i="26"/>
  <c r="O291" i="26" s="1"/>
  <c r="L292" i="26" s="1"/>
  <c r="M292" i="26" l="1"/>
  <c r="O292" i="26"/>
  <c r="L293" i="26" s="1"/>
  <c r="G293" i="26"/>
  <c r="I293" i="26"/>
  <c r="F294" i="26" s="1"/>
  <c r="G294" i="26" l="1"/>
  <c r="I294" i="26" s="1"/>
  <c r="F295" i="26" s="1"/>
  <c r="M293" i="26"/>
  <c r="O293" i="26"/>
  <c r="L294" i="26" s="1"/>
  <c r="G295" i="26" l="1"/>
  <c r="I295" i="26" s="1"/>
  <c r="F296" i="26" s="1"/>
  <c r="M294" i="26"/>
  <c r="O294" i="26" s="1"/>
  <c r="L295" i="26" s="1"/>
  <c r="M295" i="26" l="1"/>
  <c r="O295" i="26" s="1"/>
  <c r="L296" i="26" s="1"/>
  <c r="G296" i="26"/>
  <c r="I296" i="26"/>
  <c r="F297" i="26" s="1"/>
  <c r="M296" i="26" l="1"/>
  <c r="O296" i="26"/>
  <c r="L297" i="26" s="1"/>
  <c r="G297" i="26"/>
  <c r="I297" i="26" s="1"/>
  <c r="F298" i="26" s="1"/>
  <c r="G298" i="26" l="1"/>
  <c r="I298" i="26"/>
  <c r="F299" i="26" s="1"/>
  <c r="O297" i="26"/>
  <c r="L298" i="26" s="1"/>
  <c r="M297" i="26"/>
  <c r="M298" i="26" l="1"/>
  <c r="O298" i="26" s="1"/>
  <c r="L299" i="26" s="1"/>
  <c r="G299" i="26"/>
  <c r="I299" i="26" s="1"/>
  <c r="F300" i="26" s="1"/>
  <c r="G300" i="26" l="1"/>
  <c r="I300" i="26" s="1"/>
  <c r="F301" i="26" s="1"/>
  <c r="M299" i="26"/>
  <c r="O299" i="26"/>
  <c r="L300" i="26" s="1"/>
  <c r="G301" i="26" l="1"/>
  <c r="I301" i="26"/>
  <c r="F302" i="26" s="1"/>
  <c r="M300" i="26"/>
  <c r="O300" i="26"/>
  <c r="L301" i="26" s="1"/>
  <c r="M301" i="26" l="1"/>
  <c r="O301" i="26"/>
  <c r="L302" i="26" s="1"/>
  <c r="G302" i="26"/>
  <c r="I302" i="26" s="1"/>
  <c r="F303" i="26" s="1"/>
  <c r="G303" i="26" l="1"/>
  <c r="I303" i="26" s="1"/>
  <c r="F304" i="26" s="1"/>
  <c r="M302" i="26"/>
  <c r="O302" i="26" s="1"/>
  <c r="L303" i="26" s="1"/>
  <c r="M303" i="26" l="1"/>
  <c r="O303" i="26" s="1"/>
  <c r="L304" i="26" s="1"/>
  <c r="G304" i="26"/>
  <c r="I304" i="26"/>
  <c r="F305" i="26" s="1"/>
  <c r="M304" i="26" l="1"/>
  <c r="O304" i="26"/>
  <c r="L305" i="26" s="1"/>
  <c r="G305" i="26"/>
  <c r="I305" i="26" s="1"/>
  <c r="F306" i="26" s="1"/>
  <c r="G306" i="26" l="1"/>
  <c r="I306" i="26"/>
  <c r="F307" i="26" s="1"/>
  <c r="O305" i="26"/>
  <c r="L306" i="26" s="1"/>
  <c r="M305" i="26"/>
  <c r="M306" i="26" l="1"/>
  <c r="O306" i="26"/>
  <c r="L307" i="26" s="1"/>
  <c r="G307" i="26"/>
  <c r="I307" i="26" s="1"/>
  <c r="F308" i="26" s="1"/>
  <c r="G308" i="26" l="1"/>
  <c r="I308" i="26" s="1"/>
  <c r="F309" i="26" s="1"/>
  <c r="M307" i="26"/>
  <c r="O307" i="26"/>
  <c r="L308" i="26" s="1"/>
  <c r="G309" i="26" l="1"/>
  <c r="I309" i="26" s="1"/>
  <c r="F310" i="26" s="1"/>
  <c r="M308" i="26"/>
  <c r="O308" i="26" s="1"/>
  <c r="L309" i="26" s="1"/>
  <c r="M309" i="26" l="1"/>
  <c r="O309" i="26"/>
  <c r="L310" i="26" s="1"/>
  <c r="G310" i="26"/>
  <c r="I310" i="26" s="1"/>
  <c r="F311" i="26" s="1"/>
  <c r="G311" i="26" l="1"/>
  <c r="I311" i="26"/>
  <c r="F312" i="26" s="1"/>
  <c r="M310" i="26"/>
  <c r="O310" i="26" s="1"/>
  <c r="L311" i="26" s="1"/>
  <c r="M311" i="26" l="1"/>
  <c r="O311" i="26" s="1"/>
  <c r="L312" i="26" s="1"/>
  <c r="G312" i="26"/>
  <c r="I312" i="26"/>
  <c r="F313" i="26" s="1"/>
  <c r="M312" i="26" l="1"/>
  <c r="O312" i="26" s="1"/>
  <c r="L313" i="26" s="1"/>
  <c r="G313" i="26"/>
  <c r="I313" i="26" s="1"/>
  <c r="F314" i="26" s="1"/>
  <c r="G314" i="26" l="1"/>
  <c r="I314" i="26"/>
  <c r="F315" i="26" s="1"/>
  <c r="M313" i="26"/>
  <c r="O313" i="26" s="1"/>
  <c r="L314" i="26" s="1"/>
  <c r="M314" i="26" l="1"/>
  <c r="O314" i="26"/>
  <c r="L315" i="26" s="1"/>
  <c r="G315" i="26"/>
  <c r="I315" i="26" s="1"/>
  <c r="F316" i="26" s="1"/>
  <c r="G316" i="26" l="1"/>
  <c r="I316" i="26" s="1"/>
  <c r="F317" i="26" s="1"/>
  <c r="M315" i="26"/>
  <c r="O315" i="26"/>
  <c r="L316" i="26" s="1"/>
  <c r="G317" i="26" l="1"/>
  <c r="I317" i="26" s="1"/>
  <c r="F318" i="26" s="1"/>
  <c r="M316" i="26"/>
  <c r="O316" i="26" s="1"/>
  <c r="L317" i="26" s="1"/>
  <c r="M317" i="26" l="1"/>
  <c r="O317" i="26"/>
  <c r="L318" i="26" s="1"/>
  <c r="G318" i="26"/>
  <c r="I318" i="26" s="1"/>
  <c r="F319" i="26" s="1"/>
  <c r="G319" i="26" l="1"/>
  <c r="I319" i="26"/>
  <c r="F320" i="26" s="1"/>
  <c r="M318" i="26"/>
  <c r="O318" i="26" s="1"/>
  <c r="L319" i="26" s="1"/>
  <c r="M319" i="26" l="1"/>
  <c r="O319" i="26" s="1"/>
  <c r="L320" i="26" s="1"/>
  <c r="G320" i="26"/>
  <c r="I320" i="26"/>
  <c r="F321" i="26" s="1"/>
  <c r="M320" i="26" l="1"/>
  <c r="O320" i="26" s="1"/>
  <c r="L321" i="26" s="1"/>
  <c r="G321" i="26"/>
  <c r="I321" i="26" s="1"/>
  <c r="M321" i="26" l="1"/>
  <c r="O321" i="26" s="1"/>
  <c r="G101" i="17" l="1"/>
  <c r="F90" i="17"/>
  <c r="F92" i="17"/>
  <c r="F89" i="17"/>
  <c r="J54" i="17"/>
  <c r="J52" i="17"/>
  <c r="C14" i="17"/>
  <c r="C23" i="12"/>
  <c r="E41" i="15"/>
  <c r="B38" i="15"/>
  <c r="B37" i="15"/>
  <c r="B36" i="15"/>
  <c r="G36" i="15" s="1"/>
  <c r="N34" i="15"/>
  <c r="N30" i="15"/>
  <c r="G29" i="15"/>
  <c r="G34" i="15" s="1"/>
  <c r="G25" i="15"/>
  <c r="G24" i="15"/>
  <c r="I24" i="15" s="1"/>
  <c r="M21" i="15"/>
  <c r="M19" i="15"/>
  <c r="G19" i="15"/>
  <c r="M17" i="15"/>
  <c r="M15" i="15"/>
  <c r="G14" i="15"/>
  <c r="G17" i="15" s="1"/>
  <c r="G21" i="15" s="1"/>
  <c r="R30" i="14"/>
  <c r="R28" i="14"/>
  <c r="M28" i="14"/>
  <c r="H28" i="14"/>
  <c r="R23" i="14"/>
  <c r="M23" i="14"/>
  <c r="H23" i="14"/>
  <c r="Q21" i="14"/>
  <c r="L21" i="14"/>
  <c r="H21" i="14"/>
  <c r="G21" i="14"/>
  <c r="Q20" i="14"/>
  <c r="L20" i="14"/>
  <c r="M30" i="14" s="1"/>
  <c r="G20" i="14"/>
  <c r="H30" i="14" s="1"/>
  <c r="F8" i="14"/>
  <c r="F7" i="14"/>
  <c r="G55" i="10"/>
  <c r="G53" i="10"/>
  <c r="N51" i="10"/>
  <c r="N52" i="10" s="1"/>
  <c r="J49" i="10" a="1"/>
  <c r="J49" i="10" s="1"/>
  <c r="K51" i="10" s="1" a="1"/>
  <c r="K51" i="10" s="1"/>
  <c r="K52" i="10" s="1"/>
  <c r="K53" i="10" s="1"/>
  <c r="D48" i="10"/>
  <c r="H35" i="10"/>
  <c r="H33" i="10"/>
  <c r="E28" i="10"/>
  <c r="F15" i="10"/>
  <c r="M11" i="10"/>
  <c r="M12" i="10" s="1"/>
  <c r="I9" i="10" a="1"/>
  <c r="I9" i="10" s="1"/>
  <c r="J11" i="10" s="1" a="1"/>
  <c r="J11" i="10" s="1"/>
  <c r="J12" i="10" s="1"/>
  <c r="J13" i="10" s="1"/>
  <c r="C7" i="10"/>
  <c r="F13" i="10" s="1"/>
  <c r="C10" i="12" a="1"/>
  <c r="C10" i="12" s="1"/>
  <c r="C15" i="12" s="1" a="1"/>
  <c r="C15" i="12" s="1"/>
  <c r="H8" i="12"/>
  <c r="H7" i="12"/>
  <c r="H6" i="12"/>
  <c r="H5" i="12"/>
  <c r="C12" i="12" s="1"/>
  <c r="C13" i="12" s="1"/>
  <c r="G7" i="12" a="1"/>
  <c r="G7" i="12" s="1"/>
  <c r="F6" i="12" a="1"/>
  <c r="F6" i="12" s="1"/>
  <c r="E5" i="12" a="1"/>
  <c r="E5" i="12" s="1"/>
  <c r="B9" i="12"/>
  <c r="G8" i="12"/>
  <c r="F7" i="12"/>
  <c r="E6" i="12"/>
  <c r="C19" i="12" l="1"/>
  <c r="C24" i="12" s="1"/>
  <c r="C25" i="12" s="1"/>
  <c r="C26" i="12" s="1"/>
  <c r="C27" i="12" s="1"/>
  <c r="C17" i="12"/>
  <c r="C20" i="12" s="1"/>
  <c r="G37" i="15"/>
  <c r="I36" i="15" s="1"/>
  <c r="G30" i="15"/>
  <c r="R32" i="14"/>
  <c r="C8" i="10"/>
  <c r="G99" i="17" l="1"/>
  <c r="J4" i="13" l="1"/>
  <c r="K4" i="13"/>
  <c r="L4" i="13"/>
  <c r="M4" i="13"/>
  <c r="N4" i="13"/>
  <c r="O4" i="13"/>
  <c r="P4" i="13"/>
  <c r="Q4" i="13"/>
  <c r="J5" i="13"/>
  <c r="K5" i="13"/>
  <c r="L5" i="13"/>
  <c r="M5" i="13"/>
  <c r="N5" i="13"/>
  <c r="O5" i="13"/>
  <c r="P5" i="13"/>
  <c r="Q5" i="13"/>
  <c r="J6" i="13"/>
  <c r="K6" i="13"/>
  <c r="L6" i="13"/>
  <c r="M6" i="13"/>
  <c r="N6" i="13"/>
  <c r="O6" i="13"/>
  <c r="P6" i="13"/>
  <c r="Q6" i="13"/>
  <c r="J7" i="13"/>
  <c r="K7" i="13"/>
  <c r="L7" i="13"/>
  <c r="M7" i="13"/>
  <c r="N7" i="13"/>
  <c r="O7" i="13"/>
  <c r="P7" i="13"/>
  <c r="Q7" i="13"/>
  <c r="J8" i="13"/>
  <c r="K8" i="13"/>
  <c r="L8" i="13"/>
  <c r="M8" i="13"/>
  <c r="N8" i="13"/>
  <c r="O8" i="13"/>
  <c r="P8" i="13"/>
  <c r="Q8" i="13"/>
  <c r="J9" i="13"/>
  <c r="K9" i="13"/>
  <c r="L9" i="13"/>
  <c r="M9" i="13"/>
  <c r="N9" i="13"/>
  <c r="O9" i="13"/>
  <c r="P9" i="13"/>
  <c r="Q9" i="13"/>
  <c r="J10" i="13"/>
  <c r="K10" i="13"/>
  <c r="L10" i="13"/>
  <c r="M10" i="13"/>
  <c r="N10" i="13"/>
  <c r="O10" i="13"/>
  <c r="P10" i="13"/>
  <c r="Q10" i="13"/>
  <c r="J11" i="13"/>
  <c r="K11" i="13"/>
  <c r="L11" i="13"/>
  <c r="M11" i="13"/>
  <c r="N11" i="13"/>
  <c r="O11" i="13"/>
  <c r="P11" i="13"/>
  <c r="Q11" i="13"/>
  <c r="J12" i="13"/>
  <c r="K12" i="13"/>
  <c r="L12" i="13"/>
  <c r="M12" i="13"/>
  <c r="N12" i="13"/>
  <c r="O12" i="13"/>
  <c r="P12" i="13"/>
  <c r="Q12" i="13"/>
  <c r="J13" i="13"/>
  <c r="K13" i="13"/>
  <c r="L13" i="13"/>
  <c r="M13" i="13"/>
  <c r="N13" i="13"/>
  <c r="O13" i="13"/>
  <c r="P13" i="13"/>
  <c r="Q13" i="13"/>
  <c r="J14" i="13"/>
  <c r="K14" i="13"/>
  <c r="L14" i="13"/>
  <c r="M14" i="13"/>
  <c r="N14" i="13"/>
  <c r="O14" i="13"/>
  <c r="P14" i="13"/>
  <c r="Q14" i="13"/>
  <c r="J15" i="13"/>
  <c r="K15" i="13"/>
  <c r="L15" i="13"/>
  <c r="M15" i="13"/>
  <c r="N15" i="13"/>
  <c r="O15" i="13"/>
  <c r="P15" i="13"/>
  <c r="Q15" i="13"/>
  <c r="J16" i="13"/>
  <c r="K16" i="13"/>
  <c r="L16" i="13"/>
  <c r="M16" i="13"/>
  <c r="N16" i="13"/>
  <c r="O16" i="13"/>
  <c r="P16" i="13"/>
  <c r="Q16" i="13"/>
  <c r="J17" i="13"/>
  <c r="K17" i="13"/>
  <c r="L17" i="13"/>
  <c r="M17" i="13"/>
  <c r="N17" i="13"/>
  <c r="O17" i="13"/>
  <c r="P17" i="13"/>
  <c r="Q17" i="13"/>
  <c r="J18" i="13"/>
  <c r="K18" i="13"/>
  <c r="L18" i="13"/>
  <c r="M18" i="13"/>
  <c r="N18" i="13"/>
  <c r="O18" i="13"/>
  <c r="P18" i="13"/>
  <c r="Q18" i="13"/>
  <c r="J19" i="13"/>
  <c r="K19" i="13"/>
  <c r="L19" i="13"/>
  <c r="M19" i="13"/>
  <c r="N19" i="13"/>
  <c r="O19" i="13"/>
  <c r="P19" i="13"/>
  <c r="Q19" i="13"/>
  <c r="J20" i="13"/>
  <c r="K20" i="13"/>
  <c r="L20" i="13"/>
  <c r="M20" i="13"/>
  <c r="N20" i="13"/>
  <c r="O20" i="13"/>
  <c r="P20" i="13"/>
  <c r="Q20" i="13"/>
  <c r="J21" i="13"/>
  <c r="K21" i="13"/>
  <c r="L21" i="13"/>
  <c r="M21" i="13"/>
  <c r="N21" i="13"/>
  <c r="O21" i="13"/>
  <c r="P21" i="13"/>
  <c r="Q21" i="13"/>
  <c r="J22" i="13"/>
  <c r="K22" i="13"/>
  <c r="L22" i="13"/>
  <c r="M22" i="13"/>
  <c r="N22" i="13"/>
  <c r="O22" i="13"/>
  <c r="P22" i="13"/>
  <c r="Q22" i="13"/>
  <c r="J23" i="13"/>
  <c r="K23" i="13"/>
  <c r="L23" i="13"/>
  <c r="M23" i="13"/>
  <c r="N23" i="13"/>
  <c r="O23" i="13"/>
  <c r="P23" i="13"/>
  <c r="Q23" i="13"/>
  <c r="J24" i="13"/>
  <c r="K24" i="13"/>
  <c r="L24" i="13"/>
  <c r="M24" i="13"/>
  <c r="N24" i="13"/>
  <c r="O24" i="13"/>
  <c r="P24" i="13"/>
  <c r="Q24" i="13"/>
  <c r="J25" i="13"/>
  <c r="K25" i="13"/>
  <c r="L25" i="13"/>
  <c r="M25" i="13"/>
  <c r="N25" i="13"/>
  <c r="O25" i="13"/>
  <c r="P25" i="13"/>
  <c r="Q25" i="13"/>
  <c r="J26" i="13"/>
  <c r="K26" i="13"/>
  <c r="L26" i="13"/>
  <c r="M26" i="13"/>
  <c r="N26" i="13"/>
  <c r="O26" i="13"/>
  <c r="P26" i="13"/>
  <c r="Q26" i="13"/>
  <c r="J27" i="13"/>
  <c r="K27" i="13"/>
  <c r="L27" i="13"/>
  <c r="M27" i="13"/>
  <c r="N27" i="13"/>
  <c r="O27" i="13"/>
  <c r="P27" i="13"/>
  <c r="Q27" i="13"/>
  <c r="J28" i="13"/>
  <c r="K28" i="13"/>
  <c r="L28" i="13"/>
  <c r="M28" i="13"/>
  <c r="N28" i="13"/>
  <c r="O28" i="13"/>
  <c r="P28" i="13"/>
  <c r="Q28" i="13"/>
  <c r="J29" i="13"/>
  <c r="K29" i="13"/>
  <c r="L29" i="13"/>
  <c r="M29" i="13"/>
  <c r="N29" i="13"/>
  <c r="O29" i="13"/>
  <c r="P29" i="13"/>
  <c r="Q29" i="13"/>
  <c r="J30" i="13"/>
  <c r="K30" i="13"/>
  <c r="L30" i="13"/>
  <c r="M30" i="13"/>
  <c r="N30" i="13"/>
  <c r="O30" i="13"/>
  <c r="P30" i="13"/>
  <c r="Q30" i="13"/>
  <c r="J31" i="13"/>
  <c r="K31" i="13"/>
  <c r="L31" i="13"/>
  <c r="M31" i="13"/>
  <c r="N31" i="13"/>
  <c r="O31" i="13"/>
  <c r="P31" i="13"/>
  <c r="Q31" i="13"/>
  <c r="J32" i="13"/>
  <c r="K32" i="13"/>
  <c r="L32" i="13"/>
  <c r="M32" i="13"/>
  <c r="N32" i="13"/>
  <c r="O32" i="13"/>
  <c r="P32" i="13"/>
  <c r="Q32" i="13"/>
  <c r="J33" i="13"/>
  <c r="K33" i="13"/>
  <c r="L33" i="13"/>
  <c r="M33" i="13"/>
  <c r="N33" i="13"/>
  <c r="O33" i="13"/>
  <c r="P33" i="13"/>
  <c r="Q33" i="13"/>
  <c r="J34" i="13"/>
  <c r="K34" i="13"/>
  <c r="L34" i="13"/>
  <c r="M34" i="13"/>
  <c r="N34" i="13"/>
  <c r="O34" i="13"/>
  <c r="P34" i="13"/>
  <c r="Q34" i="13"/>
  <c r="J35" i="13"/>
  <c r="K35" i="13"/>
  <c r="L35" i="13"/>
  <c r="M35" i="13"/>
  <c r="N35" i="13"/>
  <c r="O35" i="13"/>
  <c r="P35" i="13"/>
  <c r="Q35" i="13"/>
  <c r="J36" i="13"/>
  <c r="K36" i="13"/>
  <c r="L36" i="13"/>
  <c r="M36" i="13"/>
  <c r="N36" i="13"/>
  <c r="O36" i="13"/>
  <c r="P36" i="13"/>
  <c r="Q36" i="13"/>
  <c r="J37" i="13"/>
  <c r="K37" i="13"/>
  <c r="L37" i="13"/>
  <c r="M37" i="13"/>
  <c r="N37" i="13"/>
  <c r="O37" i="13"/>
  <c r="P37" i="13"/>
  <c r="Q37" i="13"/>
  <c r="J38" i="13"/>
  <c r="K38" i="13"/>
  <c r="L38" i="13"/>
  <c r="M38" i="13"/>
  <c r="N38" i="13"/>
  <c r="O38" i="13"/>
  <c r="P38" i="13"/>
  <c r="Q38" i="13"/>
  <c r="J39" i="13"/>
  <c r="K39" i="13"/>
  <c r="L39" i="13"/>
  <c r="M39" i="13"/>
  <c r="N39" i="13"/>
  <c r="O39" i="13"/>
  <c r="P39" i="13"/>
  <c r="Q39" i="13"/>
  <c r="J40" i="13"/>
  <c r="K40" i="13"/>
  <c r="L40" i="13"/>
  <c r="M40" i="13"/>
  <c r="N40" i="13"/>
  <c r="O40" i="13"/>
  <c r="P40" i="13"/>
  <c r="Q40" i="13"/>
  <c r="J41" i="13"/>
  <c r="K41" i="13"/>
  <c r="L41" i="13"/>
  <c r="M41" i="13"/>
  <c r="N41" i="13"/>
  <c r="O41" i="13"/>
  <c r="P41" i="13"/>
  <c r="Q41" i="13"/>
  <c r="J42" i="13"/>
  <c r="K42" i="13"/>
  <c r="L42" i="13"/>
  <c r="M42" i="13"/>
  <c r="N42" i="13"/>
  <c r="O42" i="13"/>
  <c r="P42" i="13"/>
  <c r="Q42" i="13"/>
  <c r="J43" i="13"/>
  <c r="K43" i="13"/>
  <c r="L43" i="13"/>
  <c r="M43" i="13"/>
  <c r="N43" i="13"/>
  <c r="O43" i="13"/>
  <c r="P43" i="13"/>
  <c r="Q43" i="13"/>
  <c r="J44" i="13"/>
  <c r="K44" i="13"/>
  <c r="L44" i="13"/>
  <c r="M44" i="13"/>
  <c r="N44" i="13"/>
  <c r="O44" i="13"/>
  <c r="P44" i="13"/>
  <c r="Q44" i="13"/>
  <c r="J45" i="13"/>
  <c r="K45" i="13"/>
  <c r="L45" i="13"/>
  <c r="M45" i="13"/>
  <c r="N45" i="13"/>
  <c r="O45" i="13"/>
  <c r="P45" i="13"/>
  <c r="Q45" i="13"/>
  <c r="J46" i="13"/>
  <c r="K46" i="13"/>
  <c r="L46" i="13"/>
  <c r="M46" i="13"/>
  <c r="N46" i="13"/>
  <c r="O46" i="13"/>
  <c r="P46" i="13"/>
  <c r="Q46" i="13"/>
  <c r="J47" i="13"/>
  <c r="K47" i="13"/>
  <c r="L47" i="13"/>
  <c r="M47" i="13"/>
  <c r="N47" i="13"/>
  <c r="O47" i="13"/>
  <c r="P47" i="13"/>
  <c r="Q47" i="13"/>
  <c r="J48" i="13"/>
  <c r="K48" i="13"/>
  <c r="L48" i="13"/>
  <c r="M48" i="13"/>
  <c r="N48" i="13"/>
  <c r="O48" i="13"/>
  <c r="P48" i="13"/>
  <c r="Q48" i="13"/>
  <c r="J49" i="13"/>
  <c r="K49" i="13"/>
  <c r="L49" i="13"/>
  <c r="M49" i="13"/>
  <c r="N49" i="13"/>
  <c r="O49" i="13"/>
  <c r="P49" i="13"/>
  <c r="Q49" i="13"/>
  <c r="J50" i="13"/>
  <c r="K50" i="13"/>
  <c r="L50" i="13"/>
  <c r="M50" i="13"/>
  <c r="N50" i="13"/>
  <c r="O50" i="13"/>
  <c r="P50" i="13"/>
  <c r="Q50" i="13"/>
  <c r="J51" i="13"/>
  <c r="K51" i="13"/>
  <c r="L51" i="13"/>
  <c r="M51" i="13"/>
  <c r="N51" i="13"/>
  <c r="O51" i="13"/>
  <c r="P51" i="13"/>
  <c r="Q51" i="13"/>
  <c r="J52" i="13"/>
  <c r="K52" i="13"/>
  <c r="L52" i="13"/>
  <c r="M52" i="13"/>
  <c r="N52" i="13"/>
  <c r="O52" i="13"/>
  <c r="P52" i="13"/>
  <c r="Q52" i="13"/>
  <c r="J53" i="13"/>
  <c r="K53" i="13"/>
  <c r="L53" i="13"/>
  <c r="M53" i="13"/>
  <c r="N53" i="13"/>
  <c r="O53" i="13"/>
  <c r="P53" i="13"/>
  <c r="Q53" i="13"/>
  <c r="J54" i="13"/>
  <c r="K54" i="13"/>
  <c r="L54" i="13"/>
  <c r="M54" i="13"/>
  <c r="N54" i="13"/>
  <c r="O54" i="13"/>
  <c r="P54" i="13"/>
  <c r="Q54" i="13"/>
  <c r="J55" i="13"/>
  <c r="K55" i="13"/>
  <c r="L55" i="13"/>
  <c r="M55" i="13"/>
  <c r="N55" i="13"/>
  <c r="O55" i="13"/>
  <c r="P55" i="13"/>
  <c r="Q55" i="13"/>
  <c r="J56" i="13"/>
  <c r="K56" i="13"/>
  <c r="L56" i="13"/>
  <c r="M56" i="13"/>
  <c r="N56" i="13"/>
  <c r="O56" i="13"/>
  <c r="P56" i="13"/>
  <c r="Q56" i="13"/>
  <c r="J57" i="13"/>
  <c r="K57" i="13"/>
  <c r="L57" i="13"/>
  <c r="M57" i="13"/>
  <c r="N57" i="13"/>
  <c r="O57" i="13"/>
  <c r="P57" i="13"/>
  <c r="Q57" i="13"/>
  <c r="J58" i="13"/>
  <c r="K58" i="13"/>
  <c r="L58" i="13"/>
  <c r="M58" i="13"/>
  <c r="N58" i="13"/>
  <c r="O58" i="13"/>
  <c r="P58" i="13"/>
  <c r="Q58" i="13"/>
  <c r="J59" i="13"/>
  <c r="K59" i="13"/>
  <c r="L59" i="13"/>
  <c r="M59" i="13"/>
  <c r="N59" i="13"/>
  <c r="O59" i="13"/>
  <c r="P59" i="13"/>
  <c r="Q59" i="13"/>
  <c r="J60" i="13"/>
  <c r="K60" i="13"/>
  <c r="L60" i="13"/>
  <c r="M60" i="13"/>
  <c r="N60" i="13"/>
  <c r="O60" i="13"/>
  <c r="P60" i="13"/>
  <c r="Q60" i="13"/>
  <c r="J61" i="13"/>
  <c r="K61" i="13"/>
  <c r="L61" i="13"/>
  <c r="M61" i="13"/>
  <c r="N61" i="13"/>
  <c r="O61" i="13"/>
  <c r="P61" i="13"/>
  <c r="Q61" i="13"/>
  <c r="J62" i="13"/>
  <c r="K62" i="13"/>
  <c r="L62" i="13"/>
  <c r="M62" i="13"/>
  <c r="N62" i="13"/>
  <c r="O62" i="13"/>
  <c r="P62" i="13"/>
  <c r="Q62" i="13"/>
  <c r="J63" i="13"/>
  <c r="K63" i="13"/>
  <c r="L63" i="13"/>
  <c r="M63" i="13"/>
  <c r="N63" i="13"/>
  <c r="O63" i="13"/>
  <c r="P63" i="13"/>
  <c r="Q63" i="13"/>
  <c r="J64" i="13"/>
  <c r="K64" i="13"/>
  <c r="L64" i="13"/>
  <c r="M64" i="13"/>
  <c r="N64" i="13"/>
  <c r="O64" i="13"/>
  <c r="P64" i="13"/>
  <c r="Q64" i="13"/>
  <c r="J65" i="13"/>
  <c r="K65" i="13"/>
  <c r="L65" i="13"/>
  <c r="M65" i="13"/>
  <c r="N65" i="13"/>
  <c r="O65" i="13"/>
  <c r="P65" i="13"/>
  <c r="Q65" i="13"/>
  <c r="J66" i="13"/>
  <c r="K66" i="13"/>
  <c r="L66" i="13"/>
  <c r="M66" i="13"/>
  <c r="N66" i="13"/>
  <c r="O66" i="13"/>
  <c r="P66" i="13"/>
  <c r="Q66" i="13"/>
  <c r="J67" i="13"/>
  <c r="K67" i="13"/>
  <c r="L67" i="13"/>
  <c r="M67" i="13"/>
  <c r="N67" i="13"/>
  <c r="O67" i="13"/>
  <c r="P67" i="13"/>
  <c r="Q67" i="13"/>
  <c r="J68" i="13"/>
  <c r="K68" i="13"/>
  <c r="L68" i="13"/>
  <c r="M68" i="13"/>
  <c r="N68" i="13"/>
  <c r="O68" i="13"/>
  <c r="P68" i="13"/>
  <c r="Q68" i="13"/>
  <c r="J69" i="13"/>
  <c r="K69" i="13"/>
  <c r="L69" i="13"/>
  <c r="M69" i="13"/>
  <c r="N69" i="13"/>
  <c r="O69" i="13"/>
  <c r="P69" i="13"/>
  <c r="Q69" i="13"/>
  <c r="J70" i="13"/>
  <c r="K70" i="13"/>
  <c r="L70" i="13"/>
  <c r="M70" i="13"/>
  <c r="N70" i="13"/>
  <c r="O70" i="13"/>
  <c r="P70" i="13"/>
  <c r="Q70" i="13"/>
  <c r="J71" i="13"/>
  <c r="K71" i="13"/>
  <c r="L71" i="13"/>
  <c r="M71" i="13"/>
  <c r="N71" i="13"/>
  <c r="O71" i="13"/>
  <c r="P71" i="13"/>
  <c r="Q71" i="13"/>
  <c r="J72" i="13"/>
  <c r="K72" i="13"/>
  <c r="L72" i="13"/>
  <c r="M72" i="13"/>
  <c r="N72" i="13"/>
  <c r="O72" i="13"/>
  <c r="P72" i="13"/>
  <c r="Q72" i="13"/>
  <c r="J73" i="13"/>
  <c r="K73" i="13"/>
  <c r="L73" i="13"/>
  <c r="M73" i="13"/>
  <c r="N73" i="13"/>
  <c r="O73" i="13"/>
  <c r="P73" i="13"/>
  <c r="Q73" i="13"/>
  <c r="J74" i="13"/>
  <c r="K74" i="13"/>
  <c r="L74" i="13"/>
  <c r="M74" i="13"/>
  <c r="N74" i="13"/>
  <c r="O74" i="13"/>
  <c r="P74" i="13"/>
  <c r="Q74" i="13"/>
  <c r="J75" i="13"/>
  <c r="K75" i="13"/>
  <c r="L75" i="13"/>
  <c r="M75" i="13"/>
  <c r="N75" i="13"/>
  <c r="O75" i="13"/>
  <c r="P75" i="13"/>
  <c r="Q75" i="13"/>
  <c r="J76" i="13"/>
  <c r="K76" i="13"/>
  <c r="L76" i="13"/>
  <c r="M76" i="13"/>
  <c r="N76" i="13"/>
  <c r="O76" i="13"/>
  <c r="P76" i="13"/>
  <c r="Q76" i="13"/>
  <c r="J77" i="13"/>
  <c r="K77" i="13"/>
  <c r="L77" i="13"/>
  <c r="M77" i="13"/>
  <c r="N77" i="13"/>
  <c r="O77" i="13"/>
  <c r="P77" i="13"/>
  <c r="Q77" i="13"/>
  <c r="J78" i="13"/>
  <c r="K78" i="13"/>
  <c r="L78" i="13"/>
  <c r="M78" i="13"/>
  <c r="N78" i="13"/>
  <c r="O78" i="13"/>
  <c r="P78" i="13"/>
  <c r="Q78" i="13"/>
  <c r="J79" i="13"/>
  <c r="K79" i="13"/>
  <c r="L79" i="13"/>
  <c r="M79" i="13"/>
  <c r="N79" i="13"/>
  <c r="O79" i="13"/>
  <c r="P79" i="13"/>
  <c r="Q79" i="13"/>
  <c r="J80" i="13"/>
  <c r="K80" i="13"/>
  <c r="L80" i="13"/>
  <c r="M80" i="13"/>
  <c r="N80" i="13"/>
  <c r="O80" i="13"/>
  <c r="P80" i="13"/>
  <c r="Q80" i="13"/>
  <c r="J81" i="13"/>
  <c r="K81" i="13"/>
  <c r="L81" i="13"/>
  <c r="M81" i="13"/>
  <c r="N81" i="13"/>
  <c r="O81" i="13"/>
  <c r="P81" i="13"/>
  <c r="Q81" i="13"/>
  <c r="J82" i="13"/>
  <c r="K82" i="13"/>
  <c r="L82" i="13"/>
  <c r="M82" i="13"/>
  <c r="N82" i="13"/>
  <c r="O82" i="13"/>
  <c r="P82" i="13"/>
  <c r="Q82" i="13"/>
  <c r="J83" i="13"/>
  <c r="K83" i="13"/>
  <c r="L83" i="13"/>
  <c r="M83" i="13"/>
  <c r="N83" i="13"/>
  <c r="O83" i="13"/>
  <c r="P83" i="13"/>
  <c r="Q83" i="13"/>
  <c r="J84" i="13"/>
  <c r="K84" i="13"/>
  <c r="L84" i="13"/>
  <c r="M84" i="13"/>
  <c r="N84" i="13"/>
  <c r="O84" i="13"/>
  <c r="P84" i="13"/>
  <c r="Q84" i="13"/>
  <c r="J85" i="13"/>
  <c r="K85" i="13"/>
  <c r="L85" i="13"/>
  <c r="M85" i="13"/>
  <c r="N85" i="13"/>
  <c r="O85" i="13"/>
  <c r="P85" i="13"/>
  <c r="Q85" i="13"/>
  <c r="J86" i="13"/>
  <c r="K86" i="13"/>
  <c r="L86" i="13"/>
  <c r="M86" i="13"/>
  <c r="N86" i="13"/>
  <c r="O86" i="13"/>
  <c r="P86" i="13"/>
  <c r="Q86" i="13"/>
  <c r="J87" i="13"/>
  <c r="K87" i="13"/>
  <c r="L87" i="13"/>
  <c r="M87" i="13"/>
  <c r="N87" i="13"/>
  <c r="O87" i="13"/>
  <c r="P87" i="13"/>
  <c r="Q87" i="13"/>
  <c r="J88" i="13"/>
  <c r="K88" i="13"/>
  <c r="L88" i="13"/>
  <c r="M88" i="13"/>
  <c r="N88" i="13"/>
  <c r="O88" i="13"/>
  <c r="P88" i="13"/>
  <c r="Q88" i="13"/>
  <c r="J89" i="13"/>
  <c r="K89" i="13"/>
  <c r="L89" i="13"/>
  <c r="M89" i="13"/>
  <c r="N89" i="13"/>
  <c r="O89" i="13"/>
  <c r="P89" i="13"/>
  <c r="Q89" i="13"/>
  <c r="J90" i="13"/>
  <c r="K90" i="13"/>
  <c r="L90" i="13"/>
  <c r="M90" i="13"/>
  <c r="N90" i="13"/>
  <c r="O90" i="13"/>
  <c r="P90" i="13"/>
  <c r="Q90" i="13"/>
  <c r="J91" i="13"/>
  <c r="K91" i="13"/>
  <c r="L91" i="13"/>
  <c r="M91" i="13"/>
  <c r="N91" i="13"/>
  <c r="O91" i="13"/>
  <c r="P91" i="13"/>
  <c r="Q91" i="13"/>
  <c r="J92" i="13"/>
  <c r="K92" i="13"/>
  <c r="L92" i="13"/>
  <c r="M92" i="13"/>
  <c r="N92" i="13"/>
  <c r="O92" i="13"/>
  <c r="P92" i="13"/>
  <c r="Q92" i="13"/>
  <c r="J93" i="13"/>
  <c r="K93" i="13"/>
  <c r="L93" i="13"/>
  <c r="M93" i="13"/>
  <c r="N93" i="13"/>
  <c r="O93" i="13"/>
  <c r="P93" i="13"/>
  <c r="Q93" i="13"/>
  <c r="J94" i="13"/>
  <c r="K94" i="13"/>
  <c r="L94" i="13"/>
  <c r="M94" i="13"/>
  <c r="N94" i="13"/>
  <c r="O94" i="13"/>
  <c r="P94" i="13"/>
  <c r="Q94" i="13"/>
  <c r="J95" i="13"/>
  <c r="K95" i="13"/>
  <c r="L95" i="13"/>
  <c r="M95" i="13"/>
  <c r="N95" i="13"/>
  <c r="O95" i="13"/>
  <c r="P95" i="13"/>
  <c r="Q95" i="13"/>
  <c r="J96" i="13"/>
  <c r="K96" i="13"/>
  <c r="L96" i="13"/>
  <c r="M96" i="13"/>
  <c r="N96" i="13"/>
  <c r="O96" i="13"/>
  <c r="P96" i="13"/>
  <c r="Q96" i="13"/>
  <c r="J97" i="13"/>
  <c r="K97" i="13"/>
  <c r="L97" i="13"/>
  <c r="M97" i="13"/>
  <c r="N97" i="13"/>
  <c r="O97" i="13"/>
  <c r="P97" i="13"/>
  <c r="Q97" i="13"/>
  <c r="J98" i="13"/>
  <c r="K98" i="13"/>
  <c r="L98" i="13"/>
  <c r="M98" i="13"/>
  <c r="N98" i="13"/>
  <c r="O98" i="13"/>
  <c r="P98" i="13"/>
  <c r="Q98" i="13"/>
  <c r="J99" i="13"/>
  <c r="K99" i="13"/>
  <c r="L99" i="13"/>
  <c r="M99" i="13"/>
  <c r="N99" i="13"/>
  <c r="O99" i="13"/>
  <c r="P99" i="13"/>
  <c r="Q99" i="13"/>
  <c r="J100" i="13"/>
  <c r="K100" i="13"/>
  <c r="L100" i="13"/>
  <c r="M100" i="13"/>
  <c r="N100" i="13"/>
  <c r="O100" i="13"/>
  <c r="P100" i="13"/>
  <c r="Q100" i="13"/>
  <c r="J101" i="13"/>
  <c r="K101" i="13"/>
  <c r="L101" i="13"/>
  <c r="M101" i="13"/>
  <c r="N101" i="13"/>
  <c r="O101" i="13"/>
  <c r="P101" i="13"/>
  <c r="Q101" i="13"/>
  <c r="J102" i="13"/>
  <c r="K102" i="13"/>
  <c r="L102" i="13"/>
  <c r="M102" i="13"/>
  <c r="N102" i="13"/>
  <c r="O102" i="13"/>
  <c r="P102" i="13"/>
  <c r="Q102" i="13"/>
  <c r="J103" i="13"/>
  <c r="K103" i="13"/>
  <c r="L103" i="13"/>
  <c r="M103" i="13"/>
  <c r="N103" i="13"/>
  <c r="O103" i="13"/>
  <c r="P103" i="13"/>
  <c r="Q103" i="13"/>
  <c r="J104" i="13"/>
  <c r="K104" i="13"/>
  <c r="L104" i="13"/>
  <c r="M104" i="13"/>
  <c r="N104" i="13"/>
  <c r="O104" i="13"/>
  <c r="P104" i="13"/>
  <c r="Q104" i="13"/>
  <c r="J105" i="13"/>
  <c r="K105" i="13"/>
  <c r="L105" i="13"/>
  <c r="M105" i="13"/>
  <c r="N105" i="13"/>
  <c r="O105" i="13"/>
  <c r="P105" i="13"/>
  <c r="Q105" i="13"/>
  <c r="J106" i="13"/>
  <c r="K106" i="13"/>
  <c r="L106" i="13"/>
  <c r="M106" i="13"/>
  <c r="N106" i="13"/>
  <c r="O106" i="13"/>
  <c r="P106" i="13"/>
  <c r="Q106" i="13"/>
  <c r="J107" i="13"/>
  <c r="K107" i="13"/>
  <c r="L107" i="13"/>
  <c r="M107" i="13"/>
  <c r="N107" i="13"/>
  <c r="O107" i="13"/>
  <c r="P107" i="13"/>
  <c r="Q107" i="13"/>
  <c r="J108" i="13"/>
  <c r="K108" i="13"/>
  <c r="L108" i="13"/>
  <c r="M108" i="13"/>
  <c r="N108" i="13"/>
  <c r="O108" i="13"/>
  <c r="P108" i="13"/>
  <c r="Q108" i="13"/>
  <c r="J109" i="13"/>
  <c r="K109" i="13"/>
  <c r="L109" i="13"/>
  <c r="M109" i="13"/>
  <c r="N109" i="13"/>
  <c r="O109" i="13"/>
  <c r="P109" i="13"/>
  <c r="Q109" i="13"/>
  <c r="J110" i="13"/>
  <c r="K110" i="13"/>
  <c r="L110" i="13"/>
  <c r="M110" i="13"/>
  <c r="N110" i="13"/>
  <c r="O110" i="13"/>
  <c r="P110" i="13"/>
  <c r="Q110" i="13"/>
  <c r="J111" i="13"/>
  <c r="K111" i="13"/>
  <c r="L111" i="13"/>
  <c r="M111" i="13"/>
  <c r="N111" i="13"/>
  <c r="O111" i="13"/>
  <c r="P111" i="13"/>
  <c r="Q111" i="13"/>
  <c r="J112" i="13"/>
  <c r="K112" i="13"/>
  <c r="L112" i="13"/>
  <c r="M112" i="13"/>
  <c r="N112" i="13"/>
  <c r="O112" i="13"/>
  <c r="P112" i="13"/>
  <c r="Q112" i="13"/>
  <c r="J113" i="13"/>
  <c r="K113" i="13"/>
  <c r="L113" i="13"/>
  <c r="M113" i="13"/>
  <c r="N113" i="13"/>
  <c r="O113" i="13"/>
  <c r="P113" i="13"/>
  <c r="Q113" i="13"/>
  <c r="J114" i="13"/>
  <c r="K114" i="13"/>
  <c r="L114" i="13"/>
  <c r="M114" i="13"/>
  <c r="N114" i="13"/>
  <c r="O114" i="13"/>
  <c r="P114" i="13"/>
  <c r="Q114" i="13"/>
  <c r="J115" i="13"/>
  <c r="K115" i="13"/>
  <c r="L115" i="13"/>
  <c r="M115" i="13"/>
  <c r="N115" i="13"/>
  <c r="O115" i="13"/>
  <c r="P115" i="13"/>
  <c r="Q115" i="13"/>
  <c r="J116" i="13"/>
  <c r="K116" i="13"/>
  <c r="L116" i="13"/>
  <c r="M116" i="13"/>
  <c r="N116" i="13"/>
  <c r="O116" i="13"/>
  <c r="P116" i="13"/>
  <c r="Q116" i="13"/>
  <c r="J117" i="13"/>
  <c r="K117" i="13"/>
  <c r="L117" i="13"/>
  <c r="M117" i="13"/>
  <c r="N117" i="13"/>
  <c r="O117" i="13"/>
  <c r="P117" i="13"/>
  <c r="Q117" i="13"/>
  <c r="J118" i="13"/>
  <c r="K118" i="13"/>
  <c r="L118" i="13"/>
  <c r="M118" i="13"/>
  <c r="N118" i="13"/>
  <c r="O118" i="13"/>
  <c r="P118" i="13"/>
  <c r="Q118" i="13"/>
  <c r="J119" i="13"/>
  <c r="K119" i="13"/>
  <c r="L119" i="13"/>
  <c r="M119" i="13"/>
  <c r="N119" i="13"/>
  <c r="O119" i="13"/>
  <c r="P119" i="13"/>
  <c r="Q119" i="13"/>
  <c r="J120" i="13"/>
  <c r="K120" i="13"/>
  <c r="L120" i="13"/>
  <c r="M120" i="13"/>
  <c r="N120" i="13"/>
  <c r="O120" i="13"/>
  <c r="P120" i="13"/>
  <c r="Q120" i="13"/>
  <c r="J121" i="13"/>
  <c r="K121" i="13"/>
  <c r="L121" i="13"/>
  <c r="M121" i="13"/>
  <c r="N121" i="13"/>
  <c r="O121" i="13"/>
  <c r="P121" i="13"/>
  <c r="Q121" i="13"/>
  <c r="J122" i="13"/>
  <c r="K122" i="13"/>
  <c r="L122" i="13"/>
  <c r="M122" i="13"/>
  <c r="N122" i="13"/>
  <c r="O122" i="13"/>
  <c r="P122" i="13"/>
  <c r="Q122" i="13"/>
  <c r="J123" i="13"/>
  <c r="K123" i="13"/>
  <c r="L123" i="13"/>
  <c r="M123" i="13"/>
  <c r="N123" i="13"/>
  <c r="O123" i="13"/>
  <c r="P123" i="13"/>
  <c r="Q123" i="13"/>
  <c r="J124" i="13"/>
  <c r="K124" i="13"/>
  <c r="L124" i="13"/>
  <c r="M124" i="13"/>
  <c r="N124" i="13"/>
  <c r="O124" i="13"/>
  <c r="P124" i="13"/>
  <c r="Q124" i="13"/>
  <c r="J125" i="13"/>
  <c r="K125" i="13"/>
  <c r="L125" i="13"/>
  <c r="M125" i="13"/>
  <c r="N125" i="13"/>
  <c r="O125" i="13"/>
  <c r="P125" i="13"/>
  <c r="Q125" i="13"/>
  <c r="J126" i="13"/>
  <c r="K126" i="13"/>
  <c r="L126" i="13"/>
  <c r="M126" i="13"/>
  <c r="N126" i="13"/>
  <c r="O126" i="13"/>
  <c r="P126" i="13"/>
  <c r="Q126" i="13"/>
  <c r="J127" i="13"/>
  <c r="K127" i="13"/>
  <c r="L127" i="13"/>
  <c r="M127" i="13"/>
  <c r="N127" i="13"/>
  <c r="O127" i="13"/>
  <c r="P127" i="13"/>
  <c r="Q127" i="13"/>
  <c r="J128" i="13"/>
  <c r="K128" i="13"/>
  <c r="L128" i="13"/>
  <c r="M128" i="13"/>
  <c r="N128" i="13"/>
  <c r="O128" i="13"/>
  <c r="P128" i="13"/>
  <c r="Q128" i="13"/>
  <c r="J129" i="13"/>
  <c r="K129" i="13"/>
  <c r="L129" i="13"/>
  <c r="M129" i="13"/>
  <c r="N129" i="13"/>
  <c r="O129" i="13"/>
  <c r="P129" i="13"/>
  <c r="Q129" i="13"/>
  <c r="J130" i="13"/>
  <c r="K130" i="13"/>
  <c r="L130" i="13"/>
  <c r="M130" i="13"/>
  <c r="N130" i="13"/>
  <c r="O130" i="13"/>
  <c r="P130" i="13"/>
  <c r="Q130" i="13"/>
  <c r="J131" i="13"/>
  <c r="K131" i="13"/>
  <c r="L131" i="13"/>
  <c r="M131" i="13"/>
  <c r="N131" i="13"/>
  <c r="O131" i="13"/>
  <c r="P131" i="13"/>
  <c r="Q131" i="13"/>
  <c r="J132" i="13"/>
  <c r="K132" i="13"/>
  <c r="L132" i="13"/>
  <c r="M132" i="13"/>
  <c r="N132" i="13"/>
  <c r="O132" i="13"/>
  <c r="P132" i="13"/>
  <c r="Q132" i="13"/>
  <c r="J133" i="13"/>
  <c r="K133" i="13"/>
  <c r="L133" i="13"/>
  <c r="M133" i="13"/>
  <c r="N133" i="13"/>
  <c r="O133" i="13"/>
  <c r="P133" i="13"/>
  <c r="Q133" i="13"/>
  <c r="J134" i="13"/>
  <c r="K134" i="13"/>
  <c r="L134" i="13"/>
  <c r="M134" i="13"/>
  <c r="N134" i="13"/>
  <c r="O134" i="13"/>
  <c r="P134" i="13"/>
  <c r="Q134" i="13"/>
  <c r="J135" i="13"/>
  <c r="K135" i="13"/>
  <c r="L135" i="13"/>
  <c r="M135" i="13"/>
  <c r="N135" i="13"/>
  <c r="O135" i="13"/>
  <c r="P135" i="13"/>
  <c r="Q135" i="13"/>
  <c r="J136" i="13"/>
  <c r="K136" i="13"/>
  <c r="L136" i="13"/>
  <c r="M136" i="13"/>
  <c r="N136" i="13"/>
  <c r="O136" i="13"/>
  <c r="P136" i="13"/>
  <c r="Q136" i="13"/>
  <c r="J137" i="13"/>
  <c r="K137" i="13"/>
  <c r="L137" i="13"/>
  <c r="M137" i="13"/>
  <c r="N137" i="13"/>
  <c r="O137" i="13"/>
  <c r="P137" i="13"/>
  <c r="Q137" i="13"/>
  <c r="J138" i="13"/>
  <c r="K138" i="13"/>
  <c r="L138" i="13"/>
  <c r="M138" i="13"/>
  <c r="N138" i="13"/>
  <c r="O138" i="13"/>
  <c r="P138" i="13"/>
  <c r="Q138" i="13"/>
  <c r="J139" i="13"/>
  <c r="K139" i="13"/>
  <c r="L139" i="13"/>
  <c r="M139" i="13"/>
  <c r="N139" i="13"/>
  <c r="O139" i="13"/>
  <c r="P139" i="13"/>
  <c r="Q139" i="13"/>
  <c r="J140" i="13"/>
  <c r="K140" i="13"/>
  <c r="L140" i="13"/>
  <c r="M140" i="13"/>
  <c r="N140" i="13"/>
  <c r="O140" i="13"/>
  <c r="P140" i="13"/>
  <c r="Q140" i="13"/>
  <c r="J141" i="13"/>
  <c r="K141" i="13"/>
  <c r="L141" i="13"/>
  <c r="M141" i="13"/>
  <c r="N141" i="13"/>
  <c r="O141" i="13"/>
  <c r="P141" i="13"/>
  <c r="Q141" i="13"/>
  <c r="J142" i="13"/>
  <c r="K142" i="13"/>
  <c r="L142" i="13"/>
  <c r="M142" i="13"/>
  <c r="N142" i="13"/>
  <c r="O142" i="13"/>
  <c r="P142" i="13"/>
  <c r="Q142" i="13"/>
  <c r="J143" i="13"/>
  <c r="K143" i="13"/>
  <c r="L143" i="13"/>
  <c r="M143" i="13"/>
  <c r="N143" i="13"/>
  <c r="O143" i="13"/>
  <c r="P143" i="13"/>
  <c r="Q143" i="13"/>
  <c r="J144" i="13"/>
  <c r="K144" i="13"/>
  <c r="L144" i="13"/>
  <c r="M144" i="13"/>
  <c r="N144" i="13"/>
  <c r="O144" i="13"/>
  <c r="P144" i="13"/>
  <c r="Q144" i="13"/>
  <c r="J145" i="13"/>
  <c r="K145" i="13"/>
  <c r="L145" i="13"/>
  <c r="M145" i="13"/>
  <c r="N145" i="13"/>
  <c r="O145" i="13"/>
  <c r="P145" i="13"/>
  <c r="Q145" i="13"/>
  <c r="J146" i="13"/>
  <c r="K146" i="13"/>
  <c r="L146" i="13"/>
  <c r="M146" i="13"/>
  <c r="N146" i="13"/>
  <c r="O146" i="13"/>
  <c r="P146" i="13"/>
  <c r="Q146" i="13"/>
  <c r="J147" i="13"/>
  <c r="K147" i="13"/>
  <c r="L147" i="13"/>
  <c r="M147" i="13"/>
  <c r="N147" i="13"/>
  <c r="O147" i="13"/>
  <c r="P147" i="13"/>
  <c r="Q147" i="13"/>
  <c r="J148" i="13"/>
  <c r="K148" i="13"/>
  <c r="L148" i="13"/>
  <c r="M148" i="13"/>
  <c r="N148" i="13"/>
  <c r="O148" i="13"/>
  <c r="P148" i="13"/>
  <c r="Q148" i="13"/>
  <c r="J149" i="13"/>
  <c r="K149" i="13"/>
  <c r="L149" i="13"/>
  <c r="M149" i="13"/>
  <c r="N149" i="13"/>
  <c r="O149" i="13"/>
  <c r="P149" i="13"/>
  <c r="Q149" i="13"/>
  <c r="J150" i="13"/>
  <c r="K150" i="13"/>
  <c r="L150" i="13"/>
  <c r="M150" i="13"/>
  <c r="N150" i="13"/>
  <c r="O150" i="13"/>
  <c r="P150" i="13"/>
  <c r="Q150" i="13"/>
  <c r="J151" i="13"/>
  <c r="K151" i="13"/>
  <c r="L151" i="13"/>
  <c r="M151" i="13"/>
  <c r="N151" i="13"/>
  <c r="O151" i="13"/>
  <c r="P151" i="13"/>
  <c r="Q151" i="13"/>
  <c r="J152" i="13"/>
  <c r="K152" i="13"/>
  <c r="L152" i="13"/>
  <c r="M152" i="13"/>
  <c r="N152" i="13"/>
  <c r="O152" i="13"/>
  <c r="P152" i="13"/>
  <c r="Q152" i="13"/>
  <c r="J153" i="13"/>
  <c r="K153" i="13"/>
  <c r="L153" i="13"/>
  <c r="M153" i="13"/>
  <c r="N153" i="13"/>
  <c r="O153" i="13"/>
  <c r="P153" i="13"/>
  <c r="Q153" i="13"/>
  <c r="J154" i="13"/>
  <c r="K154" i="13"/>
  <c r="L154" i="13"/>
  <c r="M154" i="13"/>
  <c r="N154" i="13"/>
  <c r="O154" i="13"/>
  <c r="P154" i="13"/>
  <c r="Q154" i="13"/>
  <c r="J155" i="13"/>
  <c r="K155" i="13"/>
  <c r="L155" i="13"/>
  <c r="M155" i="13"/>
  <c r="N155" i="13"/>
  <c r="O155" i="13"/>
  <c r="P155" i="13"/>
  <c r="Q155" i="13"/>
  <c r="J156" i="13"/>
  <c r="K156" i="13"/>
  <c r="L156" i="13"/>
  <c r="M156" i="13"/>
  <c r="N156" i="13"/>
  <c r="O156" i="13"/>
  <c r="P156" i="13"/>
  <c r="Q156" i="13"/>
  <c r="J157" i="13"/>
  <c r="K157" i="13"/>
  <c r="L157" i="13"/>
  <c r="M157" i="13"/>
  <c r="N157" i="13"/>
  <c r="O157" i="13"/>
  <c r="P157" i="13"/>
  <c r="Q157" i="13"/>
  <c r="J158" i="13"/>
  <c r="K158" i="13"/>
  <c r="L158" i="13"/>
  <c r="M158" i="13"/>
  <c r="N158" i="13"/>
  <c r="O158" i="13"/>
  <c r="P158" i="13"/>
  <c r="Q158" i="13"/>
  <c r="J159" i="13"/>
  <c r="K159" i="13"/>
  <c r="L159" i="13"/>
  <c r="M159" i="13"/>
  <c r="N159" i="13"/>
  <c r="O159" i="13"/>
  <c r="P159" i="13"/>
  <c r="Q159" i="13"/>
  <c r="J160" i="13"/>
  <c r="K160" i="13"/>
  <c r="L160" i="13"/>
  <c r="M160" i="13"/>
  <c r="N160" i="13"/>
  <c r="O160" i="13"/>
  <c r="P160" i="13"/>
  <c r="Q160" i="13"/>
  <c r="J161" i="13"/>
  <c r="K161" i="13"/>
  <c r="L161" i="13"/>
  <c r="M161" i="13"/>
  <c r="N161" i="13"/>
  <c r="O161" i="13"/>
  <c r="P161" i="13"/>
  <c r="Q161" i="13"/>
  <c r="J162" i="13"/>
  <c r="K162" i="13"/>
  <c r="L162" i="13"/>
  <c r="M162" i="13"/>
  <c r="N162" i="13"/>
  <c r="O162" i="13"/>
  <c r="P162" i="13"/>
  <c r="Q162" i="13"/>
  <c r="J163" i="13"/>
  <c r="K163" i="13"/>
  <c r="L163" i="13"/>
  <c r="M163" i="13"/>
  <c r="N163" i="13"/>
  <c r="O163" i="13"/>
  <c r="P163" i="13"/>
  <c r="Q163" i="13"/>
  <c r="J164" i="13"/>
  <c r="K164" i="13"/>
  <c r="L164" i="13"/>
  <c r="M164" i="13"/>
  <c r="N164" i="13"/>
  <c r="O164" i="13"/>
  <c r="P164" i="13"/>
  <c r="Q164" i="13"/>
  <c r="J165" i="13"/>
  <c r="K165" i="13"/>
  <c r="L165" i="13"/>
  <c r="M165" i="13"/>
  <c r="N165" i="13"/>
  <c r="O165" i="13"/>
  <c r="P165" i="13"/>
  <c r="Q165" i="13"/>
  <c r="J166" i="13"/>
  <c r="K166" i="13"/>
  <c r="L166" i="13"/>
  <c r="M166" i="13"/>
  <c r="N166" i="13"/>
  <c r="O166" i="13"/>
  <c r="P166" i="13"/>
  <c r="Q166" i="13"/>
  <c r="J167" i="13"/>
  <c r="K167" i="13"/>
  <c r="L167" i="13"/>
  <c r="M167" i="13"/>
  <c r="N167" i="13"/>
  <c r="O167" i="13"/>
  <c r="P167" i="13"/>
  <c r="Q167" i="13"/>
  <c r="J168" i="13"/>
  <c r="K168" i="13"/>
  <c r="L168" i="13"/>
  <c r="M168" i="13"/>
  <c r="N168" i="13"/>
  <c r="O168" i="13"/>
  <c r="P168" i="13"/>
  <c r="Q168" i="13"/>
  <c r="J169" i="13"/>
  <c r="K169" i="13"/>
  <c r="L169" i="13"/>
  <c r="M169" i="13"/>
  <c r="N169" i="13"/>
  <c r="O169" i="13"/>
  <c r="P169" i="13"/>
  <c r="Q169" i="13"/>
  <c r="J170" i="13"/>
  <c r="K170" i="13"/>
  <c r="L170" i="13"/>
  <c r="M170" i="13"/>
  <c r="N170" i="13"/>
  <c r="O170" i="13"/>
  <c r="P170" i="13"/>
  <c r="Q170" i="13"/>
  <c r="J171" i="13"/>
  <c r="K171" i="13"/>
  <c r="L171" i="13"/>
  <c r="M171" i="13"/>
  <c r="N171" i="13"/>
  <c r="O171" i="13"/>
  <c r="P171" i="13"/>
  <c r="Q171" i="13"/>
  <c r="J172" i="13"/>
  <c r="K172" i="13"/>
  <c r="L172" i="13"/>
  <c r="M172" i="13"/>
  <c r="N172" i="13"/>
  <c r="O172" i="13"/>
  <c r="P172" i="13"/>
  <c r="Q172" i="13"/>
  <c r="J173" i="13"/>
  <c r="K173" i="13"/>
  <c r="L173" i="13"/>
  <c r="M173" i="13"/>
  <c r="N173" i="13"/>
  <c r="O173" i="13"/>
  <c r="P173" i="13"/>
  <c r="Q173" i="13"/>
  <c r="J174" i="13"/>
  <c r="K174" i="13"/>
  <c r="L174" i="13"/>
  <c r="M174" i="13"/>
  <c r="N174" i="13"/>
  <c r="O174" i="13"/>
  <c r="P174" i="13"/>
  <c r="Q174" i="13"/>
  <c r="J175" i="13"/>
  <c r="K175" i="13"/>
  <c r="L175" i="13"/>
  <c r="M175" i="13"/>
  <c r="N175" i="13"/>
  <c r="O175" i="13"/>
  <c r="P175" i="13"/>
  <c r="Q175" i="13"/>
  <c r="J176" i="13"/>
  <c r="K176" i="13"/>
  <c r="L176" i="13"/>
  <c r="M176" i="13"/>
  <c r="N176" i="13"/>
  <c r="O176" i="13"/>
  <c r="P176" i="13"/>
  <c r="Q176" i="13"/>
  <c r="J177" i="13"/>
  <c r="K177" i="13"/>
  <c r="L177" i="13"/>
  <c r="M177" i="13"/>
  <c r="N177" i="13"/>
  <c r="O177" i="13"/>
  <c r="P177" i="13"/>
  <c r="Q177" i="13"/>
  <c r="J178" i="13"/>
  <c r="K178" i="13"/>
  <c r="L178" i="13"/>
  <c r="M178" i="13"/>
  <c r="N178" i="13"/>
  <c r="O178" i="13"/>
  <c r="P178" i="13"/>
  <c r="Q178" i="13"/>
  <c r="J179" i="13"/>
  <c r="K179" i="13"/>
  <c r="L179" i="13"/>
  <c r="M179" i="13"/>
  <c r="N179" i="13"/>
  <c r="O179" i="13"/>
  <c r="P179" i="13"/>
  <c r="Q179" i="13"/>
  <c r="J180" i="13"/>
  <c r="K180" i="13"/>
  <c r="L180" i="13"/>
  <c r="M180" i="13"/>
  <c r="N180" i="13"/>
  <c r="O180" i="13"/>
  <c r="P180" i="13"/>
  <c r="Q180" i="13"/>
  <c r="J181" i="13"/>
  <c r="K181" i="13"/>
  <c r="L181" i="13"/>
  <c r="M181" i="13"/>
  <c r="N181" i="13"/>
  <c r="O181" i="13"/>
  <c r="P181" i="13"/>
  <c r="Q181" i="13"/>
  <c r="J182" i="13"/>
  <c r="K182" i="13"/>
  <c r="L182" i="13"/>
  <c r="M182" i="13"/>
  <c r="N182" i="13"/>
  <c r="O182" i="13"/>
  <c r="P182" i="13"/>
  <c r="Q182" i="13"/>
  <c r="J183" i="13"/>
  <c r="K183" i="13"/>
  <c r="L183" i="13"/>
  <c r="M183" i="13"/>
  <c r="N183" i="13"/>
  <c r="O183" i="13"/>
  <c r="P183" i="13"/>
  <c r="Q183" i="13"/>
  <c r="J184" i="13"/>
  <c r="K184" i="13"/>
  <c r="L184" i="13"/>
  <c r="M184" i="13"/>
  <c r="N184" i="13"/>
  <c r="O184" i="13"/>
  <c r="P184" i="13"/>
  <c r="Q184" i="13"/>
  <c r="J185" i="13"/>
  <c r="K185" i="13"/>
  <c r="L185" i="13"/>
  <c r="M185" i="13"/>
  <c r="N185" i="13"/>
  <c r="O185" i="13"/>
  <c r="P185" i="13"/>
  <c r="Q185" i="13"/>
  <c r="J186" i="13"/>
  <c r="K186" i="13"/>
  <c r="L186" i="13"/>
  <c r="M186" i="13"/>
  <c r="N186" i="13"/>
  <c r="O186" i="13"/>
  <c r="P186" i="13"/>
  <c r="Q186" i="13"/>
  <c r="J187" i="13"/>
  <c r="K187" i="13"/>
  <c r="L187" i="13"/>
  <c r="M187" i="13"/>
  <c r="N187" i="13"/>
  <c r="O187" i="13"/>
  <c r="P187" i="13"/>
  <c r="Q187" i="13"/>
  <c r="J188" i="13"/>
  <c r="K188" i="13"/>
  <c r="L188" i="13"/>
  <c r="M188" i="13"/>
  <c r="N188" i="13"/>
  <c r="O188" i="13"/>
  <c r="P188" i="13"/>
  <c r="Q188" i="13"/>
  <c r="J189" i="13"/>
  <c r="K189" i="13"/>
  <c r="L189" i="13"/>
  <c r="M189" i="13"/>
  <c r="N189" i="13"/>
  <c r="O189" i="13"/>
  <c r="P189" i="13"/>
  <c r="Q189" i="13"/>
  <c r="J190" i="13"/>
  <c r="K190" i="13"/>
  <c r="L190" i="13"/>
  <c r="M190" i="13"/>
  <c r="N190" i="13"/>
  <c r="O190" i="13"/>
  <c r="P190" i="13"/>
  <c r="Q190" i="13"/>
  <c r="J191" i="13"/>
  <c r="K191" i="13"/>
  <c r="L191" i="13"/>
  <c r="M191" i="13"/>
  <c r="N191" i="13"/>
  <c r="O191" i="13"/>
  <c r="P191" i="13"/>
  <c r="Q191" i="13"/>
  <c r="J192" i="13"/>
  <c r="K192" i="13"/>
  <c r="L192" i="13"/>
  <c r="M192" i="13"/>
  <c r="N192" i="13"/>
  <c r="O192" i="13"/>
  <c r="P192" i="13"/>
  <c r="Q192" i="13"/>
  <c r="J193" i="13"/>
  <c r="K193" i="13"/>
  <c r="L193" i="13"/>
  <c r="M193" i="13"/>
  <c r="N193" i="13"/>
  <c r="O193" i="13"/>
  <c r="P193" i="13"/>
  <c r="Q193" i="13"/>
  <c r="J194" i="13"/>
  <c r="K194" i="13"/>
  <c r="L194" i="13"/>
  <c r="M194" i="13"/>
  <c r="N194" i="13"/>
  <c r="O194" i="13"/>
  <c r="P194" i="13"/>
  <c r="Q194" i="13"/>
  <c r="J195" i="13"/>
  <c r="K195" i="13"/>
  <c r="L195" i="13"/>
  <c r="M195" i="13"/>
  <c r="N195" i="13"/>
  <c r="O195" i="13"/>
  <c r="P195" i="13"/>
  <c r="Q195" i="13"/>
  <c r="J196" i="13"/>
  <c r="K196" i="13"/>
  <c r="L196" i="13"/>
  <c r="M196" i="13"/>
  <c r="N196" i="13"/>
  <c r="O196" i="13"/>
  <c r="P196" i="13"/>
  <c r="Q196" i="13"/>
  <c r="J197" i="13"/>
  <c r="K197" i="13"/>
  <c r="L197" i="13"/>
  <c r="M197" i="13"/>
  <c r="N197" i="13"/>
  <c r="O197" i="13"/>
  <c r="P197" i="13"/>
  <c r="Q197" i="13"/>
  <c r="J198" i="13"/>
  <c r="K198" i="13"/>
  <c r="L198" i="13"/>
  <c r="M198" i="13"/>
  <c r="N198" i="13"/>
  <c r="O198" i="13"/>
  <c r="P198" i="13"/>
  <c r="Q198" i="13"/>
  <c r="J199" i="13"/>
  <c r="K199" i="13"/>
  <c r="L199" i="13"/>
  <c r="M199" i="13"/>
  <c r="N199" i="13"/>
  <c r="O199" i="13"/>
  <c r="P199" i="13"/>
  <c r="Q199" i="13"/>
  <c r="J200" i="13"/>
  <c r="K200" i="13"/>
  <c r="L200" i="13"/>
  <c r="M200" i="13"/>
  <c r="N200" i="13"/>
  <c r="O200" i="13"/>
  <c r="P200" i="13"/>
  <c r="Q200" i="13"/>
  <c r="J201" i="13"/>
  <c r="K201" i="13"/>
  <c r="L201" i="13"/>
  <c r="M201" i="13"/>
  <c r="N201" i="13"/>
  <c r="O201" i="13"/>
  <c r="P201" i="13"/>
  <c r="Q201" i="13"/>
  <c r="J202" i="13"/>
  <c r="K202" i="13"/>
  <c r="L202" i="13"/>
  <c r="M202" i="13"/>
  <c r="N202" i="13"/>
  <c r="O202" i="13"/>
  <c r="P202" i="13"/>
  <c r="Q202" i="13"/>
  <c r="J203" i="13"/>
  <c r="K203" i="13"/>
  <c r="L203" i="13"/>
  <c r="M203" i="13"/>
  <c r="N203" i="13"/>
  <c r="O203" i="13"/>
  <c r="P203" i="13"/>
  <c r="Q203" i="13"/>
  <c r="J204" i="13"/>
  <c r="K204" i="13"/>
  <c r="L204" i="13"/>
  <c r="M204" i="13"/>
  <c r="N204" i="13"/>
  <c r="O204" i="13"/>
  <c r="P204" i="13"/>
  <c r="Q204" i="13"/>
  <c r="J205" i="13"/>
  <c r="K205" i="13"/>
  <c r="L205" i="13"/>
  <c r="M205" i="13"/>
  <c r="N205" i="13"/>
  <c r="O205" i="13"/>
  <c r="P205" i="13"/>
  <c r="Q205" i="13"/>
  <c r="J206" i="13"/>
  <c r="K206" i="13"/>
  <c r="L206" i="13"/>
  <c r="M206" i="13"/>
  <c r="N206" i="13"/>
  <c r="O206" i="13"/>
  <c r="P206" i="13"/>
  <c r="Q206" i="13"/>
  <c r="J207" i="13"/>
  <c r="K207" i="13"/>
  <c r="L207" i="13"/>
  <c r="M207" i="13"/>
  <c r="N207" i="13"/>
  <c r="O207" i="13"/>
  <c r="P207" i="13"/>
  <c r="Q207" i="13"/>
  <c r="J208" i="13"/>
  <c r="K208" i="13"/>
  <c r="L208" i="13"/>
  <c r="M208" i="13"/>
  <c r="N208" i="13"/>
  <c r="O208" i="13"/>
  <c r="P208" i="13"/>
  <c r="Q208" i="13"/>
  <c r="J209" i="13"/>
  <c r="K209" i="13"/>
  <c r="L209" i="13"/>
  <c r="M209" i="13"/>
  <c r="N209" i="13"/>
  <c r="O209" i="13"/>
  <c r="P209" i="13"/>
  <c r="Q209" i="13"/>
  <c r="J210" i="13"/>
  <c r="K210" i="13"/>
  <c r="L210" i="13"/>
  <c r="M210" i="13"/>
  <c r="N210" i="13"/>
  <c r="O210" i="13"/>
  <c r="P210" i="13"/>
  <c r="Q210" i="13"/>
  <c r="J211" i="13"/>
  <c r="K211" i="13"/>
  <c r="L211" i="13"/>
  <c r="M211" i="13"/>
  <c r="N211" i="13"/>
  <c r="O211" i="13"/>
  <c r="P211" i="13"/>
  <c r="Q211" i="13"/>
  <c r="J212" i="13"/>
  <c r="K212" i="13"/>
  <c r="L212" i="13"/>
  <c r="M212" i="13"/>
  <c r="N212" i="13"/>
  <c r="O212" i="13"/>
  <c r="P212" i="13"/>
  <c r="Q212" i="13"/>
  <c r="J213" i="13"/>
  <c r="K213" i="13"/>
  <c r="L213" i="13"/>
  <c r="M213" i="13"/>
  <c r="N213" i="13"/>
  <c r="O213" i="13"/>
  <c r="P213" i="13"/>
  <c r="Q213" i="13"/>
  <c r="J214" i="13"/>
  <c r="K214" i="13"/>
  <c r="L214" i="13"/>
  <c r="M214" i="13"/>
  <c r="N214" i="13"/>
  <c r="O214" i="13"/>
  <c r="P214" i="13"/>
  <c r="Q214" i="13"/>
  <c r="J215" i="13"/>
  <c r="K215" i="13"/>
  <c r="L215" i="13"/>
  <c r="M215" i="13"/>
  <c r="N215" i="13"/>
  <c r="O215" i="13"/>
  <c r="P215" i="13"/>
  <c r="Q215" i="13"/>
  <c r="J216" i="13"/>
  <c r="K216" i="13"/>
  <c r="L216" i="13"/>
  <c r="M216" i="13"/>
  <c r="N216" i="13"/>
  <c r="O216" i="13"/>
  <c r="P216" i="13"/>
  <c r="Q216" i="13"/>
  <c r="J217" i="13"/>
  <c r="K217" i="13"/>
  <c r="L217" i="13"/>
  <c r="M217" i="13"/>
  <c r="N217" i="13"/>
  <c r="O217" i="13"/>
  <c r="P217" i="13"/>
  <c r="Q217" i="13"/>
  <c r="J218" i="13"/>
  <c r="K218" i="13"/>
  <c r="L218" i="13"/>
  <c r="M218" i="13"/>
  <c r="N218" i="13"/>
  <c r="O218" i="13"/>
  <c r="P218" i="13"/>
  <c r="Q218" i="13"/>
  <c r="J219" i="13"/>
  <c r="K219" i="13"/>
  <c r="L219" i="13"/>
  <c r="M219" i="13"/>
  <c r="N219" i="13"/>
  <c r="O219" i="13"/>
  <c r="P219" i="13"/>
  <c r="Q219" i="13"/>
  <c r="J220" i="13"/>
  <c r="K220" i="13"/>
  <c r="L220" i="13"/>
  <c r="M220" i="13"/>
  <c r="N220" i="13"/>
  <c r="O220" i="13"/>
  <c r="P220" i="13"/>
  <c r="Q220" i="13"/>
  <c r="J221" i="13"/>
  <c r="K221" i="13"/>
  <c r="L221" i="13"/>
  <c r="M221" i="13"/>
  <c r="N221" i="13"/>
  <c r="O221" i="13"/>
  <c r="P221" i="13"/>
  <c r="Q221" i="13"/>
  <c r="J222" i="13"/>
  <c r="K222" i="13"/>
  <c r="L222" i="13"/>
  <c r="M222" i="13"/>
  <c r="N222" i="13"/>
  <c r="O222" i="13"/>
  <c r="P222" i="13"/>
  <c r="Q222" i="13"/>
  <c r="J223" i="13"/>
  <c r="K223" i="13"/>
  <c r="L223" i="13"/>
  <c r="M223" i="13"/>
  <c r="N223" i="13"/>
  <c r="O223" i="13"/>
  <c r="P223" i="13"/>
  <c r="Q223" i="13"/>
  <c r="J224" i="13"/>
  <c r="K224" i="13"/>
  <c r="L224" i="13"/>
  <c r="M224" i="13"/>
  <c r="N224" i="13"/>
  <c r="O224" i="13"/>
  <c r="P224" i="13"/>
  <c r="Q224" i="13"/>
  <c r="J225" i="13"/>
  <c r="K225" i="13"/>
  <c r="L225" i="13"/>
  <c r="M225" i="13"/>
  <c r="N225" i="13"/>
  <c r="O225" i="13"/>
  <c r="P225" i="13"/>
  <c r="Q225" i="13"/>
  <c r="J226" i="13"/>
  <c r="K226" i="13"/>
  <c r="L226" i="13"/>
  <c r="M226" i="13"/>
  <c r="N226" i="13"/>
  <c r="O226" i="13"/>
  <c r="P226" i="13"/>
  <c r="Q226" i="13"/>
  <c r="J227" i="13"/>
  <c r="K227" i="13"/>
  <c r="L227" i="13"/>
  <c r="M227" i="13"/>
  <c r="N227" i="13"/>
  <c r="O227" i="13"/>
  <c r="P227" i="13"/>
  <c r="Q227" i="13"/>
  <c r="J228" i="13"/>
  <c r="K228" i="13"/>
  <c r="L228" i="13"/>
  <c r="M228" i="13"/>
  <c r="N228" i="13"/>
  <c r="O228" i="13"/>
  <c r="P228" i="13"/>
  <c r="Q228" i="13"/>
  <c r="J229" i="13"/>
  <c r="K229" i="13"/>
  <c r="L229" i="13"/>
  <c r="M229" i="13"/>
  <c r="N229" i="13"/>
  <c r="O229" i="13"/>
  <c r="P229" i="13"/>
  <c r="Q229" i="13"/>
  <c r="J230" i="13"/>
  <c r="K230" i="13"/>
  <c r="L230" i="13"/>
  <c r="M230" i="13"/>
  <c r="N230" i="13"/>
  <c r="O230" i="13"/>
  <c r="P230" i="13"/>
  <c r="Q230" i="13"/>
  <c r="J231" i="13"/>
  <c r="K231" i="13"/>
  <c r="L231" i="13"/>
  <c r="M231" i="13"/>
  <c r="N231" i="13"/>
  <c r="O231" i="13"/>
  <c r="P231" i="13"/>
  <c r="Q231" i="13"/>
  <c r="J232" i="13"/>
  <c r="K232" i="13"/>
  <c r="L232" i="13"/>
  <c r="M232" i="13"/>
  <c r="N232" i="13"/>
  <c r="O232" i="13"/>
  <c r="P232" i="13"/>
  <c r="Q232" i="13"/>
  <c r="J233" i="13"/>
  <c r="K233" i="13"/>
  <c r="L233" i="13"/>
  <c r="M233" i="13"/>
  <c r="N233" i="13"/>
  <c r="O233" i="13"/>
  <c r="P233" i="13"/>
  <c r="Q233" i="13"/>
  <c r="J234" i="13"/>
  <c r="K234" i="13"/>
  <c r="L234" i="13"/>
  <c r="M234" i="13"/>
  <c r="N234" i="13"/>
  <c r="O234" i="13"/>
  <c r="P234" i="13"/>
  <c r="Q234" i="13"/>
  <c r="J235" i="13"/>
  <c r="K235" i="13"/>
  <c r="L235" i="13"/>
  <c r="M235" i="13"/>
  <c r="N235" i="13"/>
  <c r="O235" i="13"/>
  <c r="P235" i="13"/>
  <c r="Q235" i="13"/>
  <c r="J236" i="13"/>
  <c r="K236" i="13"/>
  <c r="L236" i="13"/>
  <c r="M236" i="13"/>
  <c r="N236" i="13"/>
  <c r="O236" i="13"/>
  <c r="P236" i="13"/>
  <c r="Q236" i="13"/>
  <c r="J237" i="13"/>
  <c r="K237" i="13"/>
  <c r="L237" i="13"/>
  <c r="M237" i="13"/>
  <c r="N237" i="13"/>
  <c r="O237" i="13"/>
  <c r="P237" i="13"/>
  <c r="Q237" i="13"/>
  <c r="J238" i="13"/>
  <c r="K238" i="13"/>
  <c r="L238" i="13"/>
  <c r="M238" i="13"/>
  <c r="N238" i="13"/>
  <c r="O238" i="13"/>
  <c r="P238" i="13"/>
  <c r="Q238" i="13"/>
  <c r="J239" i="13"/>
  <c r="K239" i="13"/>
  <c r="L239" i="13"/>
  <c r="M239" i="13"/>
  <c r="N239" i="13"/>
  <c r="O239" i="13"/>
  <c r="P239" i="13"/>
  <c r="Q239" i="13"/>
  <c r="J240" i="13"/>
  <c r="K240" i="13"/>
  <c r="L240" i="13"/>
  <c r="M240" i="13"/>
  <c r="N240" i="13"/>
  <c r="O240" i="13"/>
  <c r="P240" i="13"/>
  <c r="Q240" i="13"/>
  <c r="J241" i="13"/>
  <c r="K241" i="13"/>
  <c r="L241" i="13"/>
  <c r="M241" i="13"/>
  <c r="N241" i="13"/>
  <c r="O241" i="13"/>
  <c r="P241" i="13"/>
  <c r="Q241" i="13"/>
  <c r="J242" i="13"/>
  <c r="K242" i="13"/>
  <c r="L242" i="13"/>
  <c r="M242" i="13"/>
  <c r="N242" i="13"/>
  <c r="O242" i="13"/>
  <c r="P242" i="13"/>
  <c r="Q242" i="13"/>
  <c r="J243" i="13"/>
  <c r="K243" i="13"/>
  <c r="L243" i="13"/>
  <c r="M243" i="13"/>
  <c r="N243" i="13"/>
  <c r="O243" i="13"/>
  <c r="P243" i="13"/>
  <c r="Q243" i="13"/>
  <c r="J244" i="13"/>
  <c r="K244" i="13"/>
  <c r="L244" i="13"/>
  <c r="M244" i="13"/>
  <c r="N244" i="13"/>
  <c r="O244" i="13"/>
  <c r="P244" i="13"/>
  <c r="Q244" i="13"/>
  <c r="J245" i="13"/>
  <c r="K245" i="13"/>
  <c r="L245" i="13"/>
  <c r="M245" i="13"/>
  <c r="N245" i="13"/>
  <c r="O245" i="13"/>
  <c r="P245" i="13"/>
  <c r="Q245" i="13"/>
  <c r="J246" i="13"/>
  <c r="K246" i="13"/>
  <c r="L246" i="13"/>
  <c r="M246" i="13"/>
  <c r="N246" i="13"/>
  <c r="O246" i="13"/>
  <c r="P246" i="13"/>
  <c r="Q246" i="13"/>
  <c r="J247" i="13"/>
  <c r="K247" i="13"/>
  <c r="L247" i="13"/>
  <c r="M247" i="13"/>
  <c r="N247" i="13"/>
  <c r="O247" i="13"/>
  <c r="P247" i="13"/>
  <c r="Q247" i="13"/>
  <c r="J248" i="13"/>
  <c r="K248" i="13"/>
  <c r="L248" i="13"/>
  <c r="M248" i="13"/>
  <c r="N248" i="13"/>
  <c r="O248" i="13"/>
  <c r="P248" i="13"/>
  <c r="Q248" i="13"/>
  <c r="J249" i="13"/>
  <c r="K249" i="13"/>
  <c r="L249" i="13"/>
  <c r="M249" i="13"/>
  <c r="N249" i="13"/>
  <c r="O249" i="13"/>
  <c r="P249" i="13"/>
  <c r="Q249" i="13"/>
  <c r="J250" i="13"/>
  <c r="K250" i="13"/>
  <c r="L250" i="13"/>
  <c r="M250" i="13"/>
  <c r="N250" i="13"/>
  <c r="O250" i="13"/>
  <c r="P250" i="13"/>
  <c r="Q250" i="13"/>
  <c r="J251" i="13"/>
  <c r="K251" i="13"/>
  <c r="L251" i="13"/>
  <c r="M251" i="13"/>
  <c r="N251" i="13"/>
  <c r="O251" i="13"/>
  <c r="P251" i="13"/>
  <c r="Q251" i="13"/>
  <c r="J252" i="13"/>
  <c r="K252" i="13"/>
  <c r="L252" i="13"/>
  <c r="M252" i="13"/>
  <c r="N252" i="13"/>
  <c r="O252" i="13"/>
  <c r="P252" i="13"/>
  <c r="Q252" i="13"/>
  <c r="J253" i="13"/>
  <c r="K253" i="13"/>
  <c r="L253" i="13"/>
  <c r="M253" i="13"/>
  <c r="N253" i="13"/>
  <c r="O253" i="13"/>
  <c r="P253" i="13"/>
  <c r="Q253" i="13"/>
  <c r="J254" i="13"/>
  <c r="K254" i="13"/>
  <c r="L254" i="13"/>
  <c r="M254" i="13"/>
  <c r="N254" i="13"/>
  <c r="O254" i="13"/>
  <c r="P254" i="13"/>
  <c r="Q254" i="13"/>
  <c r="J255" i="13"/>
  <c r="K255" i="13"/>
  <c r="L255" i="13"/>
  <c r="M255" i="13"/>
  <c r="N255" i="13"/>
  <c r="O255" i="13"/>
  <c r="P255" i="13"/>
  <c r="Q255" i="13"/>
  <c r="J256" i="13"/>
  <c r="K256" i="13"/>
  <c r="L256" i="13"/>
  <c r="M256" i="13"/>
  <c r="N256" i="13"/>
  <c r="O256" i="13"/>
  <c r="P256" i="13"/>
  <c r="Q256" i="13"/>
  <c r="J257" i="13"/>
  <c r="K257" i="13"/>
  <c r="L257" i="13"/>
  <c r="M257" i="13"/>
  <c r="N257" i="13"/>
  <c r="O257" i="13"/>
  <c r="P257" i="13"/>
  <c r="Q257" i="13"/>
  <c r="J258" i="13"/>
  <c r="K258" i="13"/>
  <c r="L258" i="13"/>
  <c r="M258" i="13"/>
  <c r="N258" i="13"/>
  <c r="O258" i="13"/>
  <c r="P258" i="13"/>
  <c r="Q258" i="13"/>
  <c r="J259" i="13"/>
  <c r="K259" i="13"/>
  <c r="L259" i="13"/>
  <c r="M259" i="13"/>
  <c r="N259" i="13"/>
  <c r="O259" i="13"/>
  <c r="P259" i="13"/>
  <c r="Q259" i="13"/>
  <c r="J260" i="13"/>
  <c r="K260" i="13"/>
  <c r="L260" i="13"/>
  <c r="M260" i="13"/>
  <c r="N260" i="13"/>
  <c r="O260" i="13"/>
  <c r="P260" i="13"/>
  <c r="Q260" i="13"/>
  <c r="J261" i="13"/>
  <c r="K261" i="13"/>
  <c r="L261" i="13"/>
  <c r="M261" i="13"/>
  <c r="N261" i="13"/>
  <c r="O261" i="13"/>
  <c r="P261" i="13"/>
  <c r="Q261" i="13"/>
  <c r="J262" i="13"/>
  <c r="K262" i="13"/>
  <c r="L262" i="13"/>
  <c r="M262" i="13"/>
  <c r="N262" i="13"/>
  <c r="O262" i="13"/>
  <c r="P262" i="13"/>
  <c r="Q262" i="13"/>
  <c r="J263" i="13"/>
  <c r="K263" i="13"/>
  <c r="L263" i="13"/>
  <c r="M263" i="13"/>
  <c r="N263" i="13"/>
  <c r="O263" i="13"/>
  <c r="P263" i="13"/>
  <c r="Q263" i="13"/>
  <c r="J264" i="13"/>
  <c r="K264" i="13"/>
  <c r="L264" i="13"/>
  <c r="M264" i="13"/>
  <c r="N264" i="13"/>
  <c r="O264" i="13"/>
  <c r="P264" i="13"/>
  <c r="Q264" i="13"/>
  <c r="J265" i="13"/>
  <c r="K265" i="13"/>
  <c r="L265" i="13"/>
  <c r="M265" i="13"/>
  <c r="N265" i="13"/>
  <c r="O265" i="13"/>
  <c r="P265" i="13"/>
  <c r="Q265" i="13"/>
  <c r="J266" i="13"/>
  <c r="K266" i="13"/>
  <c r="L266" i="13"/>
  <c r="M266" i="13"/>
  <c r="N266" i="13"/>
  <c r="O266" i="13"/>
  <c r="P266" i="13"/>
  <c r="Q266" i="13"/>
  <c r="J267" i="13"/>
  <c r="K267" i="13"/>
  <c r="L267" i="13"/>
  <c r="M267" i="13"/>
  <c r="N267" i="13"/>
  <c r="O267" i="13"/>
  <c r="P267" i="13"/>
  <c r="Q267" i="13"/>
  <c r="J268" i="13"/>
  <c r="K268" i="13"/>
  <c r="L268" i="13"/>
  <c r="M268" i="13"/>
  <c r="N268" i="13"/>
  <c r="O268" i="13"/>
  <c r="P268" i="13"/>
  <c r="Q268" i="13"/>
  <c r="J269" i="13"/>
  <c r="K269" i="13"/>
  <c r="L269" i="13"/>
  <c r="M269" i="13"/>
  <c r="N269" i="13"/>
  <c r="O269" i="13"/>
  <c r="P269" i="13"/>
  <c r="Q269" i="13"/>
  <c r="J270" i="13"/>
  <c r="K270" i="13"/>
  <c r="L270" i="13"/>
  <c r="M270" i="13"/>
  <c r="N270" i="13"/>
  <c r="O270" i="13"/>
  <c r="P270" i="13"/>
  <c r="Q270" i="13"/>
  <c r="J271" i="13"/>
  <c r="K271" i="13"/>
  <c r="L271" i="13"/>
  <c r="M271" i="13"/>
  <c r="N271" i="13"/>
  <c r="O271" i="13"/>
  <c r="P271" i="13"/>
  <c r="Q271" i="13"/>
  <c r="J272" i="13"/>
  <c r="K272" i="13"/>
  <c r="L272" i="13"/>
  <c r="M272" i="13"/>
  <c r="N272" i="13"/>
  <c r="O272" i="13"/>
  <c r="P272" i="13"/>
  <c r="Q272" i="13"/>
  <c r="J273" i="13"/>
  <c r="K273" i="13"/>
  <c r="L273" i="13"/>
  <c r="M273" i="13"/>
  <c r="N273" i="13"/>
  <c r="O273" i="13"/>
  <c r="P273" i="13"/>
  <c r="Q273" i="13"/>
  <c r="J274" i="13"/>
  <c r="K274" i="13"/>
  <c r="L274" i="13"/>
  <c r="M274" i="13"/>
  <c r="N274" i="13"/>
  <c r="O274" i="13"/>
  <c r="P274" i="13"/>
  <c r="Q274" i="13"/>
  <c r="J275" i="13"/>
  <c r="K275" i="13"/>
  <c r="L275" i="13"/>
  <c r="M275" i="13"/>
  <c r="N275" i="13"/>
  <c r="O275" i="13"/>
  <c r="P275" i="13"/>
  <c r="Q275" i="13"/>
  <c r="J276" i="13"/>
  <c r="K276" i="13"/>
  <c r="L276" i="13"/>
  <c r="M276" i="13"/>
  <c r="N276" i="13"/>
  <c r="O276" i="13"/>
  <c r="P276" i="13"/>
  <c r="Q276" i="13"/>
  <c r="J277" i="13"/>
  <c r="K277" i="13"/>
  <c r="L277" i="13"/>
  <c r="M277" i="13"/>
  <c r="N277" i="13"/>
  <c r="O277" i="13"/>
  <c r="P277" i="13"/>
  <c r="Q277" i="13"/>
  <c r="J278" i="13"/>
  <c r="K278" i="13"/>
  <c r="L278" i="13"/>
  <c r="M278" i="13"/>
  <c r="N278" i="13"/>
  <c r="O278" i="13"/>
  <c r="P278" i="13"/>
  <c r="Q278" i="13"/>
  <c r="J279" i="13"/>
  <c r="K279" i="13"/>
  <c r="L279" i="13"/>
  <c r="M279" i="13"/>
  <c r="N279" i="13"/>
  <c r="O279" i="13"/>
  <c r="P279" i="13"/>
  <c r="Q279" i="13"/>
  <c r="J280" i="13"/>
  <c r="K280" i="13"/>
  <c r="L280" i="13"/>
  <c r="M280" i="13"/>
  <c r="N280" i="13"/>
  <c r="O280" i="13"/>
  <c r="P280" i="13"/>
  <c r="Q280" i="13"/>
  <c r="J281" i="13"/>
  <c r="K281" i="13"/>
  <c r="L281" i="13"/>
  <c r="M281" i="13"/>
  <c r="N281" i="13"/>
  <c r="O281" i="13"/>
  <c r="P281" i="13"/>
  <c r="Q281" i="13"/>
  <c r="J282" i="13"/>
  <c r="K282" i="13"/>
  <c r="L282" i="13"/>
  <c r="M282" i="13"/>
  <c r="N282" i="13"/>
  <c r="O282" i="13"/>
  <c r="P282" i="13"/>
  <c r="Q282" i="13"/>
  <c r="J283" i="13"/>
  <c r="K283" i="13"/>
  <c r="L283" i="13"/>
  <c r="M283" i="13"/>
  <c r="N283" i="13"/>
  <c r="O283" i="13"/>
  <c r="P283" i="13"/>
  <c r="Q283" i="13"/>
  <c r="J284" i="13"/>
  <c r="K284" i="13"/>
  <c r="L284" i="13"/>
  <c r="M284" i="13"/>
  <c r="N284" i="13"/>
  <c r="O284" i="13"/>
  <c r="P284" i="13"/>
  <c r="Q284" i="13"/>
  <c r="J285" i="13"/>
  <c r="K285" i="13"/>
  <c r="L285" i="13"/>
  <c r="M285" i="13"/>
  <c r="N285" i="13"/>
  <c r="O285" i="13"/>
  <c r="P285" i="13"/>
  <c r="Q285" i="13"/>
  <c r="J286" i="13"/>
  <c r="K286" i="13"/>
  <c r="L286" i="13"/>
  <c r="M286" i="13"/>
  <c r="N286" i="13"/>
  <c r="O286" i="13"/>
  <c r="P286" i="13"/>
  <c r="Q286" i="13"/>
  <c r="J287" i="13"/>
  <c r="K287" i="13"/>
  <c r="L287" i="13"/>
  <c r="M287" i="13"/>
  <c r="N287" i="13"/>
  <c r="O287" i="13"/>
  <c r="P287" i="13"/>
  <c r="Q287" i="13"/>
  <c r="J288" i="13"/>
  <c r="K288" i="13"/>
  <c r="L288" i="13"/>
  <c r="M288" i="13"/>
  <c r="N288" i="13"/>
  <c r="O288" i="13"/>
  <c r="P288" i="13"/>
  <c r="Q288" i="13"/>
  <c r="J289" i="13"/>
  <c r="K289" i="13"/>
  <c r="L289" i="13"/>
  <c r="M289" i="13"/>
  <c r="N289" i="13"/>
  <c r="O289" i="13"/>
  <c r="P289" i="13"/>
  <c r="Q289" i="13"/>
  <c r="J290" i="13"/>
  <c r="K290" i="13"/>
  <c r="L290" i="13"/>
  <c r="M290" i="13"/>
  <c r="N290" i="13"/>
  <c r="O290" i="13"/>
  <c r="P290" i="13"/>
  <c r="Q290" i="13"/>
  <c r="J291" i="13"/>
  <c r="K291" i="13"/>
  <c r="L291" i="13"/>
  <c r="M291" i="13"/>
  <c r="N291" i="13"/>
  <c r="O291" i="13"/>
  <c r="P291" i="13"/>
  <c r="Q291" i="13"/>
  <c r="J292" i="13"/>
  <c r="K292" i="13"/>
  <c r="L292" i="13"/>
  <c r="M292" i="13"/>
  <c r="N292" i="13"/>
  <c r="O292" i="13"/>
  <c r="P292" i="13"/>
  <c r="Q292" i="13"/>
  <c r="J293" i="13"/>
  <c r="K293" i="13"/>
  <c r="L293" i="13"/>
  <c r="M293" i="13"/>
  <c r="N293" i="13"/>
  <c r="O293" i="13"/>
  <c r="P293" i="13"/>
  <c r="Q293" i="13"/>
  <c r="J294" i="13"/>
  <c r="K294" i="13"/>
  <c r="L294" i="13"/>
  <c r="M294" i="13"/>
  <c r="N294" i="13"/>
  <c r="O294" i="13"/>
  <c r="P294" i="13"/>
  <c r="Q294" i="13"/>
  <c r="J295" i="13"/>
  <c r="K295" i="13"/>
  <c r="L295" i="13"/>
  <c r="M295" i="13"/>
  <c r="N295" i="13"/>
  <c r="O295" i="13"/>
  <c r="P295" i="13"/>
  <c r="Q295" i="13"/>
  <c r="J296" i="13"/>
  <c r="K296" i="13"/>
  <c r="L296" i="13"/>
  <c r="M296" i="13"/>
  <c r="N296" i="13"/>
  <c r="O296" i="13"/>
  <c r="P296" i="13"/>
  <c r="Q296" i="13"/>
  <c r="J297" i="13"/>
  <c r="K297" i="13"/>
  <c r="L297" i="13"/>
  <c r="M297" i="13"/>
  <c r="N297" i="13"/>
  <c r="O297" i="13"/>
  <c r="P297" i="13"/>
  <c r="Q297" i="13"/>
  <c r="J298" i="13"/>
  <c r="K298" i="13"/>
  <c r="L298" i="13"/>
  <c r="M298" i="13"/>
  <c r="N298" i="13"/>
  <c r="O298" i="13"/>
  <c r="P298" i="13"/>
  <c r="Q298" i="13"/>
  <c r="J299" i="13"/>
  <c r="K299" i="13"/>
  <c r="L299" i="13"/>
  <c r="M299" i="13"/>
  <c r="N299" i="13"/>
  <c r="O299" i="13"/>
  <c r="P299" i="13"/>
  <c r="Q299" i="13"/>
  <c r="J300" i="13"/>
  <c r="K300" i="13"/>
  <c r="L300" i="13"/>
  <c r="M300" i="13"/>
  <c r="N300" i="13"/>
  <c r="O300" i="13"/>
  <c r="P300" i="13"/>
  <c r="Q300" i="13"/>
  <c r="J301" i="13"/>
  <c r="K301" i="13"/>
  <c r="L301" i="13"/>
  <c r="M301" i="13"/>
  <c r="N301" i="13"/>
  <c r="O301" i="13"/>
  <c r="P301" i="13"/>
  <c r="Q301" i="13"/>
  <c r="J302" i="13"/>
  <c r="K302" i="13"/>
  <c r="L302" i="13"/>
  <c r="M302" i="13"/>
  <c r="N302" i="13"/>
  <c r="O302" i="13"/>
  <c r="P302" i="13"/>
  <c r="Q302" i="13"/>
  <c r="J303" i="13"/>
  <c r="K303" i="13"/>
  <c r="L303" i="13"/>
  <c r="M303" i="13"/>
  <c r="N303" i="13"/>
  <c r="O303" i="13"/>
  <c r="P303" i="13"/>
  <c r="Q303" i="13"/>
  <c r="J304" i="13"/>
  <c r="K304" i="13"/>
  <c r="L304" i="13"/>
  <c r="M304" i="13"/>
  <c r="N304" i="13"/>
  <c r="O304" i="13"/>
  <c r="P304" i="13"/>
  <c r="Q304" i="13"/>
  <c r="J305" i="13"/>
  <c r="K305" i="13"/>
  <c r="L305" i="13"/>
  <c r="M305" i="13"/>
  <c r="N305" i="13"/>
  <c r="O305" i="13"/>
  <c r="P305" i="13"/>
  <c r="Q305" i="13"/>
  <c r="J306" i="13"/>
  <c r="K306" i="13"/>
  <c r="L306" i="13"/>
  <c r="M306" i="13"/>
  <c r="N306" i="13"/>
  <c r="O306" i="13"/>
  <c r="P306" i="13"/>
  <c r="Q306" i="13"/>
  <c r="J307" i="13"/>
  <c r="K307" i="13"/>
  <c r="L307" i="13"/>
  <c r="M307" i="13"/>
  <c r="N307" i="13"/>
  <c r="O307" i="13"/>
  <c r="P307" i="13"/>
  <c r="Q307" i="13"/>
  <c r="J308" i="13"/>
  <c r="K308" i="13"/>
  <c r="L308" i="13"/>
  <c r="M308" i="13"/>
  <c r="N308" i="13"/>
  <c r="O308" i="13"/>
  <c r="P308" i="13"/>
  <c r="Q308" i="13"/>
  <c r="J309" i="13"/>
  <c r="K309" i="13"/>
  <c r="L309" i="13"/>
  <c r="M309" i="13"/>
  <c r="N309" i="13"/>
  <c r="O309" i="13"/>
  <c r="P309" i="13"/>
  <c r="Q309" i="13"/>
  <c r="J310" i="13"/>
  <c r="K310" i="13"/>
  <c r="L310" i="13"/>
  <c r="M310" i="13"/>
  <c r="N310" i="13"/>
  <c r="O310" i="13"/>
  <c r="P310" i="13"/>
  <c r="Q310" i="13"/>
  <c r="J311" i="13"/>
  <c r="K311" i="13"/>
  <c r="L311" i="13"/>
  <c r="M311" i="13"/>
  <c r="N311" i="13"/>
  <c r="O311" i="13"/>
  <c r="P311" i="13"/>
  <c r="Q311" i="13"/>
  <c r="J312" i="13"/>
  <c r="K312" i="13"/>
  <c r="L312" i="13"/>
  <c r="M312" i="13"/>
  <c r="N312" i="13"/>
  <c r="O312" i="13"/>
  <c r="P312" i="13"/>
  <c r="Q312" i="13"/>
  <c r="J313" i="13"/>
  <c r="K313" i="13"/>
  <c r="L313" i="13"/>
  <c r="M313" i="13"/>
  <c r="N313" i="13"/>
  <c r="O313" i="13"/>
  <c r="P313" i="13"/>
  <c r="Q313" i="13"/>
  <c r="J314" i="13"/>
  <c r="K314" i="13"/>
  <c r="L314" i="13"/>
  <c r="M314" i="13"/>
  <c r="N314" i="13"/>
  <c r="O314" i="13"/>
  <c r="P314" i="13"/>
  <c r="Q314" i="13"/>
  <c r="J315" i="13"/>
  <c r="K315" i="13"/>
  <c r="L315" i="13"/>
  <c r="M315" i="13"/>
  <c r="N315" i="13"/>
  <c r="O315" i="13"/>
  <c r="P315" i="13"/>
  <c r="Q315" i="13"/>
  <c r="J316" i="13"/>
  <c r="K316" i="13"/>
  <c r="L316" i="13"/>
  <c r="M316" i="13"/>
  <c r="N316" i="13"/>
  <c r="O316" i="13"/>
  <c r="P316" i="13"/>
  <c r="Q316" i="13"/>
  <c r="J317" i="13"/>
  <c r="K317" i="13"/>
  <c r="L317" i="13"/>
  <c r="M317" i="13"/>
  <c r="N317" i="13"/>
  <c r="O317" i="13"/>
  <c r="P317" i="13"/>
  <c r="Q317" i="13"/>
  <c r="J318" i="13"/>
  <c r="K318" i="13"/>
  <c r="L318" i="13"/>
  <c r="M318" i="13"/>
  <c r="N318" i="13"/>
  <c r="O318" i="13"/>
  <c r="P318" i="13"/>
  <c r="Q318" i="13"/>
  <c r="J319" i="13"/>
  <c r="K319" i="13"/>
  <c r="L319" i="13"/>
  <c r="M319" i="13"/>
  <c r="N319" i="13"/>
  <c r="O319" i="13"/>
  <c r="P319" i="13"/>
  <c r="Q319" i="13"/>
  <c r="J320" i="13"/>
  <c r="K320" i="13"/>
  <c r="L320" i="13"/>
  <c r="M320" i="13"/>
  <c r="N320" i="13"/>
  <c r="O320" i="13"/>
  <c r="P320" i="13"/>
  <c r="Q320" i="13"/>
  <c r="J321" i="13"/>
  <c r="K321" i="13"/>
  <c r="L321" i="13"/>
  <c r="M321" i="13"/>
  <c r="N321" i="13"/>
  <c r="O321" i="13"/>
  <c r="P321" i="13"/>
  <c r="Q321" i="13"/>
  <c r="J322" i="13"/>
  <c r="K322" i="13"/>
  <c r="L322" i="13"/>
  <c r="M322" i="13"/>
  <c r="N322" i="13"/>
  <c r="O322" i="13"/>
  <c r="P322" i="13"/>
  <c r="Q322" i="13"/>
  <c r="J323" i="13"/>
  <c r="K323" i="13"/>
  <c r="L323" i="13"/>
  <c r="M323" i="13"/>
  <c r="N323" i="13"/>
  <c r="O323" i="13"/>
  <c r="P323" i="13"/>
  <c r="Q323" i="13"/>
  <c r="J324" i="13"/>
  <c r="K324" i="13"/>
  <c r="L324" i="13"/>
  <c r="M324" i="13"/>
  <c r="N324" i="13"/>
  <c r="O324" i="13"/>
  <c r="P324" i="13"/>
  <c r="Q324" i="13"/>
  <c r="J325" i="13"/>
  <c r="K325" i="13"/>
  <c r="L325" i="13"/>
  <c r="M325" i="13"/>
  <c r="N325" i="13"/>
  <c r="O325" i="13"/>
  <c r="P325" i="13"/>
  <c r="Q325" i="13"/>
  <c r="J326" i="13"/>
  <c r="K326" i="13"/>
  <c r="L326" i="13"/>
  <c r="M326" i="13"/>
  <c r="N326" i="13"/>
  <c r="O326" i="13"/>
  <c r="P326" i="13"/>
  <c r="Q326" i="13"/>
  <c r="J327" i="13"/>
  <c r="K327" i="13"/>
  <c r="L327" i="13"/>
  <c r="M327" i="13"/>
  <c r="N327" i="13"/>
  <c r="O327" i="13"/>
  <c r="P327" i="13"/>
  <c r="Q327" i="13"/>
  <c r="J328" i="13"/>
  <c r="K328" i="13"/>
  <c r="L328" i="13"/>
  <c r="M328" i="13"/>
  <c r="N328" i="13"/>
  <c r="O328" i="13"/>
  <c r="P328" i="13"/>
  <c r="Q328" i="13"/>
  <c r="J329" i="13"/>
  <c r="K329" i="13"/>
  <c r="L329" i="13"/>
  <c r="M329" i="13"/>
  <c r="N329" i="13"/>
  <c r="O329" i="13"/>
  <c r="P329" i="13"/>
  <c r="Q329" i="13"/>
  <c r="J330" i="13"/>
  <c r="K330" i="13"/>
  <c r="L330" i="13"/>
  <c r="M330" i="13"/>
  <c r="N330" i="13"/>
  <c r="O330" i="13"/>
  <c r="P330" i="13"/>
  <c r="Q330" i="13"/>
  <c r="J331" i="13"/>
  <c r="K331" i="13"/>
  <c r="L331" i="13"/>
  <c r="M331" i="13"/>
  <c r="N331" i="13"/>
  <c r="O331" i="13"/>
  <c r="P331" i="13"/>
  <c r="Q331" i="13"/>
  <c r="J332" i="13"/>
  <c r="K332" i="13"/>
  <c r="L332" i="13"/>
  <c r="M332" i="13"/>
  <c r="N332" i="13"/>
  <c r="O332" i="13"/>
  <c r="P332" i="13"/>
  <c r="Q332" i="13"/>
  <c r="J333" i="13"/>
  <c r="K333" i="13"/>
  <c r="L333" i="13"/>
  <c r="M333" i="13"/>
  <c r="N333" i="13"/>
  <c r="O333" i="13"/>
  <c r="P333" i="13"/>
  <c r="Q333" i="13"/>
  <c r="J334" i="13"/>
  <c r="K334" i="13"/>
  <c r="L334" i="13"/>
  <c r="M334" i="13"/>
  <c r="N334" i="13"/>
  <c r="O334" i="13"/>
  <c r="P334" i="13"/>
  <c r="Q334" i="13"/>
  <c r="J335" i="13"/>
  <c r="K335" i="13"/>
  <c r="L335" i="13"/>
  <c r="M335" i="13"/>
  <c r="N335" i="13"/>
  <c r="O335" i="13"/>
  <c r="P335" i="13"/>
  <c r="Q335" i="13"/>
  <c r="J336" i="13"/>
  <c r="K336" i="13"/>
  <c r="L336" i="13"/>
  <c r="M336" i="13"/>
  <c r="N336" i="13"/>
  <c r="O336" i="13"/>
  <c r="P336" i="13"/>
  <c r="Q336" i="13"/>
  <c r="J337" i="13"/>
  <c r="K337" i="13"/>
  <c r="L337" i="13"/>
  <c r="M337" i="13"/>
  <c r="N337" i="13"/>
  <c r="O337" i="13"/>
  <c r="P337" i="13"/>
  <c r="Q337" i="13"/>
  <c r="J338" i="13"/>
  <c r="K338" i="13"/>
  <c r="L338" i="13"/>
  <c r="M338" i="13"/>
  <c r="N338" i="13"/>
  <c r="O338" i="13"/>
  <c r="P338" i="13"/>
  <c r="Q338" i="13"/>
  <c r="J339" i="13"/>
  <c r="K339" i="13"/>
  <c r="L339" i="13"/>
  <c r="M339" i="13"/>
  <c r="N339" i="13"/>
  <c r="O339" i="13"/>
  <c r="P339" i="13"/>
  <c r="Q339" i="13"/>
  <c r="J340" i="13"/>
  <c r="K340" i="13"/>
  <c r="L340" i="13"/>
  <c r="M340" i="13"/>
  <c r="N340" i="13"/>
  <c r="O340" i="13"/>
  <c r="P340" i="13"/>
  <c r="Q340" i="13"/>
  <c r="J341" i="13"/>
  <c r="K341" i="13"/>
  <c r="L341" i="13"/>
  <c r="M341" i="13"/>
  <c r="N341" i="13"/>
  <c r="O341" i="13"/>
  <c r="P341" i="13"/>
  <c r="Q341" i="13"/>
  <c r="J342" i="13"/>
  <c r="K342" i="13"/>
  <c r="L342" i="13"/>
  <c r="M342" i="13"/>
  <c r="N342" i="13"/>
  <c r="O342" i="13"/>
  <c r="P342" i="13"/>
  <c r="Q342" i="13"/>
  <c r="J343" i="13"/>
  <c r="K343" i="13"/>
  <c r="L343" i="13"/>
  <c r="M343" i="13"/>
  <c r="N343" i="13"/>
  <c r="O343" i="13"/>
  <c r="P343" i="13"/>
  <c r="Q343" i="13"/>
  <c r="J344" i="13"/>
  <c r="K344" i="13"/>
  <c r="L344" i="13"/>
  <c r="M344" i="13"/>
  <c r="N344" i="13"/>
  <c r="O344" i="13"/>
  <c r="P344" i="13"/>
  <c r="Q344" i="13"/>
  <c r="J345" i="13"/>
  <c r="K345" i="13"/>
  <c r="L345" i="13"/>
  <c r="M345" i="13"/>
  <c r="N345" i="13"/>
  <c r="O345" i="13"/>
  <c r="P345" i="13"/>
  <c r="Q345" i="13"/>
  <c r="J346" i="13"/>
  <c r="K346" i="13"/>
  <c r="L346" i="13"/>
  <c r="M346" i="13"/>
  <c r="N346" i="13"/>
  <c r="O346" i="13"/>
  <c r="P346" i="13"/>
  <c r="Q346" i="13"/>
  <c r="J347" i="13"/>
  <c r="K347" i="13"/>
  <c r="L347" i="13"/>
  <c r="M347" i="13"/>
  <c r="N347" i="13"/>
  <c r="O347" i="13"/>
  <c r="P347" i="13"/>
  <c r="Q347" i="13"/>
  <c r="J348" i="13"/>
  <c r="K348" i="13"/>
  <c r="L348" i="13"/>
  <c r="M348" i="13"/>
  <c r="N348" i="13"/>
  <c r="O348" i="13"/>
  <c r="P348" i="13"/>
  <c r="Q348" i="13"/>
  <c r="J349" i="13"/>
  <c r="K349" i="13"/>
  <c r="L349" i="13"/>
  <c r="M349" i="13"/>
  <c r="N349" i="13"/>
  <c r="O349" i="13"/>
  <c r="P349" i="13"/>
  <c r="Q349" i="13"/>
  <c r="J350" i="13"/>
  <c r="K350" i="13"/>
  <c r="L350" i="13"/>
  <c r="M350" i="13"/>
  <c r="N350" i="13"/>
  <c r="O350" i="13"/>
  <c r="P350" i="13"/>
  <c r="Q350" i="13"/>
  <c r="J351" i="13"/>
  <c r="K351" i="13"/>
  <c r="L351" i="13"/>
  <c r="M351" i="13"/>
  <c r="N351" i="13"/>
  <c r="O351" i="13"/>
  <c r="P351" i="13"/>
  <c r="Q351" i="13"/>
  <c r="J352" i="13"/>
  <c r="K352" i="13"/>
  <c r="L352" i="13"/>
  <c r="M352" i="13"/>
  <c r="N352" i="13"/>
  <c r="O352" i="13"/>
  <c r="P352" i="13"/>
  <c r="Q352" i="13"/>
  <c r="J353" i="13"/>
  <c r="K353" i="13"/>
  <c r="L353" i="13"/>
  <c r="M353" i="13"/>
  <c r="N353" i="13"/>
  <c r="O353" i="13"/>
  <c r="P353" i="13"/>
  <c r="Q353" i="13"/>
  <c r="J354" i="13"/>
  <c r="K354" i="13"/>
  <c r="L354" i="13"/>
  <c r="M354" i="13"/>
  <c r="N354" i="13"/>
  <c r="O354" i="13"/>
  <c r="P354" i="13"/>
  <c r="Q354" i="13"/>
  <c r="J355" i="13"/>
  <c r="K355" i="13"/>
  <c r="L355" i="13"/>
  <c r="M355" i="13"/>
  <c r="N355" i="13"/>
  <c r="O355" i="13"/>
  <c r="P355" i="13"/>
  <c r="Q355" i="13"/>
  <c r="J356" i="13"/>
  <c r="K356" i="13"/>
  <c r="L356" i="13"/>
  <c r="M356" i="13"/>
  <c r="N356" i="13"/>
  <c r="O356" i="13"/>
  <c r="P356" i="13"/>
  <c r="Q356" i="13"/>
  <c r="J357" i="13"/>
  <c r="K357" i="13"/>
  <c r="L357" i="13"/>
  <c r="M357" i="13"/>
  <c r="N357" i="13"/>
  <c r="O357" i="13"/>
  <c r="P357" i="13"/>
  <c r="Q357" i="13"/>
  <c r="J358" i="13"/>
  <c r="K358" i="13"/>
  <c r="L358" i="13"/>
  <c r="M358" i="13"/>
  <c r="N358" i="13"/>
  <c r="O358" i="13"/>
  <c r="P358" i="13"/>
  <c r="Q358" i="13"/>
  <c r="J359" i="13"/>
  <c r="K359" i="13"/>
  <c r="L359" i="13"/>
  <c r="M359" i="13"/>
  <c r="N359" i="13"/>
  <c r="O359" i="13"/>
  <c r="P359" i="13"/>
  <c r="Q359" i="13"/>
  <c r="J360" i="13"/>
  <c r="K360" i="13"/>
  <c r="L360" i="13"/>
  <c r="M360" i="13"/>
  <c r="N360" i="13"/>
  <c r="O360" i="13"/>
  <c r="P360" i="13"/>
  <c r="Q360" i="13"/>
  <c r="J361" i="13"/>
  <c r="K361" i="13"/>
  <c r="L361" i="13"/>
  <c r="M361" i="13"/>
  <c r="N361" i="13"/>
  <c r="O361" i="13"/>
  <c r="P361" i="13"/>
  <c r="Q361" i="13"/>
  <c r="J362" i="13"/>
  <c r="K362" i="13"/>
  <c r="L362" i="13"/>
  <c r="M362" i="13"/>
  <c r="N362" i="13"/>
  <c r="O362" i="13"/>
  <c r="P362" i="13"/>
  <c r="Q362" i="13"/>
  <c r="J363" i="13"/>
  <c r="K363" i="13"/>
  <c r="L363" i="13"/>
  <c r="M363" i="13"/>
  <c r="N363" i="13"/>
  <c r="O363" i="13"/>
  <c r="P363" i="13"/>
  <c r="Q363" i="13"/>
  <c r="J364" i="13"/>
  <c r="K364" i="13"/>
  <c r="L364" i="13"/>
  <c r="M364" i="13"/>
  <c r="N364" i="13"/>
  <c r="O364" i="13"/>
  <c r="P364" i="13"/>
  <c r="Q364" i="13"/>
  <c r="J365" i="13"/>
  <c r="K365" i="13"/>
  <c r="L365" i="13"/>
  <c r="M365" i="13"/>
  <c r="N365" i="13"/>
  <c r="O365" i="13"/>
  <c r="P365" i="13"/>
  <c r="Q365" i="13"/>
  <c r="J366" i="13"/>
  <c r="K366" i="13"/>
  <c r="L366" i="13"/>
  <c r="M366" i="13"/>
  <c r="N366" i="13"/>
  <c r="O366" i="13"/>
  <c r="P366" i="13"/>
  <c r="Q366" i="13"/>
  <c r="J367" i="13"/>
  <c r="K367" i="13"/>
  <c r="L367" i="13"/>
  <c r="M367" i="13"/>
  <c r="N367" i="13"/>
  <c r="O367" i="13"/>
  <c r="P367" i="13"/>
  <c r="Q367" i="13"/>
  <c r="J368" i="13"/>
  <c r="K368" i="13"/>
  <c r="L368" i="13"/>
  <c r="M368" i="13"/>
  <c r="N368" i="13"/>
  <c r="O368" i="13"/>
  <c r="P368" i="13"/>
  <c r="Q368" i="13"/>
  <c r="J369" i="13"/>
  <c r="K369" i="13"/>
  <c r="L369" i="13"/>
  <c r="M369" i="13"/>
  <c r="N369" i="13"/>
  <c r="O369" i="13"/>
  <c r="P369" i="13"/>
  <c r="Q369" i="13"/>
  <c r="J370" i="13"/>
  <c r="K370" i="13"/>
  <c r="L370" i="13"/>
  <c r="M370" i="13"/>
  <c r="N370" i="13"/>
  <c r="O370" i="13"/>
  <c r="P370" i="13"/>
  <c r="Q370" i="13"/>
  <c r="J371" i="13"/>
  <c r="K371" i="13"/>
  <c r="L371" i="13"/>
  <c r="M371" i="13"/>
  <c r="N371" i="13"/>
  <c r="O371" i="13"/>
  <c r="P371" i="13"/>
  <c r="Q371" i="13"/>
  <c r="J372" i="13"/>
  <c r="K372" i="13"/>
  <c r="L372" i="13"/>
  <c r="M372" i="13"/>
  <c r="N372" i="13"/>
  <c r="O372" i="13"/>
  <c r="P372" i="13"/>
  <c r="Q372" i="13"/>
  <c r="J373" i="13"/>
  <c r="K373" i="13"/>
  <c r="L373" i="13"/>
  <c r="M373" i="13"/>
  <c r="N373" i="13"/>
  <c r="O373" i="13"/>
  <c r="P373" i="13"/>
  <c r="Q373" i="13"/>
  <c r="J374" i="13"/>
  <c r="K374" i="13"/>
  <c r="L374" i="13"/>
  <c r="M374" i="13"/>
  <c r="N374" i="13"/>
  <c r="O374" i="13"/>
  <c r="P374" i="13"/>
  <c r="Q374" i="13"/>
  <c r="J375" i="13"/>
  <c r="K375" i="13"/>
  <c r="L375" i="13"/>
  <c r="M375" i="13"/>
  <c r="N375" i="13"/>
  <c r="O375" i="13"/>
  <c r="P375" i="13"/>
  <c r="Q375" i="13"/>
  <c r="J376" i="13"/>
  <c r="K376" i="13"/>
  <c r="L376" i="13"/>
  <c r="M376" i="13"/>
  <c r="N376" i="13"/>
  <c r="O376" i="13"/>
  <c r="P376" i="13"/>
  <c r="Q376" i="13"/>
  <c r="J377" i="13"/>
  <c r="K377" i="13"/>
  <c r="L377" i="13"/>
  <c r="M377" i="13"/>
  <c r="N377" i="13"/>
  <c r="O377" i="13"/>
  <c r="P377" i="13"/>
  <c r="Q377" i="13"/>
  <c r="J378" i="13"/>
  <c r="K378" i="13"/>
  <c r="L378" i="13"/>
  <c r="M378" i="13"/>
  <c r="N378" i="13"/>
  <c r="O378" i="13"/>
  <c r="P378" i="13"/>
  <c r="Q378" i="13"/>
  <c r="J379" i="13"/>
  <c r="K379" i="13"/>
  <c r="L379" i="13"/>
  <c r="M379" i="13"/>
  <c r="N379" i="13"/>
  <c r="O379" i="13"/>
  <c r="P379" i="13"/>
  <c r="Q379" i="13"/>
  <c r="J380" i="13"/>
  <c r="K380" i="13"/>
  <c r="L380" i="13"/>
  <c r="M380" i="13"/>
  <c r="N380" i="13"/>
  <c r="O380" i="13"/>
  <c r="P380" i="13"/>
  <c r="Q380" i="13"/>
  <c r="J381" i="13"/>
  <c r="K381" i="13"/>
  <c r="L381" i="13"/>
  <c r="M381" i="13"/>
  <c r="N381" i="13"/>
  <c r="O381" i="13"/>
  <c r="P381" i="13"/>
  <c r="Q381" i="13"/>
  <c r="J382" i="13"/>
  <c r="K382" i="13"/>
  <c r="L382" i="13"/>
  <c r="M382" i="13"/>
  <c r="N382" i="13"/>
  <c r="O382" i="13"/>
  <c r="P382" i="13"/>
  <c r="Q382" i="13"/>
  <c r="J383" i="13"/>
  <c r="K383" i="13"/>
  <c r="L383" i="13"/>
  <c r="M383" i="13"/>
  <c r="N383" i="13"/>
  <c r="O383" i="13"/>
  <c r="P383" i="13"/>
  <c r="Q383" i="13"/>
  <c r="J384" i="13"/>
  <c r="K384" i="13"/>
  <c r="L384" i="13"/>
  <c r="M384" i="13"/>
  <c r="N384" i="13"/>
  <c r="O384" i="13"/>
  <c r="P384" i="13"/>
  <c r="Q384" i="13"/>
  <c r="J385" i="13"/>
  <c r="K385" i="13"/>
  <c r="L385" i="13"/>
  <c r="M385" i="13"/>
  <c r="N385" i="13"/>
  <c r="O385" i="13"/>
  <c r="P385" i="13"/>
  <c r="Q385" i="13"/>
  <c r="J386" i="13"/>
  <c r="K386" i="13"/>
  <c r="L386" i="13"/>
  <c r="M386" i="13"/>
  <c r="N386" i="13"/>
  <c r="O386" i="13"/>
  <c r="P386" i="13"/>
  <c r="Q386" i="13"/>
  <c r="J387" i="13"/>
  <c r="K387" i="13"/>
  <c r="L387" i="13"/>
  <c r="M387" i="13"/>
  <c r="N387" i="13"/>
  <c r="O387" i="13"/>
  <c r="P387" i="13"/>
  <c r="Q387" i="13"/>
  <c r="J388" i="13"/>
  <c r="K388" i="13"/>
  <c r="L388" i="13"/>
  <c r="M388" i="13"/>
  <c r="N388" i="13"/>
  <c r="O388" i="13"/>
  <c r="P388" i="13"/>
  <c r="Q388" i="13"/>
  <c r="J389" i="13"/>
  <c r="K389" i="13"/>
  <c r="L389" i="13"/>
  <c r="M389" i="13"/>
  <c r="N389" i="13"/>
  <c r="O389" i="13"/>
  <c r="P389" i="13"/>
  <c r="Q389" i="13"/>
  <c r="J390" i="13"/>
  <c r="K390" i="13"/>
  <c r="L390" i="13"/>
  <c r="M390" i="13"/>
  <c r="N390" i="13"/>
  <c r="O390" i="13"/>
  <c r="P390" i="13"/>
  <c r="Q390" i="13"/>
  <c r="J391" i="13"/>
  <c r="K391" i="13"/>
  <c r="L391" i="13"/>
  <c r="M391" i="13"/>
  <c r="N391" i="13"/>
  <c r="O391" i="13"/>
  <c r="P391" i="13"/>
  <c r="Q391" i="13"/>
  <c r="J392" i="13"/>
  <c r="K392" i="13"/>
  <c r="L392" i="13"/>
  <c r="M392" i="13"/>
  <c r="N392" i="13"/>
  <c r="O392" i="13"/>
  <c r="P392" i="13"/>
  <c r="Q392" i="13"/>
  <c r="J393" i="13"/>
  <c r="K393" i="13"/>
  <c r="L393" i="13"/>
  <c r="M393" i="13"/>
  <c r="N393" i="13"/>
  <c r="O393" i="13"/>
  <c r="P393" i="13"/>
  <c r="Q393" i="13"/>
  <c r="J394" i="13"/>
  <c r="K394" i="13"/>
  <c r="L394" i="13"/>
  <c r="M394" i="13"/>
  <c r="N394" i="13"/>
  <c r="O394" i="13"/>
  <c r="P394" i="13"/>
  <c r="Q394" i="13"/>
  <c r="J395" i="13"/>
  <c r="K395" i="13"/>
  <c r="L395" i="13"/>
  <c r="M395" i="13"/>
  <c r="N395" i="13"/>
  <c r="O395" i="13"/>
  <c r="P395" i="13"/>
  <c r="Q395" i="13"/>
  <c r="J396" i="13"/>
  <c r="K396" i="13"/>
  <c r="L396" i="13"/>
  <c r="M396" i="13"/>
  <c r="N396" i="13"/>
  <c r="O396" i="13"/>
  <c r="P396" i="13"/>
  <c r="Q396" i="13"/>
  <c r="J397" i="13"/>
  <c r="K397" i="13"/>
  <c r="L397" i="13"/>
  <c r="M397" i="13"/>
  <c r="N397" i="13"/>
  <c r="O397" i="13"/>
  <c r="P397" i="13"/>
  <c r="Q397" i="13"/>
  <c r="J398" i="13"/>
  <c r="K398" i="13"/>
  <c r="L398" i="13"/>
  <c r="M398" i="13"/>
  <c r="N398" i="13"/>
  <c r="O398" i="13"/>
  <c r="P398" i="13"/>
  <c r="Q398" i="13"/>
  <c r="J399" i="13"/>
  <c r="K399" i="13"/>
  <c r="L399" i="13"/>
  <c r="M399" i="13"/>
  <c r="N399" i="13"/>
  <c r="O399" i="13"/>
  <c r="P399" i="13"/>
  <c r="Q399" i="13"/>
  <c r="J400" i="13"/>
  <c r="K400" i="13"/>
  <c r="L400" i="13"/>
  <c r="M400" i="13"/>
  <c r="N400" i="13"/>
  <c r="O400" i="13"/>
  <c r="P400" i="13"/>
  <c r="Q400" i="13"/>
  <c r="J401" i="13"/>
  <c r="K401" i="13"/>
  <c r="L401" i="13"/>
  <c r="M401" i="13"/>
  <c r="N401" i="13"/>
  <c r="O401" i="13"/>
  <c r="P401" i="13"/>
  <c r="Q401" i="13"/>
  <c r="J402" i="13"/>
  <c r="K402" i="13"/>
  <c r="L402" i="13"/>
  <c r="M402" i="13"/>
  <c r="N402" i="13"/>
  <c r="O402" i="13"/>
  <c r="P402" i="13"/>
  <c r="Q402" i="13"/>
  <c r="J403" i="13"/>
  <c r="K403" i="13"/>
  <c r="L403" i="13"/>
  <c r="M403" i="13"/>
  <c r="N403" i="13"/>
  <c r="O403" i="13"/>
  <c r="P403" i="13"/>
  <c r="Q403" i="13"/>
  <c r="J404" i="13"/>
  <c r="K404" i="13"/>
  <c r="L404" i="13"/>
  <c r="M404" i="13"/>
  <c r="N404" i="13"/>
  <c r="O404" i="13"/>
  <c r="P404" i="13"/>
  <c r="Q404" i="13"/>
  <c r="J405" i="13"/>
  <c r="K405" i="13"/>
  <c r="L405" i="13"/>
  <c r="M405" i="13"/>
  <c r="N405" i="13"/>
  <c r="O405" i="13"/>
  <c r="P405" i="13"/>
  <c r="Q405" i="13"/>
  <c r="J406" i="13"/>
  <c r="K406" i="13"/>
  <c r="L406" i="13"/>
  <c r="M406" i="13"/>
  <c r="N406" i="13"/>
  <c r="O406" i="13"/>
  <c r="P406" i="13"/>
  <c r="Q406" i="13"/>
  <c r="J407" i="13"/>
  <c r="K407" i="13"/>
  <c r="L407" i="13"/>
  <c r="M407" i="13"/>
  <c r="N407" i="13"/>
  <c r="O407" i="13"/>
  <c r="P407" i="13"/>
  <c r="Q407" i="13"/>
  <c r="J408" i="13"/>
  <c r="K408" i="13"/>
  <c r="L408" i="13"/>
  <c r="M408" i="13"/>
  <c r="N408" i="13"/>
  <c r="O408" i="13"/>
  <c r="P408" i="13"/>
  <c r="Q408" i="13"/>
  <c r="J409" i="13"/>
  <c r="K409" i="13"/>
  <c r="L409" i="13"/>
  <c r="M409" i="13"/>
  <c r="N409" i="13"/>
  <c r="O409" i="13"/>
  <c r="P409" i="13"/>
  <c r="Q409" i="13"/>
  <c r="J410" i="13"/>
  <c r="K410" i="13"/>
  <c r="L410" i="13"/>
  <c r="M410" i="13"/>
  <c r="N410" i="13"/>
  <c r="O410" i="13"/>
  <c r="P410" i="13"/>
  <c r="Q410" i="13"/>
  <c r="J411" i="13"/>
  <c r="K411" i="13"/>
  <c r="L411" i="13"/>
  <c r="M411" i="13"/>
  <c r="N411" i="13"/>
  <c r="O411" i="13"/>
  <c r="P411" i="13"/>
  <c r="Q411" i="13"/>
  <c r="J412" i="13"/>
  <c r="K412" i="13"/>
  <c r="L412" i="13"/>
  <c r="M412" i="13"/>
  <c r="N412" i="13"/>
  <c r="O412" i="13"/>
  <c r="P412" i="13"/>
  <c r="Q412" i="13"/>
  <c r="J413" i="13"/>
  <c r="K413" i="13"/>
  <c r="L413" i="13"/>
  <c r="M413" i="13"/>
  <c r="N413" i="13"/>
  <c r="O413" i="13"/>
  <c r="P413" i="13"/>
  <c r="Q413" i="13"/>
  <c r="J414" i="13"/>
  <c r="K414" i="13"/>
  <c r="L414" i="13"/>
  <c r="M414" i="13"/>
  <c r="N414" i="13"/>
  <c r="O414" i="13"/>
  <c r="P414" i="13"/>
  <c r="Q414" i="13"/>
  <c r="J415" i="13"/>
  <c r="K415" i="13"/>
  <c r="L415" i="13"/>
  <c r="M415" i="13"/>
  <c r="N415" i="13"/>
  <c r="O415" i="13"/>
  <c r="P415" i="13"/>
  <c r="Q415" i="13"/>
  <c r="J416" i="13"/>
  <c r="K416" i="13"/>
  <c r="L416" i="13"/>
  <c r="M416" i="13"/>
  <c r="N416" i="13"/>
  <c r="O416" i="13"/>
  <c r="P416" i="13"/>
  <c r="Q416" i="13"/>
  <c r="J417" i="13"/>
  <c r="K417" i="13"/>
  <c r="L417" i="13"/>
  <c r="M417" i="13"/>
  <c r="N417" i="13"/>
  <c r="O417" i="13"/>
  <c r="P417" i="13"/>
  <c r="Q417" i="13"/>
  <c r="J418" i="13"/>
  <c r="K418" i="13"/>
  <c r="L418" i="13"/>
  <c r="M418" i="13"/>
  <c r="N418" i="13"/>
  <c r="O418" i="13"/>
  <c r="P418" i="13"/>
  <c r="Q418" i="13"/>
  <c r="J419" i="13"/>
  <c r="K419" i="13"/>
  <c r="L419" i="13"/>
  <c r="M419" i="13"/>
  <c r="N419" i="13"/>
  <c r="O419" i="13"/>
  <c r="P419" i="13"/>
  <c r="Q419" i="13"/>
  <c r="J420" i="13"/>
  <c r="K420" i="13"/>
  <c r="L420" i="13"/>
  <c r="M420" i="13"/>
  <c r="N420" i="13"/>
  <c r="O420" i="13"/>
  <c r="P420" i="13"/>
  <c r="Q420" i="13"/>
  <c r="J421" i="13"/>
  <c r="K421" i="13"/>
  <c r="L421" i="13"/>
  <c r="M421" i="13"/>
  <c r="N421" i="13"/>
  <c r="O421" i="13"/>
  <c r="P421" i="13"/>
  <c r="Q421" i="13"/>
  <c r="J422" i="13"/>
  <c r="K422" i="13"/>
  <c r="L422" i="13"/>
  <c r="M422" i="13"/>
  <c r="N422" i="13"/>
  <c r="O422" i="13"/>
  <c r="P422" i="13"/>
  <c r="Q422" i="13"/>
  <c r="J423" i="13"/>
  <c r="K423" i="13"/>
  <c r="L423" i="13"/>
  <c r="M423" i="13"/>
  <c r="N423" i="13"/>
  <c r="O423" i="13"/>
  <c r="P423" i="13"/>
  <c r="Q423" i="13"/>
  <c r="J424" i="13"/>
  <c r="K424" i="13"/>
  <c r="L424" i="13"/>
  <c r="M424" i="13"/>
  <c r="N424" i="13"/>
  <c r="O424" i="13"/>
  <c r="P424" i="13"/>
  <c r="Q424" i="13"/>
  <c r="J425" i="13"/>
  <c r="K425" i="13"/>
  <c r="L425" i="13"/>
  <c r="M425" i="13"/>
  <c r="N425" i="13"/>
  <c r="O425" i="13"/>
  <c r="P425" i="13"/>
  <c r="Q425" i="13"/>
  <c r="J426" i="13"/>
  <c r="K426" i="13"/>
  <c r="L426" i="13"/>
  <c r="M426" i="13"/>
  <c r="N426" i="13"/>
  <c r="O426" i="13"/>
  <c r="P426" i="13"/>
  <c r="Q426" i="13"/>
  <c r="J427" i="13"/>
  <c r="K427" i="13"/>
  <c r="L427" i="13"/>
  <c r="M427" i="13"/>
  <c r="N427" i="13"/>
  <c r="O427" i="13"/>
  <c r="P427" i="13"/>
  <c r="Q427" i="13"/>
  <c r="J428" i="13"/>
  <c r="K428" i="13"/>
  <c r="L428" i="13"/>
  <c r="M428" i="13"/>
  <c r="N428" i="13"/>
  <c r="O428" i="13"/>
  <c r="P428" i="13"/>
  <c r="Q428" i="13"/>
  <c r="J429" i="13"/>
  <c r="K429" i="13"/>
  <c r="L429" i="13"/>
  <c r="M429" i="13"/>
  <c r="N429" i="13"/>
  <c r="O429" i="13"/>
  <c r="P429" i="13"/>
  <c r="Q429" i="13"/>
  <c r="J430" i="13"/>
  <c r="K430" i="13"/>
  <c r="L430" i="13"/>
  <c r="M430" i="13"/>
  <c r="N430" i="13"/>
  <c r="O430" i="13"/>
  <c r="P430" i="13"/>
  <c r="Q430" i="13"/>
  <c r="J431" i="13"/>
  <c r="K431" i="13"/>
  <c r="L431" i="13"/>
  <c r="M431" i="13"/>
  <c r="N431" i="13"/>
  <c r="O431" i="13"/>
  <c r="P431" i="13"/>
  <c r="Q431" i="13"/>
  <c r="J432" i="13"/>
  <c r="K432" i="13"/>
  <c r="L432" i="13"/>
  <c r="M432" i="13"/>
  <c r="N432" i="13"/>
  <c r="O432" i="13"/>
  <c r="P432" i="13"/>
  <c r="Q432" i="13"/>
  <c r="J433" i="13"/>
  <c r="K433" i="13"/>
  <c r="L433" i="13"/>
  <c r="M433" i="13"/>
  <c r="N433" i="13"/>
  <c r="O433" i="13"/>
  <c r="P433" i="13"/>
  <c r="Q433" i="13"/>
  <c r="J434" i="13"/>
  <c r="K434" i="13"/>
  <c r="L434" i="13"/>
  <c r="M434" i="13"/>
  <c r="N434" i="13"/>
  <c r="O434" i="13"/>
  <c r="P434" i="13"/>
  <c r="Q434" i="13"/>
  <c r="J435" i="13"/>
  <c r="K435" i="13"/>
  <c r="L435" i="13"/>
  <c r="M435" i="13"/>
  <c r="N435" i="13"/>
  <c r="O435" i="13"/>
  <c r="P435" i="13"/>
  <c r="Q435" i="13"/>
  <c r="J436" i="13"/>
  <c r="K436" i="13"/>
  <c r="L436" i="13"/>
  <c r="M436" i="13"/>
  <c r="N436" i="13"/>
  <c r="O436" i="13"/>
  <c r="P436" i="13"/>
  <c r="Q436" i="13"/>
  <c r="J437" i="13"/>
  <c r="K437" i="13"/>
  <c r="L437" i="13"/>
  <c r="M437" i="13"/>
  <c r="N437" i="13"/>
  <c r="O437" i="13"/>
  <c r="P437" i="13"/>
  <c r="Q437" i="13"/>
  <c r="J438" i="13"/>
  <c r="K438" i="13"/>
  <c r="L438" i="13"/>
  <c r="M438" i="13"/>
  <c r="N438" i="13"/>
  <c r="O438" i="13"/>
  <c r="P438" i="13"/>
  <c r="Q438" i="13"/>
  <c r="J439" i="13"/>
  <c r="K439" i="13"/>
  <c r="L439" i="13"/>
  <c r="M439" i="13"/>
  <c r="N439" i="13"/>
  <c r="O439" i="13"/>
  <c r="P439" i="13"/>
  <c r="Q439" i="13"/>
  <c r="J440" i="13"/>
  <c r="K440" i="13"/>
  <c r="L440" i="13"/>
  <c r="M440" i="13"/>
  <c r="N440" i="13"/>
  <c r="O440" i="13"/>
  <c r="P440" i="13"/>
  <c r="Q440" i="13"/>
  <c r="J441" i="13"/>
  <c r="K441" i="13"/>
  <c r="L441" i="13"/>
  <c r="M441" i="13"/>
  <c r="N441" i="13"/>
  <c r="O441" i="13"/>
  <c r="P441" i="13"/>
  <c r="Q441" i="13"/>
  <c r="J442" i="13"/>
  <c r="K442" i="13"/>
  <c r="L442" i="13"/>
  <c r="M442" i="13"/>
  <c r="N442" i="13"/>
  <c r="O442" i="13"/>
  <c r="P442" i="13"/>
  <c r="Q442" i="13"/>
  <c r="J443" i="13"/>
  <c r="K443" i="13"/>
  <c r="L443" i="13"/>
  <c r="M443" i="13"/>
  <c r="N443" i="13"/>
  <c r="O443" i="13"/>
  <c r="P443" i="13"/>
  <c r="Q443" i="13"/>
  <c r="J444" i="13"/>
  <c r="K444" i="13"/>
  <c r="L444" i="13"/>
  <c r="M444" i="13"/>
  <c r="N444" i="13"/>
  <c r="O444" i="13"/>
  <c r="P444" i="13"/>
  <c r="Q444" i="13"/>
  <c r="J445" i="13"/>
  <c r="K445" i="13"/>
  <c r="L445" i="13"/>
  <c r="M445" i="13"/>
  <c r="N445" i="13"/>
  <c r="O445" i="13"/>
  <c r="P445" i="13"/>
  <c r="Q445" i="13"/>
  <c r="J446" i="13"/>
  <c r="K446" i="13"/>
  <c r="L446" i="13"/>
  <c r="M446" i="13"/>
  <c r="N446" i="13"/>
  <c r="O446" i="13"/>
  <c r="P446" i="13"/>
  <c r="Q446" i="13"/>
  <c r="J447" i="13"/>
  <c r="K447" i="13"/>
  <c r="L447" i="13"/>
  <c r="M447" i="13"/>
  <c r="N447" i="13"/>
  <c r="O447" i="13"/>
  <c r="P447" i="13"/>
  <c r="Q447" i="13"/>
  <c r="J448" i="13"/>
  <c r="K448" i="13"/>
  <c r="L448" i="13"/>
  <c r="M448" i="13"/>
  <c r="N448" i="13"/>
  <c r="O448" i="13"/>
  <c r="P448" i="13"/>
  <c r="Q448" i="13"/>
  <c r="J449" i="13"/>
  <c r="K449" i="13"/>
  <c r="L449" i="13"/>
  <c r="M449" i="13"/>
  <c r="N449" i="13"/>
  <c r="O449" i="13"/>
  <c r="P449" i="13"/>
  <c r="Q449" i="13"/>
  <c r="J450" i="13"/>
  <c r="K450" i="13"/>
  <c r="L450" i="13"/>
  <c r="M450" i="13"/>
  <c r="N450" i="13"/>
  <c r="O450" i="13"/>
  <c r="P450" i="13"/>
  <c r="Q450" i="13"/>
  <c r="J451" i="13"/>
  <c r="K451" i="13"/>
  <c r="L451" i="13"/>
  <c r="M451" i="13"/>
  <c r="N451" i="13"/>
  <c r="O451" i="13"/>
  <c r="P451" i="13"/>
  <c r="Q451" i="13"/>
  <c r="J452" i="13"/>
  <c r="K452" i="13"/>
  <c r="L452" i="13"/>
  <c r="M452" i="13"/>
  <c r="N452" i="13"/>
  <c r="O452" i="13"/>
  <c r="P452" i="13"/>
  <c r="Q452" i="13"/>
  <c r="J453" i="13"/>
  <c r="K453" i="13"/>
  <c r="L453" i="13"/>
  <c r="M453" i="13"/>
  <c r="N453" i="13"/>
  <c r="O453" i="13"/>
  <c r="P453" i="13"/>
  <c r="Q453" i="13"/>
  <c r="J454" i="13"/>
  <c r="K454" i="13"/>
  <c r="L454" i="13"/>
  <c r="M454" i="13"/>
  <c r="N454" i="13"/>
  <c r="O454" i="13"/>
  <c r="P454" i="13"/>
  <c r="Q454" i="13"/>
  <c r="J455" i="13"/>
  <c r="K455" i="13"/>
  <c r="L455" i="13"/>
  <c r="M455" i="13"/>
  <c r="N455" i="13"/>
  <c r="O455" i="13"/>
  <c r="P455" i="13"/>
  <c r="Q455" i="13"/>
  <c r="J456" i="13"/>
  <c r="K456" i="13"/>
  <c r="L456" i="13"/>
  <c r="M456" i="13"/>
  <c r="N456" i="13"/>
  <c r="O456" i="13"/>
  <c r="P456" i="13"/>
  <c r="Q456" i="13"/>
  <c r="J457" i="13"/>
  <c r="K457" i="13"/>
  <c r="L457" i="13"/>
  <c r="M457" i="13"/>
  <c r="N457" i="13"/>
  <c r="O457" i="13"/>
  <c r="P457" i="13"/>
  <c r="Q457" i="13"/>
  <c r="J458" i="13"/>
  <c r="K458" i="13"/>
  <c r="L458" i="13"/>
  <c r="M458" i="13"/>
  <c r="N458" i="13"/>
  <c r="O458" i="13"/>
  <c r="P458" i="13"/>
  <c r="Q458" i="13"/>
  <c r="J459" i="13"/>
  <c r="K459" i="13"/>
  <c r="L459" i="13"/>
  <c r="M459" i="13"/>
  <c r="N459" i="13"/>
  <c r="O459" i="13"/>
  <c r="P459" i="13"/>
  <c r="Q459" i="13"/>
  <c r="J460" i="13"/>
  <c r="K460" i="13"/>
  <c r="L460" i="13"/>
  <c r="M460" i="13"/>
  <c r="N460" i="13"/>
  <c r="O460" i="13"/>
  <c r="P460" i="13"/>
  <c r="Q460" i="13"/>
  <c r="J461" i="13"/>
  <c r="K461" i="13"/>
  <c r="L461" i="13"/>
  <c r="M461" i="13"/>
  <c r="N461" i="13"/>
  <c r="O461" i="13"/>
  <c r="P461" i="13"/>
  <c r="Q461" i="13"/>
  <c r="J462" i="13"/>
  <c r="K462" i="13"/>
  <c r="L462" i="13"/>
  <c r="M462" i="13"/>
  <c r="N462" i="13"/>
  <c r="O462" i="13"/>
  <c r="P462" i="13"/>
  <c r="Q462" i="13"/>
  <c r="J463" i="13"/>
  <c r="K463" i="13"/>
  <c r="L463" i="13"/>
  <c r="M463" i="13"/>
  <c r="N463" i="13"/>
  <c r="O463" i="13"/>
  <c r="P463" i="13"/>
  <c r="Q463" i="13"/>
  <c r="J464" i="13"/>
  <c r="K464" i="13"/>
  <c r="L464" i="13"/>
  <c r="M464" i="13"/>
  <c r="N464" i="13"/>
  <c r="O464" i="13"/>
  <c r="P464" i="13"/>
  <c r="Q464" i="13"/>
  <c r="J465" i="13"/>
  <c r="K465" i="13"/>
  <c r="L465" i="13"/>
  <c r="M465" i="13"/>
  <c r="N465" i="13"/>
  <c r="O465" i="13"/>
  <c r="P465" i="13"/>
  <c r="Q465" i="13"/>
  <c r="J466" i="13"/>
  <c r="K466" i="13"/>
  <c r="L466" i="13"/>
  <c r="M466" i="13"/>
  <c r="N466" i="13"/>
  <c r="O466" i="13"/>
  <c r="P466" i="13"/>
  <c r="Q466" i="13"/>
  <c r="J467" i="13"/>
  <c r="K467" i="13"/>
  <c r="L467" i="13"/>
  <c r="M467" i="13"/>
  <c r="N467" i="13"/>
  <c r="O467" i="13"/>
  <c r="P467" i="13"/>
  <c r="Q467" i="13"/>
  <c r="J468" i="13"/>
  <c r="K468" i="13"/>
  <c r="L468" i="13"/>
  <c r="M468" i="13"/>
  <c r="N468" i="13"/>
  <c r="O468" i="13"/>
  <c r="P468" i="13"/>
  <c r="Q468" i="13"/>
  <c r="J469" i="13"/>
  <c r="K469" i="13"/>
  <c r="L469" i="13"/>
  <c r="M469" i="13"/>
  <c r="N469" i="13"/>
  <c r="O469" i="13"/>
  <c r="P469" i="13"/>
  <c r="Q469" i="13"/>
  <c r="J470" i="13"/>
  <c r="K470" i="13"/>
  <c r="L470" i="13"/>
  <c r="M470" i="13"/>
  <c r="N470" i="13"/>
  <c r="O470" i="13"/>
  <c r="P470" i="13"/>
  <c r="Q470" i="13"/>
  <c r="J471" i="13"/>
  <c r="K471" i="13"/>
  <c r="L471" i="13"/>
  <c r="M471" i="13"/>
  <c r="N471" i="13"/>
  <c r="O471" i="13"/>
  <c r="P471" i="13"/>
  <c r="Q471" i="13"/>
  <c r="J472" i="13"/>
  <c r="K472" i="13"/>
  <c r="L472" i="13"/>
  <c r="M472" i="13"/>
  <c r="N472" i="13"/>
  <c r="O472" i="13"/>
  <c r="P472" i="13"/>
  <c r="Q472" i="13"/>
  <c r="J473" i="13"/>
  <c r="K473" i="13"/>
  <c r="L473" i="13"/>
  <c r="M473" i="13"/>
  <c r="N473" i="13"/>
  <c r="O473" i="13"/>
  <c r="P473" i="13"/>
  <c r="Q473" i="13"/>
  <c r="J474" i="13"/>
  <c r="K474" i="13"/>
  <c r="L474" i="13"/>
  <c r="M474" i="13"/>
  <c r="N474" i="13"/>
  <c r="O474" i="13"/>
  <c r="P474" i="13"/>
  <c r="Q474" i="13"/>
  <c r="J475" i="13"/>
  <c r="K475" i="13"/>
  <c r="L475" i="13"/>
  <c r="M475" i="13"/>
  <c r="N475" i="13"/>
  <c r="O475" i="13"/>
  <c r="P475" i="13"/>
  <c r="Q475" i="13"/>
  <c r="J476" i="13"/>
  <c r="K476" i="13"/>
  <c r="L476" i="13"/>
  <c r="M476" i="13"/>
  <c r="N476" i="13"/>
  <c r="O476" i="13"/>
  <c r="P476" i="13"/>
  <c r="Q476" i="13"/>
  <c r="J477" i="13"/>
  <c r="K477" i="13"/>
  <c r="L477" i="13"/>
  <c r="M477" i="13"/>
  <c r="N477" i="13"/>
  <c r="O477" i="13"/>
  <c r="P477" i="13"/>
  <c r="Q477" i="13"/>
  <c r="J478" i="13"/>
  <c r="K478" i="13"/>
  <c r="L478" i="13"/>
  <c r="M478" i="13"/>
  <c r="N478" i="13"/>
  <c r="O478" i="13"/>
  <c r="P478" i="13"/>
  <c r="Q478" i="13"/>
  <c r="J479" i="13"/>
  <c r="K479" i="13"/>
  <c r="L479" i="13"/>
  <c r="M479" i="13"/>
  <c r="N479" i="13"/>
  <c r="O479" i="13"/>
  <c r="P479" i="13"/>
  <c r="Q479" i="13"/>
  <c r="J480" i="13"/>
  <c r="K480" i="13"/>
  <c r="L480" i="13"/>
  <c r="M480" i="13"/>
  <c r="N480" i="13"/>
  <c r="O480" i="13"/>
  <c r="P480" i="13"/>
  <c r="Q480" i="13"/>
  <c r="J481" i="13"/>
  <c r="K481" i="13"/>
  <c r="L481" i="13"/>
  <c r="M481" i="13"/>
  <c r="N481" i="13"/>
  <c r="O481" i="13"/>
  <c r="P481" i="13"/>
  <c r="Q481" i="13"/>
  <c r="J482" i="13"/>
  <c r="K482" i="13"/>
  <c r="L482" i="13"/>
  <c r="M482" i="13"/>
  <c r="N482" i="13"/>
  <c r="O482" i="13"/>
  <c r="P482" i="13"/>
  <c r="Q482" i="13"/>
  <c r="J483" i="13"/>
  <c r="K483" i="13"/>
  <c r="L483" i="13"/>
  <c r="M483" i="13"/>
  <c r="N483" i="13"/>
  <c r="O483" i="13"/>
  <c r="P483" i="13"/>
  <c r="Q483" i="13"/>
  <c r="J484" i="13"/>
  <c r="K484" i="13"/>
  <c r="L484" i="13"/>
  <c r="M484" i="13"/>
  <c r="N484" i="13"/>
  <c r="O484" i="13"/>
  <c r="P484" i="13"/>
  <c r="Q484" i="13"/>
  <c r="J485" i="13"/>
  <c r="K485" i="13"/>
  <c r="L485" i="13"/>
  <c r="M485" i="13"/>
  <c r="N485" i="13"/>
  <c r="O485" i="13"/>
  <c r="P485" i="13"/>
  <c r="Q485" i="13"/>
  <c r="J486" i="13"/>
  <c r="K486" i="13"/>
  <c r="L486" i="13"/>
  <c r="M486" i="13"/>
  <c r="N486" i="13"/>
  <c r="O486" i="13"/>
  <c r="P486" i="13"/>
  <c r="Q486" i="13"/>
  <c r="J487" i="13"/>
  <c r="K487" i="13"/>
  <c r="L487" i="13"/>
  <c r="M487" i="13"/>
  <c r="N487" i="13"/>
  <c r="O487" i="13"/>
  <c r="P487" i="13"/>
  <c r="Q487" i="13"/>
  <c r="J488" i="13"/>
  <c r="K488" i="13"/>
  <c r="L488" i="13"/>
  <c r="M488" i="13"/>
  <c r="N488" i="13"/>
  <c r="O488" i="13"/>
  <c r="P488" i="13"/>
  <c r="Q488" i="13"/>
  <c r="J489" i="13"/>
  <c r="K489" i="13"/>
  <c r="L489" i="13"/>
  <c r="M489" i="13"/>
  <c r="N489" i="13"/>
  <c r="O489" i="13"/>
  <c r="P489" i="13"/>
  <c r="Q489" i="13"/>
  <c r="J490" i="13"/>
  <c r="K490" i="13"/>
  <c r="L490" i="13"/>
  <c r="M490" i="13"/>
  <c r="N490" i="13"/>
  <c r="O490" i="13"/>
  <c r="P490" i="13"/>
  <c r="Q490" i="13"/>
  <c r="J491" i="13"/>
  <c r="K491" i="13"/>
  <c r="L491" i="13"/>
  <c r="M491" i="13"/>
  <c r="N491" i="13"/>
  <c r="O491" i="13"/>
  <c r="P491" i="13"/>
  <c r="Q491" i="13"/>
  <c r="K3" i="13"/>
  <c r="L3" i="13"/>
  <c r="M3" i="13"/>
  <c r="N3" i="13"/>
  <c r="O3" i="13"/>
  <c r="P3" i="13"/>
  <c r="Q3" i="13"/>
  <c r="J3" i="13"/>
  <c r="F4" i="11"/>
  <c r="G4" i="11"/>
  <c r="H4" i="11"/>
  <c r="I4" i="11"/>
  <c r="F5" i="11"/>
  <c r="G5" i="11"/>
  <c r="H5" i="11"/>
  <c r="I5" i="11"/>
  <c r="F6" i="11"/>
  <c r="G6" i="11"/>
  <c r="H6" i="11"/>
  <c r="I6" i="11"/>
  <c r="F7" i="11"/>
  <c r="G7" i="11"/>
  <c r="H7" i="11"/>
  <c r="I7" i="11"/>
  <c r="F8" i="11"/>
  <c r="G8" i="11"/>
  <c r="H8" i="11"/>
  <c r="I8" i="11"/>
  <c r="F9" i="11"/>
  <c r="G9" i="11"/>
  <c r="H9" i="11"/>
  <c r="I9" i="11"/>
  <c r="F10" i="11"/>
  <c r="G10" i="11"/>
  <c r="H10" i="11"/>
  <c r="I10" i="11"/>
  <c r="F11" i="11"/>
  <c r="G11" i="11"/>
  <c r="H11" i="11"/>
  <c r="I11" i="11"/>
  <c r="F12" i="11"/>
  <c r="G12" i="11"/>
  <c r="H12" i="11"/>
  <c r="I12" i="11"/>
  <c r="F13" i="11"/>
  <c r="G13" i="11"/>
  <c r="H13" i="11"/>
  <c r="I13" i="11"/>
  <c r="F14" i="11"/>
  <c r="G14" i="11"/>
  <c r="H14" i="11"/>
  <c r="I14" i="11"/>
  <c r="F15" i="11"/>
  <c r="G15" i="11"/>
  <c r="H15" i="11"/>
  <c r="I15" i="11"/>
  <c r="F16" i="11"/>
  <c r="G16" i="11"/>
  <c r="H16" i="11"/>
  <c r="I16" i="11"/>
  <c r="F17" i="11"/>
  <c r="G17" i="11"/>
  <c r="H17" i="11"/>
  <c r="I17" i="11"/>
  <c r="F18" i="11"/>
  <c r="G18" i="11"/>
  <c r="H18" i="11"/>
  <c r="I18" i="11"/>
  <c r="F19" i="11"/>
  <c r="G19" i="11"/>
  <c r="H19" i="11"/>
  <c r="I19" i="11"/>
  <c r="F20" i="11"/>
  <c r="G20" i="11"/>
  <c r="H20" i="11"/>
  <c r="I20" i="11"/>
  <c r="F21" i="11"/>
  <c r="G21" i="11"/>
  <c r="H21" i="11"/>
  <c r="I21" i="11"/>
  <c r="F22" i="11"/>
  <c r="G22" i="11"/>
  <c r="H22" i="11"/>
  <c r="I22" i="11"/>
  <c r="F23" i="11"/>
  <c r="G23" i="11"/>
  <c r="H23" i="11"/>
  <c r="I23" i="11"/>
  <c r="F24" i="11"/>
  <c r="G24" i="11"/>
  <c r="H24" i="11"/>
  <c r="I24" i="11"/>
  <c r="F25" i="11"/>
  <c r="G25" i="11"/>
  <c r="H25" i="11"/>
  <c r="I25" i="11"/>
  <c r="F26" i="11"/>
  <c r="G26" i="11"/>
  <c r="H26" i="11"/>
  <c r="I26" i="11"/>
  <c r="F27" i="11"/>
  <c r="G27" i="11"/>
  <c r="H27" i="11"/>
  <c r="I27" i="11"/>
  <c r="F28" i="11"/>
  <c r="G28" i="11"/>
  <c r="H28" i="11"/>
  <c r="I28" i="11"/>
  <c r="F29" i="11"/>
  <c r="G29" i="11"/>
  <c r="H29" i="11"/>
  <c r="I29" i="11"/>
  <c r="F30" i="11"/>
  <c r="G30" i="11"/>
  <c r="H30" i="11"/>
  <c r="I30" i="11"/>
  <c r="F31" i="11"/>
  <c r="G31" i="11"/>
  <c r="H31" i="11"/>
  <c r="I31" i="11"/>
  <c r="F32" i="11"/>
  <c r="G32" i="11"/>
  <c r="H32" i="11"/>
  <c r="I32" i="11"/>
  <c r="F33" i="11"/>
  <c r="G33" i="11"/>
  <c r="H33" i="11"/>
  <c r="I33" i="11"/>
  <c r="F34" i="11"/>
  <c r="G34" i="11"/>
  <c r="H34" i="11"/>
  <c r="I34" i="11"/>
  <c r="F35" i="11"/>
  <c r="G35" i="11"/>
  <c r="H35" i="11"/>
  <c r="I35" i="11"/>
  <c r="F36" i="11"/>
  <c r="G36" i="11"/>
  <c r="H36" i="11"/>
  <c r="I36" i="11"/>
  <c r="F37" i="11"/>
  <c r="G37" i="11"/>
  <c r="H37" i="11"/>
  <c r="I37" i="11"/>
  <c r="F38" i="11"/>
  <c r="G38" i="11"/>
  <c r="H38" i="11"/>
  <c r="I38" i="11"/>
  <c r="F39" i="11"/>
  <c r="G39" i="11"/>
  <c r="H39" i="11"/>
  <c r="I39" i="11"/>
  <c r="F40" i="11"/>
  <c r="G40" i="11"/>
  <c r="H40" i="11"/>
  <c r="I40" i="11"/>
  <c r="F41" i="11"/>
  <c r="G41" i="11"/>
  <c r="H41" i="11"/>
  <c r="I41" i="11"/>
  <c r="F42" i="11"/>
  <c r="G42" i="11"/>
  <c r="H42" i="11"/>
  <c r="I42" i="11"/>
  <c r="F43" i="11"/>
  <c r="G43" i="11"/>
  <c r="H43" i="11"/>
  <c r="I43" i="11"/>
  <c r="F44" i="11"/>
  <c r="G44" i="11"/>
  <c r="H44" i="11"/>
  <c r="I44" i="11"/>
  <c r="F45" i="11"/>
  <c r="G45" i="11"/>
  <c r="H45" i="11"/>
  <c r="I45" i="11"/>
  <c r="F46" i="11"/>
  <c r="G46" i="11"/>
  <c r="H46" i="11"/>
  <c r="I46" i="11"/>
  <c r="F47" i="11"/>
  <c r="G47" i="11"/>
  <c r="H47" i="11"/>
  <c r="I47" i="11"/>
  <c r="F48" i="11"/>
  <c r="G48" i="11"/>
  <c r="H48" i="11"/>
  <c r="I48" i="11"/>
  <c r="F49" i="11"/>
  <c r="G49" i="11"/>
  <c r="H49" i="11"/>
  <c r="I49" i="11"/>
  <c r="F50" i="11"/>
  <c r="G50" i="11"/>
  <c r="H50" i="11"/>
  <c r="I50" i="11"/>
  <c r="F51" i="11"/>
  <c r="G51" i="11"/>
  <c r="H51" i="11"/>
  <c r="I51" i="11"/>
  <c r="F52" i="11"/>
  <c r="G52" i="11"/>
  <c r="H52" i="11"/>
  <c r="I52" i="11"/>
  <c r="F53" i="11"/>
  <c r="G53" i="11"/>
  <c r="H53" i="11"/>
  <c r="I53" i="11"/>
  <c r="F54" i="11"/>
  <c r="G54" i="11"/>
  <c r="H54" i="11"/>
  <c r="I54" i="11"/>
  <c r="F55" i="11"/>
  <c r="G55" i="11"/>
  <c r="H55" i="11"/>
  <c r="I55" i="11"/>
  <c r="F56" i="11"/>
  <c r="G56" i="11"/>
  <c r="H56" i="11"/>
  <c r="I56" i="11"/>
  <c r="F57" i="11"/>
  <c r="G57" i="11"/>
  <c r="H57" i="11"/>
  <c r="I57" i="11"/>
  <c r="F58" i="11"/>
  <c r="G58" i="11"/>
  <c r="H58" i="11"/>
  <c r="I58" i="11"/>
  <c r="F59" i="11"/>
  <c r="G59" i="11"/>
  <c r="H59" i="11"/>
  <c r="I59" i="11"/>
  <c r="F60" i="11"/>
  <c r="G60" i="11"/>
  <c r="H60" i="11"/>
  <c r="I60" i="11"/>
  <c r="F61" i="11"/>
  <c r="G61" i="11"/>
  <c r="H61" i="11"/>
  <c r="I61" i="11"/>
  <c r="F62" i="11"/>
  <c r="G62" i="11"/>
  <c r="H62" i="11"/>
  <c r="I62" i="11"/>
  <c r="F63" i="11"/>
  <c r="G63" i="11"/>
  <c r="H63" i="11"/>
  <c r="I63" i="11"/>
  <c r="F64" i="11"/>
  <c r="G64" i="11"/>
  <c r="H64" i="11"/>
  <c r="I64" i="11"/>
  <c r="F65" i="11"/>
  <c r="G65" i="11"/>
  <c r="H65" i="11"/>
  <c r="I65" i="11"/>
  <c r="F66" i="11"/>
  <c r="G66" i="11"/>
  <c r="H66" i="11"/>
  <c r="I66" i="11"/>
  <c r="F67" i="11"/>
  <c r="G67" i="11"/>
  <c r="H67" i="11"/>
  <c r="I67" i="11"/>
  <c r="F68" i="11"/>
  <c r="G68" i="11"/>
  <c r="H68" i="11"/>
  <c r="I68" i="11"/>
  <c r="F69" i="11"/>
  <c r="G69" i="11"/>
  <c r="H69" i="11"/>
  <c r="I69" i="11"/>
  <c r="F70" i="11"/>
  <c r="G70" i="11"/>
  <c r="H70" i="11"/>
  <c r="I70" i="11"/>
  <c r="F71" i="11"/>
  <c r="G71" i="11"/>
  <c r="H71" i="11"/>
  <c r="I71" i="11"/>
  <c r="F72" i="11"/>
  <c r="G72" i="11"/>
  <c r="H72" i="11"/>
  <c r="I72" i="11"/>
  <c r="F73" i="11"/>
  <c r="G73" i="11"/>
  <c r="H73" i="11"/>
  <c r="I73" i="11"/>
  <c r="F74" i="11"/>
  <c r="G74" i="11"/>
  <c r="H74" i="11"/>
  <c r="I74" i="11"/>
  <c r="F75" i="11"/>
  <c r="G75" i="11"/>
  <c r="H75" i="11"/>
  <c r="I75" i="11"/>
  <c r="F76" i="11"/>
  <c r="G76" i="11"/>
  <c r="H76" i="11"/>
  <c r="I76" i="11"/>
  <c r="F77" i="11"/>
  <c r="G77" i="11"/>
  <c r="H77" i="11"/>
  <c r="I77" i="11"/>
  <c r="F78" i="11"/>
  <c r="G78" i="11"/>
  <c r="H78" i="11"/>
  <c r="I78" i="11"/>
  <c r="F79" i="11"/>
  <c r="G79" i="11"/>
  <c r="H79" i="11"/>
  <c r="I79" i="11"/>
  <c r="F80" i="11"/>
  <c r="G80" i="11"/>
  <c r="H80" i="11"/>
  <c r="I80" i="11"/>
  <c r="F81" i="11"/>
  <c r="G81" i="11"/>
  <c r="H81" i="11"/>
  <c r="I81" i="11"/>
  <c r="F82" i="11"/>
  <c r="G82" i="11"/>
  <c r="H82" i="11"/>
  <c r="I82" i="11"/>
  <c r="F83" i="11"/>
  <c r="G83" i="11"/>
  <c r="H83" i="11"/>
  <c r="I83" i="11"/>
  <c r="F84" i="11"/>
  <c r="G84" i="11"/>
  <c r="H84" i="11"/>
  <c r="I84" i="11"/>
  <c r="F85" i="11"/>
  <c r="G85" i="11"/>
  <c r="H85" i="11"/>
  <c r="I85" i="11"/>
  <c r="F86" i="11"/>
  <c r="G86" i="11"/>
  <c r="H86" i="11"/>
  <c r="I86" i="11"/>
  <c r="F87" i="11"/>
  <c r="G87" i="11"/>
  <c r="H87" i="11"/>
  <c r="I87" i="11"/>
  <c r="F88" i="11"/>
  <c r="G88" i="11"/>
  <c r="H88" i="11"/>
  <c r="I88" i="11"/>
  <c r="F89" i="11"/>
  <c r="G89" i="11"/>
  <c r="H89" i="11"/>
  <c r="I89" i="11"/>
  <c r="F90" i="11"/>
  <c r="G90" i="11"/>
  <c r="H90" i="11"/>
  <c r="I90" i="11"/>
  <c r="F91" i="11"/>
  <c r="G91" i="11"/>
  <c r="H91" i="11"/>
  <c r="I91" i="11"/>
  <c r="F92" i="11"/>
  <c r="G92" i="11"/>
  <c r="H92" i="11"/>
  <c r="I92" i="11"/>
  <c r="F93" i="11"/>
  <c r="G93" i="11"/>
  <c r="H93" i="11"/>
  <c r="I93" i="11"/>
  <c r="F94" i="11"/>
  <c r="G94" i="11"/>
  <c r="H94" i="11"/>
  <c r="I94" i="11"/>
  <c r="F95" i="11"/>
  <c r="G95" i="11"/>
  <c r="H95" i="11"/>
  <c r="I95" i="11"/>
  <c r="F96" i="11"/>
  <c r="G96" i="11"/>
  <c r="H96" i="11"/>
  <c r="I96" i="11"/>
  <c r="F97" i="11"/>
  <c r="G97" i="11"/>
  <c r="H97" i="11"/>
  <c r="I97" i="11"/>
  <c r="F98" i="11"/>
  <c r="G98" i="11"/>
  <c r="H98" i="11"/>
  <c r="I98" i="11"/>
  <c r="F99" i="11"/>
  <c r="G99" i="11"/>
  <c r="H99" i="11"/>
  <c r="I99" i="11"/>
  <c r="F100" i="11"/>
  <c r="G100" i="11"/>
  <c r="H100" i="11"/>
  <c r="I100" i="11"/>
  <c r="F101" i="11"/>
  <c r="G101" i="11"/>
  <c r="H101" i="11"/>
  <c r="I101" i="11"/>
  <c r="F102" i="11"/>
  <c r="G102" i="11"/>
  <c r="H102" i="11"/>
  <c r="I102" i="11"/>
  <c r="F103" i="11"/>
  <c r="G103" i="11"/>
  <c r="H103" i="11"/>
  <c r="I103" i="11"/>
  <c r="F104" i="11"/>
  <c r="G104" i="11"/>
  <c r="H104" i="11"/>
  <c r="I104" i="11"/>
  <c r="F105" i="11"/>
  <c r="G105" i="11"/>
  <c r="H105" i="11"/>
  <c r="I105" i="11"/>
  <c r="F106" i="11"/>
  <c r="G106" i="11"/>
  <c r="H106" i="11"/>
  <c r="I106" i="11"/>
  <c r="F107" i="11"/>
  <c r="G107" i="11"/>
  <c r="H107" i="11"/>
  <c r="I107" i="11"/>
  <c r="F108" i="11"/>
  <c r="G108" i="11"/>
  <c r="H108" i="11"/>
  <c r="I108" i="11"/>
  <c r="F109" i="11"/>
  <c r="G109" i="11"/>
  <c r="H109" i="11"/>
  <c r="I109" i="11"/>
  <c r="F110" i="11"/>
  <c r="G110" i="11"/>
  <c r="H110" i="11"/>
  <c r="I110" i="11"/>
  <c r="F111" i="11"/>
  <c r="G111" i="11"/>
  <c r="H111" i="11"/>
  <c r="I111" i="11"/>
  <c r="F112" i="11"/>
  <c r="G112" i="11"/>
  <c r="H112" i="11"/>
  <c r="I112" i="11"/>
  <c r="F113" i="11"/>
  <c r="G113" i="11"/>
  <c r="H113" i="11"/>
  <c r="I113" i="11"/>
  <c r="F114" i="11"/>
  <c r="G114" i="11"/>
  <c r="H114" i="11"/>
  <c r="I114" i="11"/>
  <c r="F115" i="11"/>
  <c r="G115" i="11"/>
  <c r="H115" i="11"/>
  <c r="I115" i="11"/>
  <c r="F116" i="11"/>
  <c r="G116" i="11"/>
  <c r="H116" i="11"/>
  <c r="I116" i="11"/>
  <c r="F117" i="11"/>
  <c r="G117" i="11"/>
  <c r="H117" i="11"/>
  <c r="I117" i="11"/>
  <c r="F118" i="11"/>
  <c r="G118" i="11"/>
  <c r="H118" i="11"/>
  <c r="I118" i="11"/>
  <c r="F119" i="11"/>
  <c r="G119" i="11"/>
  <c r="H119" i="11"/>
  <c r="I119" i="11"/>
  <c r="F120" i="11"/>
  <c r="G120" i="11"/>
  <c r="H120" i="11"/>
  <c r="I120" i="11"/>
  <c r="F121" i="11"/>
  <c r="G121" i="11"/>
  <c r="H121" i="11"/>
  <c r="I121" i="11"/>
  <c r="F122" i="11"/>
  <c r="G122" i="11"/>
  <c r="H122" i="11"/>
  <c r="I122" i="11"/>
  <c r="F123" i="11"/>
  <c r="G123" i="11"/>
  <c r="H123" i="11"/>
  <c r="I123" i="11"/>
  <c r="F124" i="11"/>
  <c r="G124" i="11"/>
  <c r="H124" i="11"/>
  <c r="I124" i="11"/>
  <c r="F125" i="11"/>
  <c r="G125" i="11"/>
  <c r="H125" i="11"/>
  <c r="I125" i="11"/>
  <c r="F126" i="11"/>
  <c r="G126" i="11"/>
  <c r="H126" i="11"/>
  <c r="I126" i="11"/>
  <c r="F127" i="11"/>
  <c r="G127" i="11"/>
  <c r="H127" i="11"/>
  <c r="I127" i="11"/>
  <c r="F128" i="11"/>
  <c r="G128" i="11"/>
  <c r="H128" i="11"/>
  <c r="I128" i="11"/>
  <c r="F129" i="11"/>
  <c r="G129" i="11"/>
  <c r="H129" i="11"/>
  <c r="I129" i="11"/>
  <c r="F130" i="11"/>
  <c r="G130" i="11"/>
  <c r="H130" i="11"/>
  <c r="I130" i="11"/>
  <c r="F131" i="11"/>
  <c r="G131" i="11"/>
  <c r="H131" i="11"/>
  <c r="I131" i="11"/>
  <c r="F132" i="11"/>
  <c r="G132" i="11"/>
  <c r="H132" i="11"/>
  <c r="I132" i="11"/>
  <c r="F133" i="11"/>
  <c r="G133" i="11"/>
  <c r="H133" i="11"/>
  <c r="I133" i="11"/>
  <c r="F134" i="11"/>
  <c r="G134" i="11"/>
  <c r="H134" i="11"/>
  <c r="I134" i="11"/>
  <c r="F135" i="11"/>
  <c r="G135" i="11"/>
  <c r="H135" i="11"/>
  <c r="I135" i="11"/>
  <c r="F136" i="11"/>
  <c r="G136" i="11"/>
  <c r="H136" i="11"/>
  <c r="I136" i="11"/>
  <c r="F137" i="11"/>
  <c r="G137" i="11"/>
  <c r="H137" i="11"/>
  <c r="I137" i="11"/>
  <c r="F138" i="11"/>
  <c r="G138" i="11"/>
  <c r="H138" i="11"/>
  <c r="I138" i="11"/>
  <c r="F139" i="11"/>
  <c r="G139" i="11"/>
  <c r="H139" i="11"/>
  <c r="I139" i="11"/>
  <c r="F140" i="11"/>
  <c r="G140" i="11"/>
  <c r="H140" i="11"/>
  <c r="I140" i="11"/>
  <c r="F141" i="11"/>
  <c r="G141" i="11"/>
  <c r="H141" i="11"/>
  <c r="I141" i="11"/>
  <c r="F142" i="11"/>
  <c r="G142" i="11"/>
  <c r="H142" i="11"/>
  <c r="I142" i="11"/>
  <c r="F143" i="11"/>
  <c r="G143" i="11"/>
  <c r="H143" i="11"/>
  <c r="I143" i="11"/>
  <c r="F144" i="11"/>
  <c r="G144" i="11"/>
  <c r="H144" i="11"/>
  <c r="I144" i="11"/>
  <c r="F145" i="11"/>
  <c r="G145" i="11"/>
  <c r="H145" i="11"/>
  <c r="I145" i="11"/>
  <c r="F146" i="11"/>
  <c r="G146" i="11"/>
  <c r="H146" i="11"/>
  <c r="I146" i="11"/>
  <c r="F147" i="11"/>
  <c r="G147" i="11"/>
  <c r="H147" i="11"/>
  <c r="I147" i="11"/>
  <c r="F148" i="11"/>
  <c r="G148" i="11"/>
  <c r="H148" i="11"/>
  <c r="I148" i="11"/>
  <c r="F149" i="11"/>
  <c r="G149" i="11"/>
  <c r="H149" i="11"/>
  <c r="I149" i="11"/>
  <c r="F150" i="11"/>
  <c r="G150" i="11"/>
  <c r="H150" i="11"/>
  <c r="I150" i="11"/>
  <c r="F151" i="11"/>
  <c r="G151" i="11"/>
  <c r="H151" i="11"/>
  <c r="I151" i="11"/>
  <c r="F152" i="11"/>
  <c r="G152" i="11"/>
  <c r="H152" i="11"/>
  <c r="I152" i="11"/>
  <c r="F153" i="11"/>
  <c r="G153" i="11"/>
  <c r="H153" i="11"/>
  <c r="I153" i="11"/>
  <c r="F154" i="11"/>
  <c r="G154" i="11"/>
  <c r="H154" i="11"/>
  <c r="I154" i="11"/>
  <c r="F155" i="11"/>
  <c r="G155" i="11"/>
  <c r="H155" i="11"/>
  <c r="I155" i="11"/>
  <c r="F156" i="11"/>
  <c r="G156" i="11"/>
  <c r="H156" i="11"/>
  <c r="I156" i="11"/>
  <c r="F157" i="11"/>
  <c r="G157" i="11"/>
  <c r="H157" i="11"/>
  <c r="I157" i="11"/>
  <c r="F158" i="11"/>
  <c r="G158" i="11"/>
  <c r="H158" i="11"/>
  <c r="I158" i="11"/>
  <c r="F159" i="11"/>
  <c r="G159" i="11"/>
  <c r="H159" i="11"/>
  <c r="I159" i="11"/>
  <c r="F160" i="11"/>
  <c r="G160" i="11"/>
  <c r="H160" i="11"/>
  <c r="I160" i="11"/>
  <c r="F161" i="11"/>
  <c r="G161" i="11"/>
  <c r="H161" i="11"/>
  <c r="I161" i="11"/>
  <c r="F162" i="11"/>
  <c r="G162" i="11"/>
  <c r="H162" i="11"/>
  <c r="I162" i="11"/>
  <c r="F163" i="11"/>
  <c r="G163" i="11"/>
  <c r="H163" i="11"/>
  <c r="I163" i="11"/>
  <c r="F164" i="11"/>
  <c r="G164" i="11"/>
  <c r="H164" i="11"/>
  <c r="I164" i="11"/>
  <c r="F165" i="11"/>
  <c r="G165" i="11"/>
  <c r="H165" i="11"/>
  <c r="I165" i="11"/>
  <c r="F166" i="11"/>
  <c r="G166" i="11"/>
  <c r="H166" i="11"/>
  <c r="I166" i="11"/>
  <c r="F167" i="11"/>
  <c r="G167" i="11"/>
  <c r="H167" i="11"/>
  <c r="I167" i="11"/>
  <c r="F168" i="11"/>
  <c r="G168" i="11"/>
  <c r="H168" i="11"/>
  <c r="I168" i="11"/>
  <c r="F169" i="11"/>
  <c r="G169" i="11"/>
  <c r="H169" i="11"/>
  <c r="I169" i="11"/>
  <c r="F170" i="11"/>
  <c r="G170" i="11"/>
  <c r="H170" i="11"/>
  <c r="I170" i="11"/>
  <c r="F171" i="11"/>
  <c r="G171" i="11"/>
  <c r="H171" i="11"/>
  <c r="I171" i="11"/>
  <c r="F172" i="11"/>
  <c r="G172" i="11"/>
  <c r="H172" i="11"/>
  <c r="I172" i="11"/>
  <c r="F173" i="11"/>
  <c r="G173" i="11"/>
  <c r="H173" i="11"/>
  <c r="I173" i="11"/>
  <c r="F174" i="11"/>
  <c r="G174" i="11"/>
  <c r="H174" i="11"/>
  <c r="I174" i="11"/>
  <c r="F175" i="11"/>
  <c r="G175" i="11"/>
  <c r="H175" i="11"/>
  <c r="I175" i="11"/>
  <c r="F176" i="11"/>
  <c r="G176" i="11"/>
  <c r="H176" i="11"/>
  <c r="I176" i="11"/>
  <c r="F177" i="11"/>
  <c r="G177" i="11"/>
  <c r="H177" i="11"/>
  <c r="I177" i="11"/>
  <c r="F178" i="11"/>
  <c r="G178" i="11"/>
  <c r="H178" i="11"/>
  <c r="I178" i="11"/>
  <c r="F179" i="11"/>
  <c r="G179" i="11"/>
  <c r="H179" i="11"/>
  <c r="I179" i="11"/>
  <c r="F180" i="11"/>
  <c r="G180" i="11"/>
  <c r="H180" i="11"/>
  <c r="I180" i="11"/>
  <c r="F181" i="11"/>
  <c r="G181" i="11"/>
  <c r="H181" i="11"/>
  <c r="I181" i="11"/>
  <c r="F182" i="11"/>
  <c r="G182" i="11"/>
  <c r="H182" i="11"/>
  <c r="I182" i="11"/>
  <c r="F183" i="11"/>
  <c r="G183" i="11"/>
  <c r="H183" i="11"/>
  <c r="I183" i="11"/>
  <c r="F184" i="11"/>
  <c r="G184" i="11"/>
  <c r="H184" i="11"/>
  <c r="I184" i="11"/>
  <c r="F185" i="11"/>
  <c r="G185" i="11"/>
  <c r="H185" i="11"/>
  <c r="I185" i="11"/>
  <c r="F186" i="11"/>
  <c r="G186" i="11"/>
  <c r="H186" i="11"/>
  <c r="I186" i="11"/>
  <c r="F187" i="11"/>
  <c r="G187" i="11"/>
  <c r="H187" i="11"/>
  <c r="I187" i="11"/>
  <c r="F188" i="11"/>
  <c r="G188" i="11"/>
  <c r="H188" i="11"/>
  <c r="I188" i="11"/>
  <c r="F189" i="11"/>
  <c r="G189" i="11"/>
  <c r="H189" i="11"/>
  <c r="I189" i="11"/>
  <c r="F190" i="11"/>
  <c r="G190" i="11"/>
  <c r="H190" i="11"/>
  <c r="I190" i="11"/>
  <c r="F191" i="11"/>
  <c r="G191" i="11"/>
  <c r="H191" i="11"/>
  <c r="I191" i="11"/>
  <c r="F192" i="11"/>
  <c r="G192" i="11"/>
  <c r="H192" i="11"/>
  <c r="I192" i="11"/>
  <c r="F193" i="11"/>
  <c r="G193" i="11"/>
  <c r="H193" i="11"/>
  <c r="I193" i="11"/>
  <c r="F194" i="11"/>
  <c r="G194" i="11"/>
  <c r="H194" i="11"/>
  <c r="I194" i="11"/>
  <c r="F195" i="11"/>
  <c r="G195" i="11"/>
  <c r="H195" i="11"/>
  <c r="I195" i="11"/>
  <c r="F196" i="11"/>
  <c r="G196" i="11"/>
  <c r="H196" i="11"/>
  <c r="I196" i="11"/>
  <c r="F197" i="11"/>
  <c r="G197" i="11"/>
  <c r="H197" i="11"/>
  <c r="I197" i="11"/>
  <c r="F198" i="11"/>
  <c r="G198" i="11"/>
  <c r="H198" i="11"/>
  <c r="I198" i="11"/>
  <c r="F199" i="11"/>
  <c r="G199" i="11"/>
  <c r="H199" i="11"/>
  <c r="I199" i="11"/>
  <c r="F200" i="11"/>
  <c r="G200" i="11"/>
  <c r="H200" i="11"/>
  <c r="I200" i="11"/>
  <c r="F201" i="11"/>
  <c r="G201" i="11"/>
  <c r="H201" i="11"/>
  <c r="I201" i="11"/>
  <c r="F202" i="11"/>
  <c r="G202" i="11"/>
  <c r="H202" i="11"/>
  <c r="I202" i="11"/>
  <c r="F203" i="11"/>
  <c r="G203" i="11"/>
  <c r="H203" i="11"/>
  <c r="I203" i="11"/>
  <c r="F204" i="11"/>
  <c r="G204" i="11"/>
  <c r="H204" i="11"/>
  <c r="I204" i="11"/>
  <c r="F205" i="11"/>
  <c r="G205" i="11"/>
  <c r="H205" i="11"/>
  <c r="I205" i="11"/>
  <c r="F206" i="11"/>
  <c r="G206" i="11"/>
  <c r="H206" i="11"/>
  <c r="I206" i="11"/>
  <c r="F207" i="11"/>
  <c r="G207" i="11"/>
  <c r="H207" i="11"/>
  <c r="I207" i="11"/>
  <c r="F208" i="11"/>
  <c r="G208" i="11"/>
  <c r="H208" i="11"/>
  <c r="I208" i="11"/>
  <c r="F209" i="11"/>
  <c r="G209" i="11"/>
  <c r="H209" i="11"/>
  <c r="I209" i="11"/>
  <c r="F210" i="11"/>
  <c r="G210" i="11"/>
  <c r="H210" i="11"/>
  <c r="I210" i="11"/>
  <c r="F211" i="11"/>
  <c r="G211" i="11"/>
  <c r="H211" i="11"/>
  <c r="I211" i="11"/>
  <c r="F212" i="11"/>
  <c r="G212" i="11"/>
  <c r="H212" i="11"/>
  <c r="I212" i="11"/>
  <c r="F213" i="11"/>
  <c r="G213" i="11"/>
  <c r="H213" i="11"/>
  <c r="I213" i="11"/>
  <c r="F214" i="11"/>
  <c r="G214" i="11"/>
  <c r="H214" i="11"/>
  <c r="I214" i="11"/>
  <c r="F215" i="11"/>
  <c r="G215" i="11"/>
  <c r="H215" i="11"/>
  <c r="I215" i="11"/>
  <c r="F216" i="11"/>
  <c r="G216" i="11"/>
  <c r="H216" i="11"/>
  <c r="I216" i="11"/>
  <c r="F217" i="11"/>
  <c r="G217" i="11"/>
  <c r="H217" i="11"/>
  <c r="I217" i="11"/>
  <c r="F218" i="11"/>
  <c r="G218" i="11"/>
  <c r="H218" i="11"/>
  <c r="I218" i="11"/>
  <c r="F219" i="11"/>
  <c r="G219" i="11"/>
  <c r="H219" i="11"/>
  <c r="I219" i="11"/>
  <c r="F220" i="11"/>
  <c r="G220" i="11"/>
  <c r="H220" i="11"/>
  <c r="I220" i="11"/>
  <c r="F221" i="11"/>
  <c r="G221" i="11"/>
  <c r="H221" i="11"/>
  <c r="I221" i="11"/>
  <c r="F222" i="11"/>
  <c r="G222" i="11"/>
  <c r="H222" i="11"/>
  <c r="I222" i="11"/>
  <c r="F223" i="11"/>
  <c r="G223" i="11"/>
  <c r="H223" i="11"/>
  <c r="I223" i="11"/>
  <c r="F224" i="11"/>
  <c r="G224" i="11"/>
  <c r="H224" i="11"/>
  <c r="I224" i="11"/>
  <c r="F225" i="11"/>
  <c r="G225" i="11"/>
  <c r="H225" i="11"/>
  <c r="I225" i="11"/>
  <c r="F226" i="11"/>
  <c r="G226" i="11"/>
  <c r="H226" i="11"/>
  <c r="I226" i="11"/>
  <c r="F227" i="11"/>
  <c r="G227" i="11"/>
  <c r="H227" i="11"/>
  <c r="I227" i="11"/>
  <c r="F228" i="11"/>
  <c r="G228" i="11"/>
  <c r="H228" i="11"/>
  <c r="I228" i="11"/>
  <c r="F229" i="11"/>
  <c r="G229" i="11"/>
  <c r="H229" i="11"/>
  <c r="I229" i="11"/>
  <c r="F230" i="11"/>
  <c r="G230" i="11"/>
  <c r="H230" i="11"/>
  <c r="I230" i="11"/>
  <c r="F231" i="11"/>
  <c r="G231" i="11"/>
  <c r="H231" i="11"/>
  <c r="I231" i="11"/>
  <c r="F232" i="11"/>
  <c r="G232" i="11"/>
  <c r="H232" i="11"/>
  <c r="I232" i="11"/>
  <c r="F233" i="11"/>
  <c r="G233" i="11"/>
  <c r="H233" i="11"/>
  <c r="I233" i="11"/>
  <c r="F234" i="11"/>
  <c r="G234" i="11"/>
  <c r="H234" i="11"/>
  <c r="I234" i="11"/>
  <c r="F235" i="11"/>
  <c r="G235" i="11"/>
  <c r="H235" i="11"/>
  <c r="I235" i="11"/>
  <c r="F236" i="11"/>
  <c r="G236" i="11"/>
  <c r="H236" i="11"/>
  <c r="I236" i="11"/>
  <c r="F237" i="11"/>
  <c r="G237" i="11"/>
  <c r="H237" i="11"/>
  <c r="I237" i="11"/>
  <c r="F238" i="11"/>
  <c r="G238" i="11"/>
  <c r="H238" i="11"/>
  <c r="I238" i="11"/>
  <c r="F239" i="11"/>
  <c r="G239" i="11"/>
  <c r="H239" i="11"/>
  <c r="I239" i="11"/>
  <c r="F240" i="11"/>
  <c r="G240" i="11"/>
  <c r="H240" i="11"/>
  <c r="I240" i="11"/>
  <c r="F241" i="11"/>
  <c r="G241" i="11"/>
  <c r="H241" i="11"/>
  <c r="I241" i="11"/>
  <c r="F242" i="11"/>
  <c r="G242" i="11"/>
  <c r="H242" i="11"/>
  <c r="I242" i="11"/>
  <c r="F243" i="11"/>
  <c r="G243" i="11"/>
  <c r="H243" i="11"/>
  <c r="I243" i="11"/>
  <c r="F244" i="11"/>
  <c r="G244" i="11"/>
  <c r="H244" i="11"/>
  <c r="I244" i="11"/>
  <c r="F245" i="11"/>
  <c r="G245" i="11"/>
  <c r="H245" i="11"/>
  <c r="I245" i="11"/>
  <c r="F246" i="11"/>
  <c r="G246" i="11"/>
  <c r="H246" i="11"/>
  <c r="I246" i="11"/>
  <c r="F247" i="11"/>
  <c r="G247" i="11"/>
  <c r="H247" i="11"/>
  <c r="I247" i="11"/>
  <c r="F248" i="11"/>
  <c r="G248" i="11"/>
  <c r="H248" i="11"/>
  <c r="I248" i="11"/>
  <c r="F249" i="11"/>
  <c r="G249" i="11"/>
  <c r="H249" i="11"/>
  <c r="I249" i="11"/>
  <c r="F250" i="11"/>
  <c r="G250" i="11"/>
  <c r="H250" i="11"/>
  <c r="I250" i="11"/>
  <c r="F251" i="11"/>
  <c r="G251" i="11"/>
  <c r="H251" i="11"/>
  <c r="I251" i="11"/>
  <c r="F252" i="11"/>
  <c r="G252" i="11"/>
  <c r="H252" i="11"/>
  <c r="I252" i="11"/>
  <c r="F253" i="11"/>
  <c r="G253" i="11"/>
  <c r="H253" i="11"/>
  <c r="I253" i="11"/>
  <c r="F254" i="11"/>
  <c r="G254" i="11"/>
  <c r="H254" i="11"/>
  <c r="I254" i="11"/>
  <c r="F255" i="11"/>
  <c r="G255" i="11"/>
  <c r="H255" i="11"/>
  <c r="I255" i="11"/>
  <c r="F256" i="11"/>
  <c r="G256" i="11"/>
  <c r="H256" i="11"/>
  <c r="I256" i="11"/>
  <c r="F257" i="11"/>
  <c r="G257" i="11"/>
  <c r="H257" i="11"/>
  <c r="I257" i="11"/>
  <c r="F258" i="11"/>
  <c r="G258" i="11"/>
  <c r="H258" i="11"/>
  <c r="I258" i="11"/>
  <c r="F259" i="11"/>
  <c r="G259" i="11"/>
  <c r="H259" i="11"/>
  <c r="I259" i="11"/>
  <c r="F260" i="11"/>
  <c r="G260" i="11"/>
  <c r="H260" i="11"/>
  <c r="I260" i="11"/>
  <c r="F261" i="11"/>
  <c r="G261" i="11"/>
  <c r="H261" i="11"/>
  <c r="I261" i="11"/>
  <c r="F262" i="11"/>
  <c r="G262" i="11"/>
  <c r="H262" i="11"/>
  <c r="I262" i="11"/>
  <c r="F263" i="11"/>
  <c r="G263" i="11"/>
  <c r="H263" i="11"/>
  <c r="I263" i="11"/>
  <c r="F264" i="11"/>
  <c r="G264" i="11"/>
  <c r="H264" i="11"/>
  <c r="I264" i="11"/>
  <c r="F265" i="11"/>
  <c r="G265" i="11"/>
  <c r="H265" i="11"/>
  <c r="I265" i="11"/>
  <c r="F266" i="11"/>
  <c r="G266" i="11"/>
  <c r="H266" i="11"/>
  <c r="I266" i="11"/>
  <c r="F267" i="11"/>
  <c r="G267" i="11"/>
  <c r="H267" i="11"/>
  <c r="I267" i="11"/>
  <c r="F268" i="11"/>
  <c r="G268" i="11"/>
  <c r="H268" i="11"/>
  <c r="I268" i="11"/>
  <c r="F269" i="11"/>
  <c r="G269" i="11"/>
  <c r="H269" i="11"/>
  <c r="I269" i="11"/>
  <c r="F270" i="11"/>
  <c r="G270" i="11"/>
  <c r="H270" i="11"/>
  <c r="I270" i="11"/>
  <c r="F271" i="11"/>
  <c r="G271" i="11"/>
  <c r="H271" i="11"/>
  <c r="I271" i="11"/>
  <c r="F272" i="11"/>
  <c r="G272" i="11"/>
  <c r="H272" i="11"/>
  <c r="I272" i="11"/>
  <c r="F273" i="11"/>
  <c r="G273" i="11"/>
  <c r="H273" i="11"/>
  <c r="I273" i="11"/>
  <c r="F274" i="11"/>
  <c r="G274" i="11"/>
  <c r="H274" i="11"/>
  <c r="I274" i="11"/>
  <c r="F275" i="11"/>
  <c r="G275" i="11"/>
  <c r="H275" i="11"/>
  <c r="I275" i="11"/>
  <c r="F276" i="11"/>
  <c r="G276" i="11"/>
  <c r="H276" i="11"/>
  <c r="I276" i="11"/>
  <c r="F277" i="11"/>
  <c r="G277" i="11"/>
  <c r="H277" i="11"/>
  <c r="I277" i="11"/>
  <c r="F278" i="11"/>
  <c r="G278" i="11"/>
  <c r="H278" i="11"/>
  <c r="I278" i="11"/>
  <c r="F279" i="11"/>
  <c r="G279" i="11"/>
  <c r="H279" i="11"/>
  <c r="I279" i="11"/>
  <c r="F280" i="11"/>
  <c r="G280" i="11"/>
  <c r="H280" i="11"/>
  <c r="I280" i="11"/>
  <c r="F281" i="11"/>
  <c r="G281" i="11"/>
  <c r="H281" i="11"/>
  <c r="I281" i="11"/>
  <c r="F282" i="11"/>
  <c r="G282" i="11"/>
  <c r="H282" i="11"/>
  <c r="I282" i="11"/>
  <c r="F283" i="11"/>
  <c r="G283" i="11"/>
  <c r="H283" i="11"/>
  <c r="I283" i="11"/>
  <c r="F284" i="11"/>
  <c r="G284" i="11"/>
  <c r="H284" i="11"/>
  <c r="I284" i="11"/>
  <c r="F285" i="11"/>
  <c r="G285" i="11"/>
  <c r="H285" i="11"/>
  <c r="I285" i="11"/>
  <c r="F286" i="11"/>
  <c r="G286" i="11"/>
  <c r="H286" i="11"/>
  <c r="I286" i="11"/>
  <c r="F287" i="11"/>
  <c r="G287" i="11"/>
  <c r="H287" i="11"/>
  <c r="I287" i="11"/>
  <c r="F288" i="11"/>
  <c r="G288" i="11"/>
  <c r="H288" i="11"/>
  <c r="I288" i="11"/>
  <c r="F289" i="11"/>
  <c r="G289" i="11"/>
  <c r="H289" i="11"/>
  <c r="I289" i="11"/>
  <c r="F290" i="11"/>
  <c r="G290" i="11"/>
  <c r="H290" i="11"/>
  <c r="I290" i="11"/>
  <c r="F291" i="11"/>
  <c r="G291" i="11"/>
  <c r="H291" i="11"/>
  <c r="I291" i="11"/>
  <c r="F292" i="11"/>
  <c r="G292" i="11"/>
  <c r="H292" i="11"/>
  <c r="I292" i="11"/>
  <c r="F293" i="11"/>
  <c r="G293" i="11"/>
  <c r="H293" i="11"/>
  <c r="I293" i="11"/>
  <c r="F294" i="11"/>
  <c r="G294" i="11"/>
  <c r="H294" i="11"/>
  <c r="I294" i="11"/>
  <c r="F295" i="11"/>
  <c r="G295" i="11"/>
  <c r="H295" i="11"/>
  <c r="I295" i="11"/>
  <c r="F296" i="11"/>
  <c r="G296" i="11"/>
  <c r="H296" i="11"/>
  <c r="I296" i="11"/>
  <c r="F297" i="11"/>
  <c r="G297" i="11"/>
  <c r="H297" i="11"/>
  <c r="I297" i="11"/>
  <c r="F298" i="11"/>
  <c r="G298" i="11"/>
  <c r="H298" i="11"/>
  <c r="I298" i="11"/>
  <c r="F299" i="11"/>
  <c r="G299" i="11"/>
  <c r="H299" i="11"/>
  <c r="I299" i="11"/>
  <c r="F300" i="11"/>
  <c r="G300" i="11"/>
  <c r="H300" i="11"/>
  <c r="I300" i="11"/>
  <c r="F301" i="11"/>
  <c r="G301" i="11"/>
  <c r="H301" i="11"/>
  <c r="I301" i="11"/>
  <c r="F302" i="11"/>
  <c r="G302" i="11"/>
  <c r="H302" i="11"/>
  <c r="I302" i="11"/>
  <c r="F303" i="11"/>
  <c r="G303" i="11"/>
  <c r="H303" i="11"/>
  <c r="I303" i="11"/>
  <c r="F304" i="11"/>
  <c r="G304" i="11"/>
  <c r="H304" i="11"/>
  <c r="I304" i="11"/>
  <c r="F305" i="11"/>
  <c r="G305" i="11"/>
  <c r="H305" i="11"/>
  <c r="I305" i="11"/>
  <c r="F306" i="11"/>
  <c r="G306" i="11"/>
  <c r="H306" i="11"/>
  <c r="I306" i="11"/>
  <c r="F307" i="11"/>
  <c r="G307" i="11"/>
  <c r="H307" i="11"/>
  <c r="I307" i="11"/>
  <c r="F308" i="11"/>
  <c r="G308" i="11"/>
  <c r="H308" i="11"/>
  <c r="I308" i="11"/>
  <c r="F309" i="11"/>
  <c r="G309" i="11"/>
  <c r="H309" i="11"/>
  <c r="I309" i="11"/>
  <c r="F310" i="11"/>
  <c r="G310" i="11"/>
  <c r="H310" i="11"/>
  <c r="I310" i="11"/>
  <c r="F311" i="11"/>
  <c r="G311" i="11"/>
  <c r="H311" i="11"/>
  <c r="I311" i="11"/>
  <c r="F312" i="11"/>
  <c r="G312" i="11"/>
  <c r="H312" i="11"/>
  <c r="I312" i="11"/>
  <c r="F313" i="11"/>
  <c r="G313" i="11"/>
  <c r="H313" i="11"/>
  <c r="I313" i="11"/>
  <c r="F314" i="11"/>
  <c r="G314" i="11"/>
  <c r="H314" i="11"/>
  <c r="I314" i="11"/>
  <c r="F315" i="11"/>
  <c r="G315" i="11"/>
  <c r="H315" i="11"/>
  <c r="I315" i="11"/>
  <c r="F316" i="11"/>
  <c r="G316" i="11"/>
  <c r="H316" i="11"/>
  <c r="I316" i="11"/>
  <c r="F317" i="11"/>
  <c r="G317" i="11"/>
  <c r="H317" i="11"/>
  <c r="I317" i="11"/>
  <c r="F318" i="11"/>
  <c r="G318" i="11"/>
  <c r="H318" i="11"/>
  <c r="I318" i="11"/>
  <c r="F319" i="11"/>
  <c r="G319" i="11"/>
  <c r="H319" i="11"/>
  <c r="I319" i="11"/>
  <c r="F320" i="11"/>
  <c r="G320" i="11"/>
  <c r="H320" i="11"/>
  <c r="I320" i="11"/>
  <c r="F321" i="11"/>
  <c r="G321" i="11"/>
  <c r="H321" i="11"/>
  <c r="I321" i="11"/>
  <c r="F322" i="11"/>
  <c r="G322" i="11"/>
  <c r="H322" i="11"/>
  <c r="I322" i="11"/>
  <c r="F323" i="11"/>
  <c r="G323" i="11"/>
  <c r="H323" i="11"/>
  <c r="I323" i="11"/>
  <c r="F324" i="11"/>
  <c r="G324" i="11"/>
  <c r="H324" i="11"/>
  <c r="I324" i="11"/>
  <c r="F325" i="11"/>
  <c r="G325" i="11"/>
  <c r="H325" i="11"/>
  <c r="I325" i="11"/>
  <c r="F326" i="11"/>
  <c r="G326" i="11"/>
  <c r="H326" i="11"/>
  <c r="I326" i="11"/>
  <c r="F327" i="11"/>
  <c r="G327" i="11"/>
  <c r="H327" i="11"/>
  <c r="I327" i="11"/>
  <c r="F328" i="11"/>
  <c r="G328" i="11"/>
  <c r="H328" i="11"/>
  <c r="I328" i="11"/>
  <c r="F329" i="11"/>
  <c r="G329" i="11"/>
  <c r="H329" i="11"/>
  <c r="I329" i="11"/>
  <c r="F330" i="11"/>
  <c r="G330" i="11"/>
  <c r="H330" i="11"/>
  <c r="I330" i="11"/>
  <c r="F331" i="11"/>
  <c r="G331" i="11"/>
  <c r="H331" i="11"/>
  <c r="I331" i="11"/>
  <c r="F332" i="11"/>
  <c r="G332" i="11"/>
  <c r="H332" i="11"/>
  <c r="I332" i="11"/>
  <c r="F333" i="11"/>
  <c r="G333" i="11"/>
  <c r="H333" i="11"/>
  <c r="I333" i="11"/>
  <c r="F334" i="11"/>
  <c r="G334" i="11"/>
  <c r="H334" i="11"/>
  <c r="I334" i="11"/>
  <c r="F335" i="11"/>
  <c r="G335" i="11"/>
  <c r="H335" i="11"/>
  <c r="I335" i="11"/>
  <c r="F336" i="11"/>
  <c r="G336" i="11"/>
  <c r="H336" i="11"/>
  <c r="I336" i="11"/>
  <c r="F337" i="11"/>
  <c r="G337" i="11"/>
  <c r="H337" i="11"/>
  <c r="I337" i="11"/>
  <c r="F338" i="11"/>
  <c r="G338" i="11"/>
  <c r="H338" i="11"/>
  <c r="I338" i="11"/>
  <c r="F339" i="11"/>
  <c r="G339" i="11"/>
  <c r="H339" i="11"/>
  <c r="I339" i="11"/>
  <c r="F340" i="11"/>
  <c r="G340" i="11"/>
  <c r="H340" i="11"/>
  <c r="I340" i="11"/>
  <c r="F341" i="11"/>
  <c r="G341" i="11"/>
  <c r="H341" i="11"/>
  <c r="I341" i="11"/>
  <c r="F342" i="11"/>
  <c r="G342" i="11"/>
  <c r="H342" i="11"/>
  <c r="I342" i="11"/>
  <c r="F343" i="11"/>
  <c r="G343" i="11"/>
  <c r="H343" i="11"/>
  <c r="I343" i="11"/>
  <c r="F344" i="11"/>
  <c r="G344" i="11"/>
  <c r="H344" i="11"/>
  <c r="I344" i="11"/>
  <c r="F345" i="11"/>
  <c r="G345" i="11"/>
  <c r="H345" i="11"/>
  <c r="I345" i="11"/>
  <c r="F346" i="11"/>
  <c r="G346" i="11"/>
  <c r="H346" i="11"/>
  <c r="I346" i="11"/>
  <c r="F347" i="11"/>
  <c r="G347" i="11"/>
  <c r="H347" i="11"/>
  <c r="I347" i="11"/>
  <c r="F348" i="11"/>
  <c r="G348" i="11"/>
  <c r="H348" i="11"/>
  <c r="I348" i="11"/>
  <c r="F349" i="11"/>
  <c r="G349" i="11"/>
  <c r="H349" i="11"/>
  <c r="I349" i="11"/>
  <c r="F350" i="11"/>
  <c r="G350" i="11"/>
  <c r="H350" i="11"/>
  <c r="I350" i="11"/>
  <c r="F351" i="11"/>
  <c r="G351" i="11"/>
  <c r="H351" i="11"/>
  <c r="I351" i="11"/>
  <c r="F352" i="11"/>
  <c r="G352" i="11"/>
  <c r="H352" i="11"/>
  <c r="I352" i="11"/>
  <c r="F353" i="11"/>
  <c r="G353" i="11"/>
  <c r="H353" i="11"/>
  <c r="I353" i="11"/>
  <c r="F354" i="11"/>
  <c r="G354" i="11"/>
  <c r="H354" i="11"/>
  <c r="I354" i="11"/>
  <c r="F355" i="11"/>
  <c r="G355" i="11"/>
  <c r="H355" i="11"/>
  <c r="I355" i="11"/>
  <c r="F356" i="11"/>
  <c r="G356" i="11"/>
  <c r="H356" i="11"/>
  <c r="I356" i="11"/>
  <c r="F357" i="11"/>
  <c r="G357" i="11"/>
  <c r="H357" i="11"/>
  <c r="I357" i="11"/>
  <c r="F358" i="11"/>
  <c r="G358" i="11"/>
  <c r="H358" i="11"/>
  <c r="I358" i="11"/>
  <c r="F359" i="11"/>
  <c r="G359" i="11"/>
  <c r="H359" i="11"/>
  <c r="I359" i="11"/>
  <c r="F360" i="11"/>
  <c r="G360" i="11"/>
  <c r="H360" i="11"/>
  <c r="I360" i="11"/>
  <c r="F361" i="11"/>
  <c r="G361" i="11"/>
  <c r="H361" i="11"/>
  <c r="I361" i="11"/>
  <c r="F362" i="11"/>
  <c r="G362" i="11"/>
  <c r="H362" i="11"/>
  <c r="I362" i="11"/>
  <c r="F363" i="11"/>
  <c r="G363" i="11"/>
  <c r="H363" i="11"/>
  <c r="I363" i="11"/>
  <c r="F364" i="11"/>
  <c r="G364" i="11"/>
  <c r="H364" i="11"/>
  <c r="I364" i="11"/>
  <c r="F365" i="11"/>
  <c r="G365" i="11"/>
  <c r="H365" i="11"/>
  <c r="I365" i="11"/>
  <c r="F366" i="11"/>
  <c r="G366" i="11"/>
  <c r="H366" i="11"/>
  <c r="I366" i="11"/>
  <c r="F367" i="11"/>
  <c r="G367" i="11"/>
  <c r="H367" i="11"/>
  <c r="I367" i="11"/>
  <c r="F368" i="11"/>
  <c r="G368" i="11"/>
  <c r="H368" i="11"/>
  <c r="I368" i="11"/>
  <c r="F369" i="11"/>
  <c r="G369" i="11"/>
  <c r="H369" i="11"/>
  <c r="I369" i="11"/>
  <c r="F370" i="11"/>
  <c r="G370" i="11"/>
  <c r="H370" i="11"/>
  <c r="I370" i="11"/>
  <c r="F371" i="11"/>
  <c r="G371" i="11"/>
  <c r="H371" i="11"/>
  <c r="I371" i="11"/>
  <c r="F372" i="11"/>
  <c r="G372" i="11"/>
  <c r="H372" i="11"/>
  <c r="I372" i="11"/>
  <c r="F373" i="11"/>
  <c r="G373" i="11"/>
  <c r="H373" i="11"/>
  <c r="I373" i="11"/>
  <c r="F374" i="11"/>
  <c r="G374" i="11"/>
  <c r="H374" i="11"/>
  <c r="I374" i="11"/>
  <c r="F375" i="11"/>
  <c r="G375" i="11"/>
  <c r="H375" i="11"/>
  <c r="I375" i="11"/>
  <c r="F376" i="11"/>
  <c r="G376" i="11"/>
  <c r="H376" i="11"/>
  <c r="I376" i="11"/>
  <c r="F377" i="11"/>
  <c r="G377" i="11"/>
  <c r="H377" i="11"/>
  <c r="I377" i="11"/>
  <c r="F378" i="11"/>
  <c r="G378" i="11"/>
  <c r="H378" i="11"/>
  <c r="I378" i="11"/>
  <c r="F379" i="11"/>
  <c r="G379" i="11"/>
  <c r="H379" i="11"/>
  <c r="I379" i="11"/>
  <c r="F380" i="11"/>
  <c r="G380" i="11"/>
  <c r="H380" i="11"/>
  <c r="I380" i="11"/>
  <c r="F381" i="11"/>
  <c r="G381" i="11"/>
  <c r="H381" i="11"/>
  <c r="I381" i="11"/>
  <c r="F382" i="11"/>
  <c r="G382" i="11"/>
  <c r="H382" i="11"/>
  <c r="I382" i="11"/>
  <c r="F383" i="11"/>
  <c r="G383" i="11"/>
  <c r="H383" i="11"/>
  <c r="I383" i="11"/>
  <c r="F384" i="11"/>
  <c r="G384" i="11"/>
  <c r="H384" i="11"/>
  <c r="I384" i="11"/>
  <c r="F385" i="11"/>
  <c r="G385" i="11"/>
  <c r="H385" i="11"/>
  <c r="I385" i="11"/>
  <c r="F386" i="11"/>
  <c r="G386" i="11"/>
  <c r="H386" i="11"/>
  <c r="I386" i="11"/>
  <c r="F387" i="11"/>
  <c r="G387" i="11"/>
  <c r="H387" i="11"/>
  <c r="I387" i="11"/>
  <c r="F388" i="11"/>
  <c r="G388" i="11"/>
  <c r="H388" i="11"/>
  <c r="I388" i="11"/>
  <c r="F389" i="11"/>
  <c r="G389" i="11"/>
  <c r="H389" i="11"/>
  <c r="I389" i="11"/>
  <c r="F390" i="11"/>
  <c r="G390" i="11"/>
  <c r="H390" i="11"/>
  <c r="I390" i="11"/>
  <c r="F391" i="11"/>
  <c r="G391" i="11"/>
  <c r="H391" i="11"/>
  <c r="I391" i="11"/>
  <c r="F392" i="11"/>
  <c r="G392" i="11"/>
  <c r="H392" i="11"/>
  <c r="I392" i="11"/>
  <c r="F393" i="11"/>
  <c r="G393" i="11"/>
  <c r="H393" i="11"/>
  <c r="I393" i="11"/>
  <c r="F394" i="11"/>
  <c r="G394" i="11"/>
  <c r="H394" i="11"/>
  <c r="I394" i="11"/>
  <c r="F395" i="11"/>
  <c r="G395" i="11"/>
  <c r="H395" i="11"/>
  <c r="I395" i="11"/>
  <c r="F396" i="11"/>
  <c r="G396" i="11"/>
  <c r="H396" i="11"/>
  <c r="I396" i="11"/>
  <c r="F397" i="11"/>
  <c r="G397" i="11"/>
  <c r="H397" i="11"/>
  <c r="I397" i="11"/>
  <c r="F398" i="11"/>
  <c r="G398" i="11"/>
  <c r="H398" i="11"/>
  <c r="I398" i="11"/>
  <c r="F399" i="11"/>
  <c r="G399" i="11"/>
  <c r="H399" i="11"/>
  <c r="I399" i="11"/>
  <c r="F400" i="11"/>
  <c r="G400" i="11"/>
  <c r="H400" i="11"/>
  <c r="I400" i="11"/>
  <c r="F401" i="11"/>
  <c r="G401" i="11"/>
  <c r="H401" i="11"/>
  <c r="I401" i="11"/>
  <c r="F402" i="11"/>
  <c r="G402" i="11"/>
  <c r="H402" i="11"/>
  <c r="I402" i="11"/>
  <c r="F403" i="11"/>
  <c r="G403" i="11"/>
  <c r="H403" i="11"/>
  <c r="I403" i="11"/>
  <c r="F404" i="11"/>
  <c r="G404" i="11"/>
  <c r="H404" i="11"/>
  <c r="I404" i="11"/>
  <c r="F405" i="11"/>
  <c r="G405" i="11"/>
  <c r="H405" i="11"/>
  <c r="I405" i="11"/>
  <c r="F406" i="11"/>
  <c r="G406" i="11"/>
  <c r="H406" i="11"/>
  <c r="I406" i="11"/>
  <c r="F407" i="11"/>
  <c r="G407" i="11"/>
  <c r="H407" i="11"/>
  <c r="I407" i="11"/>
  <c r="F408" i="11"/>
  <c r="G408" i="11"/>
  <c r="H408" i="11"/>
  <c r="I408" i="11"/>
  <c r="F409" i="11"/>
  <c r="G409" i="11"/>
  <c r="H409" i="11"/>
  <c r="I409" i="11"/>
  <c r="F410" i="11"/>
  <c r="G410" i="11"/>
  <c r="H410" i="11"/>
  <c r="I410" i="11"/>
  <c r="F411" i="11"/>
  <c r="G411" i="11"/>
  <c r="H411" i="11"/>
  <c r="I411" i="11"/>
  <c r="F412" i="11"/>
  <c r="G412" i="11"/>
  <c r="H412" i="11"/>
  <c r="I412" i="11"/>
  <c r="F413" i="11"/>
  <c r="G413" i="11"/>
  <c r="H413" i="11"/>
  <c r="I413" i="11"/>
  <c r="F414" i="11"/>
  <c r="G414" i="11"/>
  <c r="H414" i="11"/>
  <c r="I414" i="11"/>
  <c r="F415" i="11"/>
  <c r="G415" i="11"/>
  <c r="H415" i="11"/>
  <c r="I415" i="11"/>
  <c r="F416" i="11"/>
  <c r="G416" i="11"/>
  <c r="H416" i="11"/>
  <c r="I416" i="11"/>
  <c r="F417" i="11"/>
  <c r="G417" i="11"/>
  <c r="H417" i="11"/>
  <c r="I417" i="11"/>
  <c r="F418" i="11"/>
  <c r="G418" i="11"/>
  <c r="H418" i="11"/>
  <c r="I418" i="11"/>
  <c r="F419" i="11"/>
  <c r="G419" i="11"/>
  <c r="H419" i="11"/>
  <c r="I419" i="11"/>
  <c r="F420" i="11"/>
  <c r="G420" i="11"/>
  <c r="H420" i="11"/>
  <c r="I420" i="11"/>
  <c r="F421" i="11"/>
  <c r="G421" i="11"/>
  <c r="H421" i="11"/>
  <c r="I421" i="11"/>
  <c r="F422" i="11"/>
  <c r="G422" i="11"/>
  <c r="H422" i="11"/>
  <c r="I422" i="11"/>
  <c r="F423" i="11"/>
  <c r="G423" i="11"/>
  <c r="H423" i="11"/>
  <c r="I423" i="11"/>
  <c r="F424" i="11"/>
  <c r="G424" i="11"/>
  <c r="H424" i="11"/>
  <c r="I424" i="11"/>
  <c r="F425" i="11"/>
  <c r="G425" i="11"/>
  <c r="H425" i="11"/>
  <c r="I425" i="11"/>
  <c r="F426" i="11"/>
  <c r="G426" i="11"/>
  <c r="H426" i="11"/>
  <c r="I426" i="11"/>
  <c r="F427" i="11"/>
  <c r="G427" i="11"/>
  <c r="H427" i="11"/>
  <c r="I427" i="11"/>
  <c r="F428" i="11"/>
  <c r="G428" i="11"/>
  <c r="H428" i="11"/>
  <c r="I428" i="11"/>
  <c r="F429" i="11"/>
  <c r="G429" i="11"/>
  <c r="H429" i="11"/>
  <c r="I429" i="11"/>
  <c r="F430" i="11"/>
  <c r="G430" i="11"/>
  <c r="H430" i="11"/>
  <c r="I430" i="11"/>
  <c r="F431" i="11"/>
  <c r="G431" i="11"/>
  <c r="H431" i="11"/>
  <c r="I431" i="11"/>
  <c r="F432" i="11"/>
  <c r="G432" i="11"/>
  <c r="H432" i="11"/>
  <c r="I432" i="11"/>
  <c r="F433" i="11"/>
  <c r="G433" i="11"/>
  <c r="H433" i="11"/>
  <c r="I433" i="11"/>
  <c r="F434" i="11"/>
  <c r="G434" i="11"/>
  <c r="H434" i="11"/>
  <c r="I434" i="11"/>
  <c r="F435" i="11"/>
  <c r="G435" i="11"/>
  <c r="H435" i="11"/>
  <c r="I435" i="11"/>
  <c r="F436" i="11"/>
  <c r="G436" i="11"/>
  <c r="H436" i="11"/>
  <c r="I436" i="11"/>
  <c r="F437" i="11"/>
  <c r="G437" i="11"/>
  <c r="H437" i="11"/>
  <c r="I437" i="11"/>
  <c r="F438" i="11"/>
  <c r="G438" i="11"/>
  <c r="H438" i="11"/>
  <c r="I438" i="11"/>
  <c r="F439" i="11"/>
  <c r="G439" i="11"/>
  <c r="H439" i="11"/>
  <c r="I439" i="11"/>
  <c r="F440" i="11"/>
  <c r="G440" i="11"/>
  <c r="H440" i="11"/>
  <c r="I440" i="11"/>
  <c r="F441" i="11"/>
  <c r="G441" i="11"/>
  <c r="H441" i="11"/>
  <c r="I441" i="11"/>
  <c r="F442" i="11"/>
  <c r="G442" i="11"/>
  <c r="H442" i="11"/>
  <c r="I442" i="11"/>
  <c r="F443" i="11"/>
  <c r="G443" i="11"/>
  <c r="H443" i="11"/>
  <c r="I443" i="11"/>
  <c r="F444" i="11"/>
  <c r="G444" i="11"/>
  <c r="H444" i="11"/>
  <c r="I444" i="11"/>
  <c r="F445" i="11"/>
  <c r="G445" i="11"/>
  <c r="H445" i="11"/>
  <c r="I445" i="11"/>
  <c r="F446" i="11"/>
  <c r="G446" i="11"/>
  <c r="H446" i="11"/>
  <c r="I446" i="11"/>
  <c r="F447" i="11"/>
  <c r="G447" i="11"/>
  <c r="H447" i="11"/>
  <c r="I447" i="11"/>
  <c r="F448" i="11"/>
  <c r="G448" i="11"/>
  <c r="H448" i="11"/>
  <c r="I448" i="11"/>
  <c r="F449" i="11"/>
  <c r="G449" i="11"/>
  <c r="H449" i="11"/>
  <c r="I449" i="11"/>
  <c r="F450" i="11"/>
  <c r="G450" i="11"/>
  <c r="H450" i="11"/>
  <c r="I450" i="11"/>
  <c r="F451" i="11"/>
  <c r="G451" i="11"/>
  <c r="H451" i="11"/>
  <c r="I451" i="11"/>
  <c r="F452" i="11"/>
  <c r="G452" i="11"/>
  <c r="H452" i="11"/>
  <c r="I452" i="11"/>
  <c r="F453" i="11"/>
  <c r="G453" i="11"/>
  <c r="H453" i="11"/>
  <c r="I453" i="11"/>
  <c r="F454" i="11"/>
  <c r="G454" i="11"/>
  <c r="H454" i="11"/>
  <c r="I454" i="11"/>
  <c r="F455" i="11"/>
  <c r="G455" i="11"/>
  <c r="H455" i="11"/>
  <c r="I455" i="11"/>
  <c r="F456" i="11"/>
  <c r="G456" i="11"/>
  <c r="H456" i="11"/>
  <c r="I456" i="11"/>
  <c r="F457" i="11"/>
  <c r="G457" i="11"/>
  <c r="H457" i="11"/>
  <c r="I457" i="11"/>
  <c r="F458" i="11"/>
  <c r="G458" i="11"/>
  <c r="H458" i="11"/>
  <c r="I458" i="11"/>
  <c r="F459" i="11"/>
  <c r="G459" i="11"/>
  <c r="H459" i="11"/>
  <c r="I459" i="11"/>
  <c r="F460" i="11"/>
  <c r="G460" i="11"/>
  <c r="H460" i="11"/>
  <c r="I460" i="11"/>
  <c r="F461" i="11"/>
  <c r="G461" i="11"/>
  <c r="H461" i="11"/>
  <c r="I461" i="11"/>
  <c r="F462" i="11"/>
  <c r="G462" i="11"/>
  <c r="H462" i="11"/>
  <c r="I462" i="11"/>
  <c r="F463" i="11"/>
  <c r="G463" i="11"/>
  <c r="H463" i="11"/>
  <c r="I463" i="11"/>
  <c r="F464" i="11"/>
  <c r="G464" i="11"/>
  <c r="H464" i="11"/>
  <c r="I464" i="11"/>
  <c r="F465" i="11"/>
  <c r="G465" i="11"/>
  <c r="H465" i="11"/>
  <c r="I465" i="11"/>
  <c r="F466" i="11"/>
  <c r="G466" i="11"/>
  <c r="H466" i="11"/>
  <c r="I466" i="11"/>
  <c r="F467" i="11"/>
  <c r="G467" i="11"/>
  <c r="H467" i="11"/>
  <c r="I467" i="11"/>
  <c r="F468" i="11"/>
  <c r="G468" i="11"/>
  <c r="H468" i="11"/>
  <c r="I468" i="11"/>
  <c r="F469" i="11"/>
  <c r="G469" i="11"/>
  <c r="H469" i="11"/>
  <c r="I469" i="11"/>
  <c r="F470" i="11"/>
  <c r="G470" i="11"/>
  <c r="H470" i="11"/>
  <c r="I470" i="11"/>
  <c r="F471" i="11"/>
  <c r="G471" i="11"/>
  <c r="H471" i="11"/>
  <c r="I471" i="11"/>
  <c r="F472" i="11"/>
  <c r="G472" i="11"/>
  <c r="H472" i="11"/>
  <c r="I472" i="11"/>
  <c r="F473" i="11"/>
  <c r="G473" i="11"/>
  <c r="H473" i="11"/>
  <c r="I473" i="11"/>
  <c r="F474" i="11"/>
  <c r="G474" i="11"/>
  <c r="H474" i="11"/>
  <c r="I474" i="11"/>
  <c r="F475" i="11"/>
  <c r="G475" i="11"/>
  <c r="H475" i="11"/>
  <c r="I475" i="11"/>
  <c r="F476" i="11"/>
  <c r="G476" i="11"/>
  <c r="H476" i="11"/>
  <c r="I476" i="11"/>
  <c r="F477" i="11"/>
  <c r="G477" i="11"/>
  <c r="H477" i="11"/>
  <c r="I477" i="11"/>
  <c r="F478" i="11"/>
  <c r="G478" i="11"/>
  <c r="H478" i="11"/>
  <c r="I478" i="11"/>
  <c r="F479" i="11"/>
  <c r="G479" i="11"/>
  <c r="H479" i="11"/>
  <c r="I479" i="11"/>
  <c r="F480" i="11"/>
  <c r="G480" i="11"/>
  <c r="H480" i="11"/>
  <c r="I480" i="11"/>
  <c r="F481" i="11"/>
  <c r="G481" i="11"/>
  <c r="H481" i="11"/>
  <c r="I481" i="11"/>
  <c r="F482" i="11"/>
  <c r="G482" i="11"/>
  <c r="H482" i="11"/>
  <c r="I482" i="11"/>
  <c r="F483" i="11"/>
  <c r="G483" i="11"/>
  <c r="H483" i="11"/>
  <c r="I483" i="11"/>
  <c r="F484" i="11"/>
  <c r="G484" i="11"/>
  <c r="H484" i="11"/>
  <c r="I484" i="11"/>
  <c r="F485" i="11"/>
  <c r="G485" i="11"/>
  <c r="H485" i="11"/>
  <c r="I485" i="11"/>
  <c r="F486" i="11"/>
  <c r="G486" i="11"/>
  <c r="H486" i="11"/>
  <c r="I486" i="11"/>
  <c r="F487" i="11"/>
  <c r="G487" i="11"/>
  <c r="H487" i="11"/>
  <c r="I487" i="11"/>
  <c r="F488" i="11"/>
  <c r="G488" i="11"/>
  <c r="H488" i="11"/>
  <c r="I488" i="11"/>
  <c r="F489" i="11"/>
  <c r="G489" i="11"/>
  <c r="H489" i="11"/>
  <c r="I489" i="11"/>
  <c r="F490" i="11"/>
  <c r="G490" i="11"/>
  <c r="H490" i="11"/>
  <c r="I490" i="11"/>
  <c r="F491" i="11"/>
  <c r="G491" i="11"/>
  <c r="H491" i="11"/>
  <c r="I491" i="11"/>
  <c r="H3" i="11"/>
  <c r="I3" i="11"/>
  <c r="G3" i="11"/>
  <c r="F3" i="11"/>
  <c r="K65" i="9"/>
  <c r="K63" i="9"/>
  <c r="K67" i="9" s="1"/>
  <c r="F63" i="9"/>
  <c r="K59" i="9"/>
  <c r="N58" i="9"/>
  <c r="M58" i="9"/>
  <c r="F58" i="9"/>
  <c r="F65" i="9" s="1"/>
  <c r="G33" i="9"/>
  <c r="Q31" i="9"/>
  <c r="L31" i="9"/>
  <c r="G31" i="9"/>
  <c r="Q29" i="9"/>
  <c r="Q33" i="9" s="1"/>
  <c r="G29" i="9"/>
  <c r="Q27" i="9"/>
  <c r="L26" i="9"/>
  <c r="L29" i="9" s="1"/>
  <c r="L33" i="9" s="1"/>
  <c r="L25" i="9"/>
  <c r="D28" i="4"/>
  <c r="J41" i="5"/>
  <c r="K40" i="5"/>
  <c r="J85" i="5"/>
  <c r="J84" i="5"/>
  <c r="J83" i="5"/>
  <c r="J82" i="5"/>
  <c r="J81" i="5"/>
  <c r="J80" i="5"/>
  <c r="K79" i="5"/>
  <c r="H77" i="5"/>
  <c r="L79" i="5" s="1"/>
  <c r="K68" i="5"/>
  <c r="H66" i="5"/>
  <c r="L68" i="5" s="1"/>
  <c r="K57" i="5"/>
  <c r="H57" i="5"/>
  <c r="L57" i="5" s="1"/>
  <c r="J46" i="5"/>
  <c r="J45" i="5"/>
  <c r="J44" i="5"/>
  <c r="J43" i="5"/>
  <c r="J42" i="5"/>
  <c r="H38" i="5"/>
  <c r="L40" i="5" s="1"/>
  <c r="J35" i="5"/>
  <c r="J34" i="5"/>
  <c r="J33" i="5"/>
  <c r="J32" i="5"/>
  <c r="J31" i="5"/>
  <c r="J30" i="5"/>
  <c r="L29" i="5"/>
  <c r="K29" i="5"/>
  <c r="H27" i="5"/>
  <c r="J24" i="5"/>
  <c r="J23" i="5"/>
  <c r="J22" i="5"/>
  <c r="J21" i="5"/>
  <c r="J20" i="5"/>
  <c r="J19" i="5"/>
  <c r="K18" i="5"/>
  <c r="H18" i="5"/>
  <c r="L18" i="5" s="1"/>
  <c r="E56" i="4"/>
  <c r="I51" i="4"/>
  <c r="J51" i="4" s="1"/>
  <c r="I49" i="4"/>
  <c r="J49" i="4" s="1"/>
  <c r="H51" i="4"/>
  <c r="H50" i="4"/>
  <c r="I50" i="4" s="1"/>
  <c r="J50" i="4" s="1"/>
  <c r="H49" i="4"/>
  <c r="E54" i="4"/>
  <c r="G51" i="4"/>
  <c r="G50" i="4"/>
  <c r="G49" i="4"/>
  <c r="H21" i="4"/>
  <c r="G21" i="4"/>
  <c r="G22" i="4"/>
  <c r="H22" i="4"/>
  <c r="D27" i="4"/>
  <c r="G63" i="3"/>
  <c r="G53" i="3"/>
  <c r="G54" i="3"/>
  <c r="G55" i="3"/>
  <c r="D62" i="3"/>
  <c r="H34" i="3"/>
  <c r="M35" i="3"/>
  <c r="H23" i="3"/>
  <c r="F23" i="3"/>
  <c r="E23" i="3"/>
  <c r="F24" i="3" a="1"/>
  <c r="F24" i="3" s="1"/>
  <c r="E24" i="3" a="1"/>
  <c r="E24" i="3" s="1"/>
  <c r="M34" i="3"/>
  <c r="H18" i="3"/>
  <c r="H19" i="3"/>
  <c r="H24" i="3" s="1" a="1"/>
  <c r="H24" i="3" s="1"/>
  <c r="H20" i="3"/>
  <c r="H21" i="3"/>
  <c r="H22" i="3"/>
  <c r="H17" i="3"/>
  <c r="E43" i="3"/>
  <c r="E42" i="3"/>
  <c r="E35" i="3"/>
  <c r="E34" i="3"/>
  <c r="E17" i="3"/>
  <c r="F17" i="3"/>
  <c r="F18" i="3"/>
  <c r="F19" i="3"/>
  <c r="F20" i="3"/>
  <c r="F21" i="3"/>
  <c r="F22" i="3"/>
  <c r="E18" i="3"/>
  <c r="E19" i="3"/>
  <c r="E20" i="3"/>
  <c r="E21" i="3"/>
  <c r="E22" i="3"/>
  <c r="H42" i="2" a="1"/>
  <c r="H42" i="2"/>
  <c r="H40" i="2"/>
  <c r="E40" i="2"/>
  <c r="D40" i="2"/>
  <c r="E30" i="2" a="1"/>
  <c r="E30" i="2" s="1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7" i="2"/>
  <c r="E29" i="2" s="1"/>
  <c r="G63" i="1"/>
  <c r="E53" i="1"/>
  <c r="E52" i="1"/>
  <c r="D54" i="1" s="1"/>
  <c r="D55" i="1" s="1"/>
  <c r="H38" i="1"/>
  <c r="E41" i="1"/>
  <c r="E40" i="1"/>
  <c r="D42" i="1" s="1"/>
  <c r="D31" i="1"/>
  <c r="D22" i="1"/>
  <c r="D18" i="1"/>
  <c r="F67" i="9" l="1"/>
  <c r="O58" i="9" s="1"/>
  <c r="E55" i="4"/>
  <c r="G68" i="3"/>
  <c r="G64" i="3" a="1"/>
  <c r="G64" i="3" s="1"/>
  <c r="G67" i="3"/>
  <c r="H3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H18" authorId="0" shapeId="0" xr:uid="{988671F0-0062-4879-B689-25BB571D3832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This therefore becomes the FV of Annuity for the start (inception)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D66" authorId="0" shapeId="0" xr:uid="{DC64232F-3AAD-43EB-9085-AFE00A711514}">
      <text>
        <r>
          <rPr>
            <sz val="9"/>
            <color indexed="81"/>
            <rFont val="Tahoma"/>
            <family val="2"/>
          </rPr>
          <t xml:space="preserve">
Using Goal Seek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I52" authorId="0" shapeId="0" xr:uid="{63967840-AD53-4C58-A2E2-4F1FE14E8C73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Expected Losses are covered by Banks through Pricing adj's &amp; Loan Loss Provisions (reflect high frequency but low value losses)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<sst xmlns="http://schemas.openxmlformats.org/spreadsheetml/2006/main" count="1429" uniqueCount="652">
  <si>
    <t>Let's Assume PV</t>
  </si>
  <si>
    <t>So, FV</t>
  </si>
  <si>
    <t>EPS</t>
  </si>
  <si>
    <t>NOS</t>
  </si>
  <si>
    <t>PAT</t>
  </si>
  <si>
    <t>PBT</t>
  </si>
  <si>
    <t>Tax</t>
  </si>
  <si>
    <t>FV = PV(1+r)^t</t>
  </si>
  <si>
    <t>FV = Future Value</t>
  </si>
  <si>
    <t>PV = Present Value</t>
  </si>
  <si>
    <t>r = Rate of Interest/annum</t>
  </si>
  <si>
    <t>t = time period</t>
  </si>
  <si>
    <t>Q</t>
  </si>
  <si>
    <t xml:space="preserve">Prabh deposits Rs 100,000 today in to a Bank account that returns 11% compounded annually. How much will be accumulated in </t>
  </si>
  <si>
    <t>his Bank a/c after 5 years should this be an inactive account until then?</t>
  </si>
  <si>
    <t>A</t>
  </si>
  <si>
    <t xml:space="preserve">Formula: </t>
  </si>
  <si>
    <t>PV</t>
  </si>
  <si>
    <t>r</t>
  </si>
  <si>
    <t>t</t>
  </si>
  <si>
    <t>FV</t>
  </si>
  <si>
    <t>Excel Func</t>
  </si>
  <si>
    <t>Single Sum</t>
  </si>
  <si>
    <t>Continuous Compounding</t>
  </si>
  <si>
    <t>FV = PV* e^(rt)</t>
  </si>
  <si>
    <t xml:space="preserve">Prabh deposits Rs 100,000 today in to a Bank account that returns 11% compounded continuously. How much will be accumulated in </t>
  </si>
  <si>
    <t>FV (form)</t>
  </si>
  <si>
    <t>Arjun deposits Rs 100 in to a Bank a/c which returns 12% compounded quarterly. Estimate the effective annual</t>
  </si>
  <si>
    <t>return for him? (Time frame : 1 year)</t>
  </si>
  <si>
    <t>m</t>
  </si>
  <si>
    <t>=</t>
  </si>
  <si>
    <t>EAY = (1+r/m)^m - 1</t>
  </si>
  <si>
    <t>Effective annual return</t>
  </si>
  <si>
    <t>ear</t>
  </si>
  <si>
    <t>EAR</t>
  </si>
  <si>
    <t>Cont Comp</t>
  </si>
  <si>
    <t>Comp</t>
  </si>
  <si>
    <t>Goal Seek Method</t>
  </si>
  <si>
    <t xml:space="preserve">Riddhi wants Rs 5,00,000; after 7 years;  in her Bank account that returns 10% compunded monthly. </t>
  </si>
  <si>
    <t xml:space="preserve">How much should she deposit now in to her Bank a/c to achieve her objective? </t>
  </si>
  <si>
    <t>X</t>
  </si>
  <si>
    <t>OR USE GOAL SEEK</t>
  </si>
  <si>
    <t>Set Cell:</t>
  </si>
  <si>
    <t>Link the FV</t>
  </si>
  <si>
    <t>To Value:</t>
  </si>
  <si>
    <t>By Changing:</t>
  </si>
  <si>
    <t>Link the PV</t>
  </si>
  <si>
    <t xml:space="preserve">FV </t>
  </si>
  <si>
    <t>IVF Factor</t>
  </si>
  <si>
    <r>
      <t>rate</t>
    </r>
    <r>
      <rPr>
        <sz val="11"/>
        <color rgb="FF000000"/>
        <rFont val="Calibri Light"/>
        <family val="2"/>
        <scheme val="major"/>
      </rPr>
      <t> - The interest rate per period.</t>
    </r>
  </si>
  <si>
    <r>
      <t>nper</t>
    </r>
    <r>
      <rPr>
        <sz val="11"/>
        <color rgb="FF000000"/>
        <rFont val="Calibri Light"/>
        <family val="2"/>
        <scheme val="major"/>
      </rPr>
      <t> - The total number of payment periods.</t>
    </r>
  </si>
  <si>
    <r>
      <t>pmt</t>
    </r>
    <r>
      <rPr>
        <sz val="11"/>
        <color rgb="FF000000"/>
        <rFont val="Calibri Light"/>
        <family val="2"/>
        <scheme val="major"/>
      </rPr>
      <t> - The payment made each period. Must be entered as a negative number.</t>
    </r>
  </si>
  <si>
    <r>
      <t>pv</t>
    </r>
    <r>
      <rPr>
        <sz val="11"/>
        <color rgb="FF000000"/>
        <rFont val="Calibri Light"/>
        <family val="2"/>
        <scheme val="major"/>
      </rPr>
      <t> - [optional] The present value of future payments. If omitted, assumed to be zero. Must be entered as a negative number.</t>
    </r>
  </si>
  <si>
    <r>
      <t>type</t>
    </r>
    <r>
      <rPr>
        <sz val="11"/>
        <color rgb="FF000000"/>
        <rFont val="Calibri Light"/>
        <family val="2"/>
        <scheme val="major"/>
      </rPr>
      <t> - [optional] When payments are due. 0 = end of period, 1 = beginning of period. Default is 0.</t>
    </r>
  </si>
  <si>
    <t>Month</t>
  </si>
  <si>
    <t>S&amp;P CNX Nifty</t>
  </si>
  <si>
    <t>Rtn</t>
  </si>
  <si>
    <t>AM Rtn</t>
  </si>
  <si>
    <t>Average()</t>
  </si>
  <si>
    <t>GM Rtn</t>
  </si>
  <si>
    <t>GEOMEAN(1+(array)-1</t>
  </si>
  <si>
    <t>1+Rtn</t>
  </si>
  <si>
    <t>GM</t>
  </si>
  <si>
    <t>GM is a better reflectant of returns as it measures how much the investor's investment has grown over time;</t>
  </si>
  <si>
    <t>whereas the AM is just a mathematical average</t>
  </si>
  <si>
    <t xml:space="preserve">Stock </t>
  </si>
  <si>
    <t>t0</t>
  </si>
  <si>
    <t>EOY1</t>
  </si>
  <si>
    <t>EOY2</t>
  </si>
  <si>
    <t>Rtns</t>
  </si>
  <si>
    <t>You are given the prices of the 2 securities A &amp; B as under:</t>
  </si>
  <si>
    <t>Year</t>
  </si>
  <si>
    <t>B</t>
  </si>
  <si>
    <t>Estimate?</t>
  </si>
  <si>
    <t>a) Variance &amp; b) Std Devns of each of the securities &amp;</t>
  </si>
  <si>
    <t>c) What do you infer?</t>
  </si>
  <si>
    <t>n = no of observations</t>
  </si>
  <si>
    <t>Sample Variance = Sum of (x - x.mean)^2/(n-1)</t>
  </si>
  <si>
    <t>Ans</t>
  </si>
  <si>
    <t>Variance</t>
  </si>
  <si>
    <t>RetA</t>
  </si>
  <si>
    <t>RetB</t>
  </si>
  <si>
    <t>For A</t>
  </si>
  <si>
    <t>Std Dev</t>
  </si>
  <si>
    <t>For B</t>
  </si>
  <si>
    <t>Inference</t>
  </si>
  <si>
    <t>A appears to be much more volatile stock BUT also gives more returns</t>
  </si>
  <si>
    <t>compared to B. Essentially a HIGH Risk HIGH Return Stock</t>
  </si>
  <si>
    <t>a) Variance</t>
  </si>
  <si>
    <t>a) Covariance between the two securities &amp;</t>
  </si>
  <si>
    <t>b) Correlation between them</t>
  </si>
  <si>
    <t>d) Covariance between the two securities &amp;</t>
  </si>
  <si>
    <t>e) Correlation between them</t>
  </si>
  <si>
    <t>a)</t>
  </si>
  <si>
    <t>b)</t>
  </si>
  <si>
    <t>c)</t>
  </si>
  <si>
    <t>e)</t>
  </si>
  <si>
    <t>sig2</t>
  </si>
  <si>
    <t>sigma</t>
  </si>
  <si>
    <t>VAR.S</t>
  </si>
  <si>
    <t>Func</t>
  </si>
  <si>
    <t>STDEV.S</t>
  </si>
  <si>
    <t>Correlation</t>
  </si>
  <si>
    <t>f)</t>
  </si>
  <si>
    <t>cov(A,B)</t>
  </si>
  <si>
    <t>Covariance</t>
  </si>
  <si>
    <t>Port</t>
  </si>
  <si>
    <t>For Port</t>
  </si>
  <si>
    <t>AM</t>
  </si>
  <si>
    <t>Wt</t>
  </si>
  <si>
    <t>b) Std Devns of each of the securities (Risk)</t>
  </si>
  <si>
    <t>Practice Case 2</t>
  </si>
  <si>
    <t>Economy</t>
  </si>
  <si>
    <t>Mkt Rtns</t>
  </si>
  <si>
    <t>Stk A Rtns</t>
  </si>
  <si>
    <t>Stk B Rtns</t>
  </si>
  <si>
    <t>Normal</t>
  </si>
  <si>
    <t>Boom</t>
  </si>
  <si>
    <t>Recession</t>
  </si>
  <si>
    <t>Q1) Estimate the Correlation Coefficient ( r )</t>
  </si>
  <si>
    <t>Q2) If you construct an equal weighted portfolio, estimate the portfolio return and risk</t>
  </si>
  <si>
    <t xml:space="preserve">Portfolio </t>
  </si>
  <si>
    <t>r (A,B)</t>
  </si>
  <si>
    <t>Returns</t>
  </si>
  <si>
    <t>Risk</t>
  </si>
  <si>
    <t>Var</t>
  </si>
  <si>
    <t>Std</t>
  </si>
  <si>
    <t>Portfolio</t>
  </si>
  <si>
    <t>Q1</t>
  </si>
  <si>
    <t>Pranya has just earned a bonus of Rs 10,00,000 and she has decided to create a portfolio as under:</t>
  </si>
  <si>
    <t>INR</t>
  </si>
  <si>
    <t xml:space="preserve">Stocks (Equity) </t>
  </si>
  <si>
    <t>Bonds (Fixed Income)</t>
  </si>
  <si>
    <t xml:space="preserve">Stocks selected have expected Rtn &amp; Risk of 16% and 24% respectively while that for Bonds is 8% and 6% respectively. </t>
  </si>
  <si>
    <t xml:space="preserve">The stocks and bonds have a correlation of -0.28 between them. </t>
  </si>
  <si>
    <t>a) Portfolio Return &amp;</t>
  </si>
  <si>
    <t>b) Portfolio Risk</t>
  </si>
  <si>
    <t>Inv Val</t>
  </si>
  <si>
    <t>Wts</t>
  </si>
  <si>
    <t>Stocks</t>
  </si>
  <si>
    <t>Bonds</t>
  </si>
  <si>
    <t>r=</t>
  </si>
  <si>
    <t>Portfolio Rtn</t>
  </si>
  <si>
    <t>=SUMPRODUCT(G21:G22,H21:H22)</t>
  </si>
  <si>
    <t>Portfolio Risk</t>
  </si>
  <si>
    <t>=SQRT(G21^2*I21^2+G22^2*I22^2+2*G21*G22*I21*I22*I24)</t>
  </si>
  <si>
    <t>Q2</t>
  </si>
  <si>
    <t>For the following stock, estimate the Return and the Risk?</t>
  </si>
  <si>
    <t>Probability</t>
  </si>
  <si>
    <t xml:space="preserve">Rtn </t>
  </si>
  <si>
    <t>Formula for Rtn</t>
  </si>
  <si>
    <r>
      <t>∑ R</t>
    </r>
    <r>
      <rPr>
        <vertAlign val="subscript"/>
        <sz val="9"/>
        <color theme="1"/>
        <rFont val="Calibri"/>
        <family val="2"/>
      </rPr>
      <t>i</t>
    </r>
    <r>
      <rPr>
        <sz val="9"/>
        <color theme="1"/>
        <rFont val="Calibri"/>
        <family val="2"/>
      </rPr>
      <t xml:space="preserve"> X P</t>
    </r>
    <r>
      <rPr>
        <vertAlign val="subscript"/>
        <sz val="9"/>
        <color theme="1"/>
        <rFont val="Calibri"/>
        <family val="2"/>
      </rPr>
      <t>i</t>
    </r>
  </si>
  <si>
    <t>Formula for Variance</t>
  </si>
  <si>
    <r>
      <t>∑ (Devn)^2*P</t>
    </r>
    <r>
      <rPr>
        <vertAlign val="subscript"/>
        <sz val="9"/>
        <color theme="1"/>
        <rFont val="Calibri"/>
        <family val="2"/>
      </rPr>
      <t>i</t>
    </r>
  </si>
  <si>
    <t>Ri X Pi</t>
  </si>
  <si>
    <t>Devns</t>
  </si>
  <si>
    <t>Sq Devns</t>
  </si>
  <si>
    <t>Sq Devns X Pi</t>
  </si>
  <si>
    <t>σ</t>
  </si>
  <si>
    <t>Ret</t>
  </si>
  <si>
    <t>FORMULA FOR TWO STOCK PORTFOLIOS</t>
  </si>
  <si>
    <r>
      <t xml:space="preserve">Std Devn </t>
    </r>
    <r>
      <rPr>
        <b/>
        <vertAlign val="subscript"/>
        <sz val="11"/>
        <color theme="1"/>
        <rFont val="Calibri"/>
        <family val="2"/>
        <scheme val="minor"/>
      </rPr>
      <t>prtf</t>
    </r>
  </si>
  <si>
    <r>
      <t>SQRT(w</t>
    </r>
    <r>
      <rPr>
        <b/>
        <vertAlign val="subscript"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^2 * </t>
    </r>
    <r>
      <rPr>
        <b/>
        <sz val="10"/>
        <color theme="1"/>
        <rFont val="Calibri"/>
        <family val="2"/>
      </rPr>
      <t>σ</t>
    </r>
    <r>
      <rPr>
        <b/>
        <vertAlign val="subscript"/>
        <sz val="10"/>
        <color theme="1"/>
        <rFont val="Calibri"/>
        <family val="2"/>
      </rPr>
      <t>a</t>
    </r>
    <r>
      <rPr>
        <b/>
        <sz val="10"/>
        <color theme="1"/>
        <rFont val="Calibri"/>
        <family val="2"/>
      </rPr>
      <t>^2 + w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^2 * σ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^2 + 2*w</t>
    </r>
    <r>
      <rPr>
        <b/>
        <vertAlign val="subscript"/>
        <sz val="10"/>
        <color theme="1"/>
        <rFont val="Calibri"/>
        <family val="2"/>
      </rPr>
      <t>a</t>
    </r>
    <r>
      <rPr>
        <b/>
        <sz val="10"/>
        <color theme="1"/>
        <rFont val="Calibri"/>
        <family val="2"/>
      </rPr>
      <t>*w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*cov</t>
    </r>
    <r>
      <rPr>
        <b/>
        <vertAlign val="subscript"/>
        <sz val="10"/>
        <color theme="1"/>
        <rFont val="Calibri"/>
        <family val="2"/>
      </rPr>
      <t>a,b</t>
    </r>
    <r>
      <rPr>
        <b/>
        <sz val="10"/>
        <color theme="1"/>
        <rFont val="Calibri"/>
        <family val="2"/>
      </rPr>
      <t>)</t>
    </r>
  </si>
  <si>
    <t>Rtn_p</t>
  </si>
  <si>
    <t>dev</t>
  </si>
  <si>
    <t>sq</t>
  </si>
  <si>
    <t>sq_p</t>
  </si>
  <si>
    <t>Risk/std</t>
  </si>
  <si>
    <t>U=</t>
  </si>
  <si>
    <r>
      <t xml:space="preserve">Exp Rtn (-) 1/2 * A * </t>
    </r>
    <r>
      <rPr>
        <b/>
        <sz val="12"/>
        <color theme="1"/>
        <rFont val="Calibri"/>
        <family val="2"/>
      </rPr>
      <t>σ^2</t>
    </r>
  </si>
  <si>
    <t>Risk Aversion Coefficient</t>
  </si>
  <si>
    <t>For Risk Averse Investors --- A is +ve</t>
  </si>
  <si>
    <t>For Risk Seekers --- A is -ve</t>
  </si>
  <si>
    <t>A=2, U=0.05</t>
  </si>
  <si>
    <t>INPUTS</t>
  </si>
  <si>
    <t>MODEL CALC</t>
  </si>
  <si>
    <t>Exp Rtn</t>
  </si>
  <si>
    <t>U</t>
  </si>
  <si>
    <t xml:space="preserve">Manually </t>
  </si>
  <si>
    <t>A=3, U=0.06</t>
  </si>
  <si>
    <t>A=4, U=0.07</t>
  </si>
  <si>
    <t>A=2, U=0.06</t>
  </si>
  <si>
    <t>A=2, U=0.07</t>
  </si>
  <si>
    <t>Inferences</t>
  </si>
  <si>
    <t>a) The investor is indifferent amongst differing risk return combinations along the same utility curve</t>
  </si>
  <si>
    <t xml:space="preserve">b) A higher risk aversion coefficient triggers the investor to expect an even higher return for the same level of risk </t>
  </si>
  <si>
    <t>causing him to shift up and lie on a steeper utility indifference curve</t>
  </si>
  <si>
    <t xml:space="preserve">c) An investor can have the same risk aversion coefficient and still lie on a higher utility indifference curve should </t>
  </si>
  <si>
    <t>he be able to fetch a higher return for a given level of risk</t>
  </si>
  <si>
    <t>UTILITY MAXIMISATION</t>
  </si>
  <si>
    <r>
      <t>w</t>
    </r>
    <r>
      <rPr>
        <vertAlign val="subscript"/>
        <sz val="11"/>
        <color theme="1"/>
        <rFont val="Calibri"/>
        <family val="2"/>
        <scheme val="minor"/>
      </rPr>
      <t>risky</t>
    </r>
  </si>
  <si>
    <r>
      <t>▲ (Rtn</t>
    </r>
    <r>
      <rPr>
        <u/>
        <vertAlign val="subscript"/>
        <sz val="11"/>
        <color theme="1"/>
        <rFont val="Calibri"/>
        <family val="2"/>
        <scheme val="minor"/>
      </rPr>
      <t>Risky</t>
    </r>
    <r>
      <rPr>
        <u/>
        <sz val="11"/>
        <color theme="1"/>
        <rFont val="Calibri"/>
        <family val="2"/>
        <scheme val="minor"/>
      </rPr>
      <t xml:space="preserve"> - Rtn</t>
    </r>
    <r>
      <rPr>
        <u/>
        <vertAlign val="subscript"/>
        <sz val="11"/>
        <color theme="1"/>
        <rFont val="Calibri"/>
        <family val="2"/>
        <scheme val="minor"/>
      </rPr>
      <t>Rf</t>
    </r>
    <r>
      <rPr>
        <u/>
        <sz val="11"/>
        <color theme="1"/>
        <rFont val="Calibri"/>
        <family val="2"/>
        <scheme val="minor"/>
      </rPr>
      <t>)</t>
    </r>
  </si>
  <si>
    <r>
      <t xml:space="preserve">A X </t>
    </r>
    <r>
      <rPr>
        <sz val="11"/>
        <color theme="1"/>
        <rFont val="Calibri"/>
        <family val="2"/>
      </rPr>
      <t>σ</t>
    </r>
    <r>
      <rPr>
        <vertAlign val="subscript"/>
        <sz val="15.05"/>
        <color theme="1"/>
        <rFont val="Calibri"/>
        <family val="2"/>
      </rPr>
      <t>risky</t>
    </r>
    <r>
      <rPr>
        <sz val="15.05"/>
        <color theme="1"/>
        <rFont val="Calibri"/>
        <family val="2"/>
      </rPr>
      <t>^2</t>
    </r>
  </si>
  <si>
    <t>Utility Maximisation</t>
  </si>
  <si>
    <t xml:space="preserve">Assume that risky portfolio has returns of 24% and Risk Free Assets fetch 7% Return. </t>
  </si>
  <si>
    <t xml:space="preserve">The std dev for the risky assets is 36%. </t>
  </si>
  <si>
    <t>Assuming that the Risk Aversion Coefficient is 4, what is the Utility that the Investor derives from a portfolio</t>
  </si>
  <si>
    <t xml:space="preserve">that has 25% in the Risky Assets and 75% in the Risk-free Assets? </t>
  </si>
  <si>
    <t xml:space="preserve">b) </t>
  </si>
  <si>
    <t>Is this the max level of Utility that the investor can derive?</t>
  </si>
  <si>
    <t>BASE CASE</t>
  </si>
  <si>
    <t>UTILITY MAXIMISATION (FORMULA)</t>
  </si>
  <si>
    <t>UTILITY MAXIMISATION (SOLVER)</t>
  </si>
  <si>
    <t>Risks</t>
  </si>
  <si>
    <t>Risky</t>
  </si>
  <si>
    <t>Risk-free</t>
  </si>
  <si>
    <t>Portfolio Rtn =</t>
  </si>
  <si>
    <r>
      <t xml:space="preserve">Portfolio </t>
    </r>
    <r>
      <rPr>
        <sz val="11"/>
        <color theme="1"/>
        <rFont val="Calibri"/>
        <family val="2"/>
      </rPr>
      <t>σ</t>
    </r>
    <r>
      <rPr>
        <sz val="15.05"/>
        <color theme="1"/>
        <rFont val="Calibri"/>
        <family val="2"/>
      </rPr>
      <t xml:space="preserve"> =</t>
    </r>
  </si>
  <si>
    <t>U =</t>
  </si>
  <si>
    <t>Utility Practice Case</t>
  </si>
  <si>
    <t xml:space="preserve">Prabh is an investment research analyst and has constructed an equal weighted Portfolio of Shares &amp; Bonds. </t>
  </si>
  <si>
    <t>Shares yield a 18% return but have an annual volatility of 27%.</t>
  </si>
  <si>
    <t>Bonds have a 11% return and have an annualy volatility of 6%.</t>
  </si>
  <si>
    <t>Assume A to be 2, r=0.25</t>
  </si>
  <si>
    <t>a) Current levels of Utility for his Current Portfolio</t>
  </si>
  <si>
    <t>b) Design his new proposed investment of Rs 500,000 to maximise his utility</t>
  </si>
  <si>
    <t>UTILITY MAXIMISATION CASE</t>
  </si>
  <si>
    <t>Shares</t>
  </si>
  <si>
    <t>Wshares</t>
  </si>
  <si>
    <t>Wbonds</t>
  </si>
  <si>
    <t>Portfolio Rtn=</t>
  </si>
  <si>
    <t>Portfolio Risk=</t>
  </si>
  <si>
    <t>Utility=</t>
  </si>
  <si>
    <t>Practice Caselet</t>
  </si>
  <si>
    <t>Exp Rtns</t>
  </si>
  <si>
    <t>Std Devns</t>
  </si>
  <si>
    <t xml:space="preserve">If the correlation coefficient is (-) 0.40, </t>
  </si>
  <si>
    <t>a) what is the Minimum Variance Portfolio (MVP) that you can construct?</t>
  </si>
  <si>
    <t>b) what is the exp rtn in the MVP?</t>
  </si>
  <si>
    <t>c) what is the risk in the MVP?</t>
  </si>
  <si>
    <r>
      <t>d) what is the optimal portfolio if the R</t>
    </r>
    <r>
      <rPr>
        <vertAlign val="subscript"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is 3%? </t>
    </r>
  </si>
  <si>
    <t xml:space="preserve">Date </t>
  </si>
  <si>
    <t>DIXON</t>
  </si>
  <si>
    <t>VEDL</t>
  </si>
  <si>
    <t>ASIANP</t>
  </si>
  <si>
    <t>YESB</t>
  </si>
  <si>
    <t>ADANIGREEN</t>
  </si>
  <si>
    <t>HDFCBANK</t>
  </si>
  <si>
    <t>RELIANCE</t>
  </si>
  <si>
    <t>HUL</t>
  </si>
  <si>
    <t>For Data 1</t>
  </si>
  <si>
    <t>Weights</t>
  </si>
  <si>
    <t>Variance Covariance Matrix</t>
  </si>
  <si>
    <t>Annualised</t>
  </si>
  <si>
    <t>Wts.T*Cov*Wts</t>
  </si>
  <si>
    <t>Portfolio Returns</t>
  </si>
  <si>
    <t>Mean Returns</t>
  </si>
  <si>
    <t>wtd Cov</t>
  </si>
  <si>
    <t>Std Dev/Risk</t>
  </si>
  <si>
    <t>For Data 2</t>
  </si>
  <si>
    <t>Covariances</t>
  </si>
  <si>
    <t>Apple</t>
  </si>
  <si>
    <t>Sun Micro</t>
  </si>
  <si>
    <t>Red Hat</t>
  </si>
  <si>
    <t>Q1)</t>
  </si>
  <si>
    <t>Estimate the Exp Rtn &amp; Risk of the Portfolio above!</t>
  </si>
  <si>
    <t>var</t>
  </si>
  <si>
    <t>risk</t>
  </si>
  <si>
    <t>Annualised ret</t>
  </si>
  <si>
    <t>annualised risk</t>
  </si>
  <si>
    <t>Portfolio Risk =</t>
  </si>
  <si>
    <t>Q2)</t>
  </si>
  <si>
    <t xml:space="preserve">Also estimate the lowest possible risk the portfolio can achieve and what weights would help achieve the objective? </t>
  </si>
  <si>
    <t>RISK MINIMISATION CASE</t>
  </si>
  <si>
    <t>OPTIMISATION CASE</t>
  </si>
  <si>
    <t>SR =</t>
  </si>
  <si>
    <t>MVP</t>
  </si>
  <si>
    <t>OP</t>
  </si>
  <si>
    <t>▲ Rtn</t>
  </si>
  <si>
    <t xml:space="preserve">Assume that risky portfolio has returns of 20% and Risk Free Assets fetch 6% Return. </t>
  </si>
  <si>
    <t xml:space="preserve">The std dev for the risky assets is 32%. </t>
  </si>
  <si>
    <t>Assuming that the Risk Aversion Coefficient is 3, what is the Utility that the Investor derives from a portfolio</t>
  </si>
  <si>
    <t>that has only 10% of Risky &amp; remainder risk-free allocation?</t>
  </si>
  <si>
    <t>Utility =</t>
  </si>
  <si>
    <t>wrisky</t>
  </si>
  <si>
    <t>wbonds =</t>
  </si>
  <si>
    <t>Q3</t>
  </si>
  <si>
    <t>VaR --- Value at Risk</t>
  </si>
  <si>
    <t>Statement</t>
  </si>
  <si>
    <t xml:space="preserve">95% ; 90 day VaR for a portfolio is $5 Mn. </t>
  </si>
  <si>
    <t>It can be stated with 95% confidence, that over a 90 day period, the portfolio losses will be restricted to $ 5 Mn</t>
  </si>
  <si>
    <t>However, there is a 5% chance that these losses will exceed $ 5 Mn</t>
  </si>
  <si>
    <t>worst case loss - mean loss</t>
  </si>
  <si>
    <t>VaR =</t>
  </si>
  <si>
    <t xml:space="preserve">WCL (-) ML </t>
  </si>
  <si>
    <t xml:space="preserve">Now, </t>
  </si>
  <si>
    <t>z=</t>
  </si>
  <si>
    <t>X-M</t>
  </si>
  <si>
    <t>x - mean</t>
  </si>
  <si>
    <t xml:space="preserve">Hence </t>
  </si>
  <si>
    <r>
      <t xml:space="preserve">z X </t>
    </r>
    <r>
      <rPr>
        <sz val="11"/>
        <color theme="1"/>
        <rFont val="Calibri"/>
        <family val="2"/>
      </rPr>
      <t>σ</t>
    </r>
  </si>
  <si>
    <t xml:space="preserve">NORM.S.DIST </t>
  </si>
  <si>
    <t>Use when you have to find out the probability , given z-values</t>
  </si>
  <si>
    <t xml:space="preserve">NORM.S.INV </t>
  </si>
  <si>
    <t xml:space="preserve">Use when you have the probability, and want the z-values </t>
  </si>
  <si>
    <t>VAR CI</t>
  </si>
  <si>
    <t>Z Score</t>
  </si>
  <si>
    <t>10 - Day</t>
  </si>
  <si>
    <t>1 - Day</t>
  </si>
  <si>
    <t>Abs 1 -Day</t>
  </si>
  <si>
    <t>Annual VAR (Z*Stdv)</t>
  </si>
  <si>
    <t xml:space="preserve">EXPECTED LOSSES </t>
  </si>
  <si>
    <t xml:space="preserve">Probability of Default --- </t>
  </si>
  <si>
    <t xml:space="preserve">PD </t>
  </si>
  <si>
    <t>*** represents likelihood of default</t>
  </si>
  <si>
    <t>Loss Given Default ---</t>
  </si>
  <si>
    <t>LGD</t>
  </si>
  <si>
    <t>*** in case default happens; what portion of exposure we stand to lose</t>
  </si>
  <si>
    <t>Exposure at Default ---</t>
  </si>
  <si>
    <t>EAD</t>
  </si>
  <si>
    <t>*** exposure at default</t>
  </si>
  <si>
    <t>Recovery Rate ---</t>
  </si>
  <si>
    <t>RR</t>
  </si>
  <si>
    <t xml:space="preserve">*** represents the dues recovered </t>
  </si>
  <si>
    <t xml:space="preserve">LGD </t>
  </si>
  <si>
    <t>1-RR</t>
  </si>
  <si>
    <t xml:space="preserve">This is the Expected Loss </t>
  </si>
  <si>
    <t>EL =</t>
  </si>
  <si>
    <t>PD X LGD X EAD</t>
  </si>
  <si>
    <t xml:space="preserve">UNEXPECTED LOSSES </t>
  </si>
  <si>
    <t>UEL =</t>
  </si>
  <si>
    <t xml:space="preserve">EAD x </t>
  </si>
  <si>
    <r>
      <t>SQRT (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lgd</t>
    </r>
    <r>
      <rPr>
        <sz val="11"/>
        <color theme="1"/>
        <rFont val="Calibri"/>
        <family val="2"/>
      </rPr>
      <t xml:space="preserve"> ^ 2 X PD + </t>
    </r>
    <r>
      <rPr>
        <sz val="11"/>
        <color theme="1"/>
        <rFont val="Calibri"/>
        <family val="2"/>
        <scheme val="minor"/>
      </rPr>
      <t xml:space="preserve">LGD^2 X 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pd</t>
    </r>
    <r>
      <rPr>
        <sz val="11"/>
        <color theme="1"/>
        <rFont val="Calibri"/>
        <family val="2"/>
      </rPr>
      <t xml:space="preserve"> ^2 ) </t>
    </r>
  </si>
  <si>
    <t xml:space="preserve">*** this is the formula where Bernoulli's Appln not specifically mentioned </t>
  </si>
  <si>
    <r>
      <t>SQRT (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lgd</t>
    </r>
    <r>
      <rPr>
        <sz val="11"/>
        <color theme="1"/>
        <rFont val="Calibri"/>
        <family val="2"/>
      </rPr>
      <t xml:space="preserve"> ^ 2 X PD + </t>
    </r>
    <r>
      <rPr>
        <sz val="11"/>
        <color theme="1"/>
        <rFont val="Calibri"/>
        <family val="2"/>
        <scheme val="minor"/>
      </rPr>
      <t xml:space="preserve">LGD^2 X </t>
    </r>
    <r>
      <rPr>
        <sz val="11"/>
        <color theme="1"/>
        <rFont val="Calibri"/>
        <family val="2"/>
      </rPr>
      <t xml:space="preserve">PD X (1-PD) ) </t>
    </r>
  </si>
  <si>
    <t xml:space="preserve">*** this is the formula where Bernoulli's Appln is specifically mentioned </t>
  </si>
  <si>
    <t>Practice Case 1</t>
  </si>
  <si>
    <t>A bank recently disbursed a $8 million loan of which $6 million is currently outstanding.</t>
  </si>
  <si>
    <t xml:space="preserve">According to the bank’s internal rating model, the beneficiary has a 2% chance of defaulting over the next year. </t>
  </si>
  <si>
    <t xml:space="preserve">In case that happens, the estimated loss rate is 46%. The probability of default and the loss rate have </t>
  </si>
  <si>
    <t xml:space="preserve">standard deviations of 5% and 20%, respectively. </t>
  </si>
  <si>
    <t>Determine the expected and unexpected loss figures for the bank.</t>
  </si>
  <si>
    <t>Do not assume Bernoulli's theorem for PD's</t>
  </si>
  <si>
    <t>EAD =</t>
  </si>
  <si>
    <t>PD =</t>
  </si>
  <si>
    <t>LGD =</t>
  </si>
  <si>
    <r>
      <t>σ</t>
    </r>
    <r>
      <rPr>
        <vertAlign val="subscript"/>
        <sz val="15.05"/>
        <color theme="1"/>
        <rFont val="Calibri"/>
        <family val="2"/>
      </rPr>
      <t>lgd</t>
    </r>
    <r>
      <rPr>
        <sz val="15.05"/>
        <color theme="1"/>
        <rFont val="Calibri"/>
        <family val="2"/>
      </rPr>
      <t xml:space="preserve"> =</t>
    </r>
  </si>
  <si>
    <r>
      <t>σ</t>
    </r>
    <r>
      <rPr>
        <vertAlign val="subscript"/>
        <sz val="15.05"/>
        <color theme="1"/>
        <rFont val="Calibri"/>
        <family val="2"/>
      </rPr>
      <t>pd</t>
    </r>
    <r>
      <rPr>
        <sz val="15.05"/>
        <color theme="1"/>
        <rFont val="Calibri"/>
        <family val="2"/>
      </rPr>
      <t xml:space="preserve"> =</t>
    </r>
  </si>
  <si>
    <t xml:space="preserve">EAD </t>
  </si>
  <si>
    <t xml:space="preserve">a) Current </t>
  </si>
  <si>
    <t xml:space="preserve">b) Potential </t>
  </si>
  <si>
    <t>PD</t>
  </si>
  <si>
    <t>*** Option d is the correct option</t>
  </si>
  <si>
    <t>Or Loss Rate</t>
  </si>
  <si>
    <t>TAX</t>
  </si>
  <si>
    <t>(-)</t>
  </si>
  <si>
    <t>ICR</t>
  </si>
  <si>
    <t>Cont Mar</t>
  </si>
  <si>
    <t>Opex</t>
  </si>
  <si>
    <t>Prin</t>
  </si>
  <si>
    <t>Interest</t>
  </si>
  <si>
    <t>EBIT</t>
  </si>
  <si>
    <t>G/p</t>
  </si>
  <si>
    <t>COGS</t>
  </si>
  <si>
    <t>Revenue</t>
  </si>
  <si>
    <t>x</t>
  </si>
  <si>
    <t xml:space="preserve">A firm earned an EPS of $2.50 and has 100,000 shares outstanding. The corporate tax rate is 40%. The Co maintained an ICR of 5x. </t>
  </si>
  <si>
    <t>Given that the Operating expenses (incl Depreciation) were limited to 30% of Revenues and the Co earned a contribution margin of 60%</t>
  </si>
  <si>
    <t>Estimate the Pre-tax DSCR &amp; Construct the P&amp;L extract for the firm. Assume Principal Repayments due of $ 250,000</t>
  </si>
  <si>
    <t>R</t>
  </si>
  <si>
    <t xml:space="preserve">A firm earned an EPS of $8 and has 300,000 shares outstanding. The corporate tax rate is 40%. The Co maintained an ICR of 5x. </t>
  </si>
  <si>
    <t>Given that the Operating expenses including  Depreciation,  were limited to 40% of Revenues and the company earned a contribution margin of 75%</t>
  </si>
  <si>
    <t>Estimate the Pre-tax DSCR and Construct the P&amp;L extract for the firm. Assume Principal Repayments due of $750,000</t>
  </si>
  <si>
    <t>DSCR</t>
  </si>
  <si>
    <t>It indicates that for this firm, the Principal + Interest Obligation is covered by EBIT by about 1.47 times</t>
  </si>
  <si>
    <t>EBIT/(Prin+Interest)</t>
  </si>
  <si>
    <t>Debt Service Coverage Ratio =</t>
  </si>
  <si>
    <t>NIFTY</t>
  </si>
  <si>
    <t>Stock</t>
  </si>
  <si>
    <r>
      <t>k</t>
    </r>
    <r>
      <rPr>
        <vertAlign val="subscript"/>
        <sz val="16"/>
        <color theme="1"/>
        <rFont val="Calibri"/>
        <family val="2"/>
        <scheme val="minor"/>
      </rPr>
      <t>e</t>
    </r>
  </si>
  <si>
    <r>
      <t>R</t>
    </r>
    <r>
      <rPr>
        <vertAlign val="subscript"/>
        <sz val="16"/>
        <color theme="1"/>
        <rFont val="Calibri"/>
        <family val="2"/>
        <scheme val="minor"/>
      </rPr>
      <t xml:space="preserve">f </t>
    </r>
  </si>
  <si>
    <t>+</t>
  </si>
  <si>
    <r>
      <t>β X (R</t>
    </r>
    <r>
      <rPr>
        <vertAlign val="subscript"/>
        <sz val="16"/>
        <color theme="1"/>
        <rFont val="Calibri"/>
        <family val="2"/>
      </rPr>
      <t>m</t>
    </r>
    <r>
      <rPr>
        <sz val="16"/>
        <color theme="1"/>
        <rFont val="Calibri"/>
        <family val="2"/>
      </rPr>
      <t>-R</t>
    </r>
    <r>
      <rPr>
        <vertAlign val="subscript"/>
        <sz val="16"/>
        <color theme="1"/>
        <rFont val="Calibri"/>
        <family val="2"/>
      </rPr>
      <t>f</t>
    </r>
    <r>
      <rPr>
        <sz val="16"/>
        <color theme="1"/>
        <rFont val="Calibri"/>
        <family val="2"/>
      </rPr>
      <t>)</t>
    </r>
  </si>
  <si>
    <t>Rm-Rf</t>
  </si>
  <si>
    <t>Market Risk Premium</t>
  </si>
  <si>
    <t>*** This is the CAPM Equation</t>
  </si>
  <si>
    <t>Rtn(M)</t>
  </si>
  <si>
    <t>Rtn(S)</t>
  </si>
  <si>
    <t>Rm</t>
  </si>
  <si>
    <t>Rf</t>
  </si>
  <si>
    <t>R(S)</t>
  </si>
  <si>
    <t>ke</t>
  </si>
  <si>
    <t>Beta</t>
  </si>
  <si>
    <t>Market Risk Prem</t>
  </si>
  <si>
    <t xml:space="preserve">Revenues </t>
  </si>
  <si>
    <t>USD Million</t>
  </si>
  <si>
    <t xml:space="preserve">GPM </t>
  </si>
  <si>
    <t xml:space="preserve">Opex </t>
  </si>
  <si>
    <t>Of G/p</t>
  </si>
  <si>
    <t xml:space="preserve">Dividend paid annually is expected to grow @ 8% for 5 years and @ 4% thereafter. </t>
  </si>
  <si>
    <t xml:space="preserve">US Tbills Yield 4% , Stock ß is 1.25 &amp; Market Yields are 12% annually. </t>
  </si>
  <si>
    <t xml:space="preserve">Taxes </t>
  </si>
  <si>
    <t>Estimate the Intrinsic Value of the Share!</t>
  </si>
  <si>
    <t>Million</t>
  </si>
  <si>
    <t xml:space="preserve">Retention Policy </t>
  </si>
  <si>
    <t>Retention</t>
  </si>
  <si>
    <t>D0</t>
  </si>
  <si>
    <t>rm</t>
  </si>
  <si>
    <t>rf</t>
  </si>
  <si>
    <t xml:space="preserve">ke </t>
  </si>
  <si>
    <t>Years</t>
  </si>
  <si>
    <t>CF</t>
  </si>
  <si>
    <t>DF</t>
  </si>
  <si>
    <t>g 1</t>
  </si>
  <si>
    <t>Definite</t>
  </si>
  <si>
    <t>g2</t>
  </si>
  <si>
    <t>Indefinite</t>
  </si>
  <si>
    <t>Definite Growth</t>
  </si>
  <si>
    <t>Indefinite Growth</t>
  </si>
  <si>
    <t>yrs</t>
  </si>
  <si>
    <t>C1/ke-g2</t>
  </si>
  <si>
    <t xml:space="preserve">Perpetuity(P0) = </t>
  </si>
  <si>
    <t>P5</t>
  </si>
  <si>
    <t>P0</t>
  </si>
  <si>
    <t>IV</t>
  </si>
  <si>
    <t>PV(Def) + PV(Indef)</t>
  </si>
  <si>
    <t>PV(Def)</t>
  </si>
  <si>
    <t>PV(Indef)</t>
  </si>
  <si>
    <t xml:space="preserve">  </t>
  </si>
  <si>
    <t>ABC Ltd has issued Bonds as under:</t>
  </si>
  <si>
    <t>CMP</t>
  </si>
  <si>
    <t>YTM &lt; C</t>
  </si>
  <si>
    <t>USD</t>
  </si>
  <si>
    <t>C</t>
  </si>
  <si>
    <t>Annual</t>
  </si>
  <si>
    <t>Maturity</t>
  </si>
  <si>
    <t>YTM &gt; C</t>
  </si>
  <si>
    <t>YTM</t>
  </si>
  <si>
    <t>What is the price the Bond should trade at today?</t>
  </si>
  <si>
    <t>*** YTM is the Yield to Maturity</t>
  </si>
  <si>
    <t>CF's</t>
  </si>
  <si>
    <t>DF's</t>
  </si>
  <si>
    <t>PV's</t>
  </si>
  <si>
    <t>Bond Price</t>
  </si>
  <si>
    <t xml:space="preserve">As the YTM Increases, the Bond Price Decreases </t>
  </si>
  <si>
    <t>As the YTM Decreases, the Bond Price Increases</t>
  </si>
  <si>
    <t xml:space="preserve">YTM &gt; C </t>
  </si>
  <si>
    <t>Discount</t>
  </si>
  <si>
    <t>YTM = C</t>
  </si>
  <si>
    <t xml:space="preserve">Par </t>
  </si>
  <si>
    <t>Premium</t>
  </si>
  <si>
    <t>Maturity Value</t>
  </si>
  <si>
    <t>99.75% 10 day VaR for a security with observed volatility of 25% p.a. for a portfolio of INR 100 cr</t>
  </si>
  <si>
    <t>z-val</t>
  </si>
  <si>
    <t>Annual VaR</t>
  </si>
  <si>
    <t>252 = tradable days</t>
  </si>
  <si>
    <t>10-day VaR</t>
  </si>
  <si>
    <t>Abs 10-day VaR</t>
  </si>
  <si>
    <t>If 95% 1 day VaR for INR 100 cr portfolio is INR 2 cr, what is the volatility p.a. for the portfolio?</t>
  </si>
  <si>
    <t>1-day VaR</t>
  </si>
  <si>
    <t>Abs 1-day VaR</t>
  </si>
  <si>
    <t>Compute the 99.5% 1 day portfolio VaR for the following portfolio (value INR 100 cr)</t>
  </si>
  <si>
    <t>Security--&gt;</t>
  </si>
  <si>
    <t>D</t>
  </si>
  <si>
    <t>E</t>
  </si>
  <si>
    <t>Yearwise prices</t>
  </si>
  <si>
    <t xml:space="preserve"> </t>
  </si>
  <si>
    <t>Assume an equal weighted portfolio!</t>
  </si>
  <si>
    <t xml:space="preserve">Mean </t>
  </si>
  <si>
    <t>Wtd Cov's</t>
  </si>
  <si>
    <t>Portfolio Variance =</t>
  </si>
  <si>
    <t>z-val =</t>
  </si>
  <si>
    <t>Annual VaR =</t>
  </si>
  <si>
    <t>1-day VaR =</t>
  </si>
  <si>
    <t>Abs 1-day VaR =</t>
  </si>
  <si>
    <t xml:space="preserve">Aryan deposits Rs 1000 at the end of every year; for 5 years in to a Bank a/c that fetches 10% compounded annually. </t>
  </si>
  <si>
    <t xml:space="preserve">How much will the bank a/c hold ; 5 years from now? </t>
  </si>
  <si>
    <t xml:space="preserve">The first payment starts from end of next year. </t>
  </si>
  <si>
    <t>Tabular Method</t>
  </si>
  <si>
    <t>YEAR</t>
  </si>
  <si>
    <t>OB</t>
  </si>
  <si>
    <t>DEPOSIT</t>
  </si>
  <si>
    <t>INTEREST</t>
  </si>
  <si>
    <t>CB</t>
  </si>
  <si>
    <t>Formula Method</t>
  </si>
  <si>
    <t>FVA</t>
  </si>
  <si>
    <t>(1+r)^n - 1</t>
  </si>
  <si>
    <t>Excel Fn Method</t>
  </si>
  <si>
    <t xml:space="preserve">The first payment starts from beginning of next year. </t>
  </si>
  <si>
    <t>(1+r)</t>
  </si>
  <si>
    <t xml:space="preserve">Harsh wants to finance his studies , the fees for which start from end of next year, Rs 20000 annually. </t>
  </si>
  <si>
    <t>How much should he set aside now, in a bank a/c that returns 7% annually, to be able to pay fees for</t>
  </si>
  <si>
    <t xml:space="preserve">5 years? </t>
  </si>
  <si>
    <t>TABULAR METHOD</t>
  </si>
  <si>
    <t>PAYMENTS</t>
  </si>
  <si>
    <t>FORMULA METHOD</t>
  </si>
  <si>
    <t>PVA</t>
  </si>
  <si>
    <t>1-1/(1+r)^n</t>
  </si>
  <si>
    <t>EXCEL FUNCTION</t>
  </si>
  <si>
    <t>Labdhi requires Rs 20,000 at the end of each year from 2024 to 2028. How much should she deposit at the end</t>
  </si>
  <si>
    <t>of every year from 2015 to 2020? The interest rate is 12%</t>
  </si>
  <si>
    <t>ANNUAL DEPOSITS</t>
  </si>
  <si>
    <t xml:space="preserve">NO DEPOSITS </t>
  </si>
  <si>
    <t xml:space="preserve">ANNUAL WITHDRAWALS </t>
  </si>
  <si>
    <r>
      <t>PV</t>
    </r>
    <r>
      <rPr>
        <vertAlign val="subscript"/>
        <sz val="11"/>
        <color theme="1"/>
        <rFont val="Calibri"/>
        <family val="2"/>
        <scheme val="minor"/>
      </rPr>
      <t>20</t>
    </r>
  </si>
  <si>
    <r>
      <t>PVA</t>
    </r>
    <r>
      <rPr>
        <vertAlign val="subscript"/>
        <sz val="11"/>
        <color theme="1"/>
        <rFont val="Calibri"/>
        <family val="2"/>
        <scheme val="minor"/>
      </rPr>
      <t>23</t>
    </r>
  </si>
  <si>
    <t>Therefore</t>
  </si>
  <si>
    <t>Deposit</t>
  </si>
  <si>
    <t>Withdrawal</t>
  </si>
  <si>
    <t xml:space="preserve">A Company ABC Inc. plans to redeem it's Bonds (Maturity Value $100 Million each tranche) in the years 2027 to 2029. </t>
  </si>
  <si>
    <t>How much money should it set aside starting from end of next year for 3 years (2023-2025)  to be able to finance the redemption?</t>
  </si>
  <si>
    <t>Assume the sinking fund carries 7% interest compounded annually?</t>
  </si>
  <si>
    <t>SINKING FUND CREATION</t>
  </si>
  <si>
    <t>BOND REDEMPTIONS</t>
  </si>
  <si>
    <r>
      <t>PV</t>
    </r>
    <r>
      <rPr>
        <vertAlign val="subscript"/>
        <sz val="11"/>
        <color theme="1"/>
        <rFont val="Calibri"/>
        <family val="2"/>
        <scheme val="minor"/>
      </rPr>
      <t>25</t>
    </r>
  </si>
  <si>
    <r>
      <t>PVA</t>
    </r>
    <r>
      <rPr>
        <vertAlign val="subscript"/>
        <sz val="11"/>
        <color theme="1"/>
        <rFont val="Calibri"/>
        <family val="2"/>
        <scheme val="minor"/>
      </rPr>
      <t>26</t>
    </r>
  </si>
  <si>
    <t>SF</t>
  </si>
  <si>
    <t>Redmptn</t>
  </si>
  <si>
    <t xml:space="preserve">A </t>
  </si>
  <si>
    <t>A=</t>
  </si>
  <si>
    <t xml:space="preserve">Vir has applied for a home loan for a property in Colaba, and the Bank has sanctioned the loan of Rs 500,00,000. </t>
  </si>
  <si>
    <t xml:space="preserve">The loan is repayable in equated monthly instalments; over 25 years. The Bank charges 8% on an annual basis. </t>
  </si>
  <si>
    <t xml:space="preserve">Estimate </t>
  </si>
  <si>
    <t>a) The EMI</t>
  </si>
  <si>
    <t>b) Construct the LAS</t>
  </si>
  <si>
    <t xml:space="preserve">c) New EMI if Vir repays Rs 50 Lacs after 36 months of the loan </t>
  </si>
  <si>
    <t>Rate</t>
  </si>
  <si>
    <t>"PMT" stands for "payment", hence the function's name.</t>
  </si>
  <si>
    <t>Using PMT</t>
  </si>
  <si>
    <t>EMI</t>
  </si>
  <si>
    <t>Using Formula</t>
  </si>
  <si>
    <t>OBL</t>
  </si>
  <si>
    <t>CBL</t>
  </si>
  <si>
    <t>Repayment</t>
  </si>
  <si>
    <t>New O/s</t>
  </si>
  <si>
    <t>New EMI</t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</si>
  <si>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</si>
  <si>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</si>
  <si>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Devns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</si>
  <si>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Devns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</si>
  <si>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Mean</t>
  </si>
  <si>
    <t>Var (sigma square)</t>
  </si>
  <si>
    <t>Statistically</t>
  </si>
  <si>
    <r>
      <t>σ</t>
    </r>
    <r>
      <rPr>
        <vertAlign val="subscript"/>
        <sz val="11"/>
        <color rgb="FFFF0000"/>
        <rFont val="Calibri"/>
        <family val="2"/>
      </rPr>
      <t>A</t>
    </r>
  </si>
  <si>
    <r>
      <t>σ</t>
    </r>
    <r>
      <rPr>
        <vertAlign val="subscript"/>
        <sz val="11"/>
        <color rgb="FFFF0000"/>
        <rFont val="Calibri"/>
        <family val="2"/>
      </rPr>
      <t>B</t>
    </r>
  </si>
  <si>
    <t>Using Excel fns</t>
  </si>
  <si>
    <r>
      <t>σ</t>
    </r>
    <r>
      <rPr>
        <vertAlign val="superscript"/>
        <sz val="11"/>
        <rFont val="Calibri"/>
        <family val="2"/>
      </rPr>
      <t>2</t>
    </r>
  </si>
  <si>
    <t>MULT</t>
  </si>
  <si>
    <t>Portf Rtns</t>
  </si>
  <si>
    <t>CovA,B</t>
  </si>
  <si>
    <t>Portf Rtn</t>
  </si>
  <si>
    <r>
      <t>Var</t>
    </r>
    <r>
      <rPr>
        <vertAlign val="subscript"/>
        <sz val="11"/>
        <color theme="1"/>
        <rFont val="Calibri"/>
        <family val="2"/>
        <scheme val="minor"/>
      </rPr>
      <t>prtf</t>
    </r>
  </si>
  <si>
    <r>
      <t>σ</t>
    </r>
    <r>
      <rPr>
        <vertAlign val="subscript"/>
        <sz val="15.05"/>
        <color theme="1"/>
        <rFont val="Calibri"/>
        <family val="2"/>
      </rPr>
      <t>prtf</t>
    </r>
  </si>
  <si>
    <t>Cov (A,B)</t>
  </si>
  <si>
    <r>
      <t>Devns</t>
    </r>
    <r>
      <rPr>
        <b/>
        <u/>
        <vertAlign val="subscript"/>
        <sz val="9"/>
        <color theme="1"/>
        <rFont val="Calibri"/>
        <family val="2"/>
        <scheme val="minor"/>
      </rPr>
      <t>A</t>
    </r>
  </si>
  <si>
    <r>
      <t>Sq Devns</t>
    </r>
    <r>
      <rPr>
        <b/>
        <u/>
        <vertAlign val="subscript"/>
        <sz val="9"/>
        <color theme="1"/>
        <rFont val="Calibri"/>
        <family val="2"/>
        <scheme val="minor"/>
      </rPr>
      <t>A</t>
    </r>
  </si>
  <si>
    <r>
      <t>Devns</t>
    </r>
    <r>
      <rPr>
        <b/>
        <u/>
        <vertAlign val="subscript"/>
        <sz val="9"/>
        <color theme="1"/>
        <rFont val="Calibri"/>
        <family val="2"/>
        <scheme val="minor"/>
      </rPr>
      <t>B</t>
    </r>
  </si>
  <si>
    <r>
      <t>Sq Devns</t>
    </r>
    <r>
      <rPr>
        <b/>
        <u/>
        <vertAlign val="subscript"/>
        <sz val="9"/>
        <color theme="1"/>
        <rFont val="Calibri"/>
        <family val="2"/>
        <scheme val="minor"/>
      </rPr>
      <t>B</t>
    </r>
  </si>
  <si>
    <r>
      <t>Rtns</t>
    </r>
    <r>
      <rPr>
        <b/>
        <u/>
        <vertAlign val="subscript"/>
        <sz val="9"/>
        <color theme="1"/>
        <rFont val="Calibri"/>
        <family val="2"/>
        <scheme val="minor"/>
      </rPr>
      <t>p</t>
    </r>
  </si>
  <si>
    <r>
      <t>Devns</t>
    </r>
    <r>
      <rPr>
        <b/>
        <u/>
        <vertAlign val="subscript"/>
        <sz val="9"/>
        <color theme="1"/>
        <rFont val="Calibri"/>
        <family val="2"/>
        <scheme val="minor"/>
      </rPr>
      <t>p</t>
    </r>
  </si>
  <si>
    <r>
      <t>Sq Devns</t>
    </r>
    <r>
      <rPr>
        <b/>
        <u/>
        <vertAlign val="subscript"/>
        <sz val="9"/>
        <color theme="1"/>
        <rFont val="Calibri"/>
        <family val="2"/>
        <scheme val="minor"/>
      </rPr>
      <t>p</t>
    </r>
  </si>
  <si>
    <t>Covar</t>
  </si>
  <si>
    <t>Mean Rtns</t>
  </si>
  <si>
    <r>
      <t>Var</t>
    </r>
    <r>
      <rPr>
        <vertAlign val="subscript"/>
        <sz val="9"/>
        <color theme="1"/>
        <rFont val="Calibri"/>
        <family val="2"/>
        <scheme val="minor"/>
      </rPr>
      <t>A</t>
    </r>
  </si>
  <si>
    <r>
      <t>Var</t>
    </r>
    <r>
      <rPr>
        <vertAlign val="subscript"/>
        <sz val="9"/>
        <color theme="1"/>
        <rFont val="Calibri"/>
        <family val="2"/>
        <scheme val="minor"/>
      </rPr>
      <t>B</t>
    </r>
  </si>
  <si>
    <r>
      <t>Var</t>
    </r>
    <r>
      <rPr>
        <vertAlign val="subscript"/>
        <sz val="9"/>
        <color theme="1"/>
        <rFont val="Calibri"/>
        <family val="2"/>
        <scheme val="minor"/>
      </rPr>
      <t>p</t>
    </r>
  </si>
  <si>
    <t>Avg</t>
  </si>
  <si>
    <r>
      <t>σ</t>
    </r>
    <r>
      <rPr>
        <vertAlign val="subscript"/>
        <sz val="12.35"/>
        <color rgb="FFFF0000"/>
        <rFont val="Calibri"/>
        <family val="2"/>
      </rPr>
      <t>A</t>
    </r>
  </si>
  <si>
    <r>
      <t>σ</t>
    </r>
    <r>
      <rPr>
        <vertAlign val="subscript"/>
        <sz val="9"/>
        <color rgb="FFFF0000"/>
        <rFont val="Calibri"/>
        <family val="2"/>
      </rPr>
      <t>B</t>
    </r>
  </si>
  <si>
    <r>
      <t>σ</t>
    </r>
    <r>
      <rPr>
        <vertAlign val="subscript"/>
        <sz val="9"/>
        <color rgb="FFFF0000"/>
        <rFont val="Calibri"/>
        <family val="2"/>
      </rPr>
      <t>p</t>
    </r>
  </si>
  <si>
    <t>stdev</t>
  </si>
  <si>
    <t xml:space="preserve">*** it approximates to the average </t>
  </si>
  <si>
    <t>*** it drops drastically owing to negative correlation</t>
  </si>
  <si>
    <t>wtd cov</t>
  </si>
  <si>
    <t>return</t>
  </si>
  <si>
    <t>a2+b2+2ab</t>
  </si>
  <si>
    <t>Assume, you have a portfolio of 2 stocks, A &amp; B. A has an annual return of 24% and a std dev of 16%. B has an annual return of 15% and a std</t>
  </si>
  <si>
    <t xml:space="preserve">dev of 24%. Your investment values in A &amp; B are Rs 675,000 and Rs 325,000 respectively. The securities have a correlation coefficient of (-)0.25. </t>
  </si>
  <si>
    <t>Calculate?</t>
  </si>
  <si>
    <t>c) What is the Min Level of Risk you can achieve on this portfolio?</t>
  </si>
  <si>
    <t>d) Also --- should r=-1; then what is the Min Level of Risk you can achieve?</t>
  </si>
  <si>
    <t>RISK MINIMISATION (r=-1)</t>
  </si>
  <si>
    <t>Validation Using Formula</t>
  </si>
  <si>
    <t>Validation Using Data Table</t>
  </si>
  <si>
    <r>
      <t>w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</si>
  <si>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</si>
  <si>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w</t>
    </r>
    <r>
      <rPr>
        <vertAlign val="subscript"/>
        <sz val="11"/>
        <color theme="1"/>
        <rFont val="Calibri"/>
        <family val="2"/>
        <scheme val="minor"/>
      </rPr>
      <t>a</t>
    </r>
  </si>
  <si>
    <r>
      <t>σ</t>
    </r>
    <r>
      <rPr>
        <u/>
        <vertAlign val="subscript"/>
        <sz val="15.05"/>
        <color theme="1"/>
        <rFont val="Calibri"/>
        <family val="2"/>
      </rPr>
      <t>b</t>
    </r>
  </si>
  <si>
    <r>
      <t>σ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σ</t>
    </r>
    <r>
      <rPr>
        <vertAlign val="subscript"/>
        <sz val="11"/>
        <color theme="1"/>
        <rFont val="Calibri"/>
        <family val="2"/>
        <scheme val="minor"/>
      </rPr>
      <t>b</t>
    </r>
  </si>
  <si>
    <r>
      <t>w</t>
    </r>
    <r>
      <rPr>
        <vertAlign val="subscript"/>
        <sz val="11"/>
        <color theme="1"/>
        <rFont val="Calibri"/>
        <family val="2"/>
        <scheme val="minor"/>
      </rPr>
      <t>b</t>
    </r>
  </si>
  <si>
    <t>FOR DATA TABLE</t>
  </si>
  <si>
    <t xml:space="preserve">Hence, Only One Combination &amp; that too </t>
  </si>
  <si>
    <t>when r=-1 ; can you, as an investor achieve</t>
  </si>
  <si>
    <t>ZERO Risk!</t>
  </si>
  <si>
    <t>Wtd Get</t>
  </si>
  <si>
    <t>-</t>
  </si>
  <si>
    <t>Wtd Pay</t>
  </si>
  <si>
    <t>C0</t>
  </si>
  <si>
    <t>S0.N(d1)</t>
  </si>
  <si>
    <t>X.e^-rt.N(d2)</t>
  </si>
  <si>
    <t>d1</t>
  </si>
  <si>
    <t>ln(S0/X) + ((Rf+1/2Var))*T</t>
  </si>
  <si>
    <t>SD.SQRT(T)</t>
  </si>
  <si>
    <t>d2</t>
  </si>
  <si>
    <t>ln(S0/X) + ((Rf-1/2Var))*T</t>
  </si>
  <si>
    <t>OR</t>
  </si>
  <si>
    <t>d1-SD.SQRT(T)</t>
  </si>
  <si>
    <t>S0</t>
  </si>
  <si>
    <t>(1+Rf)^t</t>
  </si>
  <si>
    <t>X * e^-Rf*T</t>
  </si>
  <si>
    <r>
      <t>S</t>
    </r>
    <r>
      <rPr>
        <vertAlign val="subscript"/>
        <sz val="18"/>
        <color theme="1"/>
        <rFont val="Calibri"/>
        <family val="2"/>
        <scheme val="minor"/>
      </rPr>
      <t>0</t>
    </r>
  </si>
  <si>
    <t>T</t>
  </si>
  <si>
    <t>days</t>
  </si>
  <si>
    <r>
      <t>R</t>
    </r>
    <r>
      <rPr>
        <vertAlign val="subscript"/>
        <sz val="18"/>
        <color theme="1"/>
        <rFont val="Calibri"/>
        <family val="2"/>
        <scheme val="minor"/>
      </rPr>
      <t>f</t>
    </r>
  </si>
  <si>
    <t>Volatility</t>
  </si>
  <si>
    <t>Price the Call &amp; the Put!</t>
  </si>
  <si>
    <t>a=</t>
  </si>
  <si>
    <t>d1=</t>
  </si>
  <si>
    <t>n(d1)=</t>
  </si>
  <si>
    <t>b=</t>
  </si>
  <si>
    <t>d2=</t>
  </si>
  <si>
    <t>n(d2)=</t>
  </si>
  <si>
    <t>c=</t>
  </si>
  <si>
    <t>PVX=</t>
  </si>
  <si>
    <t>PUT CALL PARITY</t>
  </si>
  <si>
    <t>C0 + PVX</t>
  </si>
  <si>
    <t>S0 + P0</t>
  </si>
  <si>
    <t>Given</t>
  </si>
  <si>
    <t>Time till expiry</t>
  </si>
  <si>
    <t>Risk free</t>
  </si>
  <si>
    <t>p.a.</t>
  </si>
  <si>
    <t>volatility</t>
  </si>
  <si>
    <t>dividend</t>
  </si>
  <si>
    <t>Calculate expected premium for at-the-money call option</t>
  </si>
  <si>
    <t>X=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</si>
  <si>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</si>
  <si>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</si>
  <si>
    <t>?</t>
  </si>
  <si>
    <t>Calculate implied volatility of at-the-money call if the option is trading at 2.35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</si>
  <si>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</si>
  <si>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t>Vol</t>
  </si>
  <si>
    <t>Q4</t>
  </si>
  <si>
    <t>Evaluate % net return on a bull spread using call options with strikes 95 and 105 for 1 day.</t>
  </si>
  <si>
    <t>Assume that volatility declines to 25% and market price of the underlying moves up 3% next day</t>
  </si>
  <si>
    <t>Take margin at 20% of strike less premium received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</si>
  <si>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</si>
  <si>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</si>
  <si>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Buy LS (X95)</t>
  </si>
  <si>
    <t>Sell HS (X105)</t>
  </si>
  <si>
    <t xml:space="preserve">Vol </t>
  </si>
  <si>
    <t>n(d1)</t>
  </si>
  <si>
    <t>n(d2)</t>
  </si>
  <si>
    <t>PVX</t>
  </si>
  <si>
    <t>C0=</t>
  </si>
  <si>
    <t>Gain (LS Call)</t>
  </si>
  <si>
    <t>Gain (HS Call)</t>
  </si>
  <si>
    <t>Net Gain</t>
  </si>
  <si>
    <t>Inv</t>
  </si>
  <si>
    <t>ROI</t>
  </si>
  <si>
    <t>Cost</t>
  </si>
  <si>
    <t>Margin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</si>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</sst>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₹&quot;\ #,##0.00;[Red]&quot;₹&quot;\ \-#,##0.0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* #,##0_ ;_ * \-#,##0_ ;_ * &quot;-&quot;??_ ;_ @_ "/>
    <numFmt numFmtId="165" formatCode="0.0%"/>
    <numFmt numFmtId="166" formatCode="0.0000%"/>
    <numFmt numFmtId="167" formatCode="0.000%"/>
    <numFmt numFmtId="168" formatCode="_ * #,##0.00000_ ;_ * \-#,##0.00000_ ;_ * &quot;-&quot;??_ ;_ @_ "/>
    <numFmt numFmtId="169" formatCode="0.0000000"/>
    <numFmt numFmtId="170" formatCode="0.000000"/>
    <numFmt numFmtId="171" formatCode="0.00000"/>
    <numFmt numFmtId="172" formatCode="0.000"/>
    <numFmt numFmtId="173" formatCode="0.0000"/>
    <numFmt numFmtId="174" formatCode="_ * #,##0.0000_ ;_ * \-#,##0.0000_ ;_ * &quot;-&quot;??_ ;_ @_ "/>
    <numFmt numFmtId="175" formatCode="_ * #,##0.000000_ ;_ * \-#,##0.000000_ ;_ * &quot;-&quot;??_ ;_ @_ "/>
    <numFmt numFmtId="176" formatCode="0.00000000000"/>
    <numFmt numFmtId="177" formatCode="_ * #,##0.000_ ;_ * \-#,##0.000_ ;_ * &quot;-&quot;??_ ;_ @_ 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9"/>
      <color theme="1"/>
      <name val="Calibri"/>
      <family val="2"/>
    </font>
    <font>
      <vertAlign val="subscript"/>
      <sz val="9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u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vertAlign val="subscript"/>
      <sz val="11"/>
      <color theme="1"/>
      <name val="Calibri"/>
      <family val="2"/>
      <scheme val="minor"/>
    </font>
    <font>
      <vertAlign val="subscript"/>
      <sz val="15.05"/>
      <color theme="1"/>
      <name val="Calibri"/>
      <family val="2"/>
    </font>
    <font>
      <sz val="15.05"/>
      <color theme="1"/>
      <name val="Calibri"/>
      <family val="2"/>
    </font>
    <font>
      <u/>
      <sz val="11"/>
      <color theme="1"/>
      <name val="Calibri"/>
      <family val="2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b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vertAlign val="subscript"/>
      <sz val="16"/>
      <color theme="1"/>
      <name val="Calibri"/>
      <family val="2"/>
    </font>
    <font>
      <u val="singleAccounting"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Open Sans"/>
      <family val="2"/>
    </font>
    <font>
      <vertAlign val="subscript"/>
      <sz val="11"/>
      <color rgb="FFFF0000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u/>
      <vertAlign val="subscript"/>
      <sz val="9"/>
      <color theme="1"/>
      <name val="Calibri"/>
      <family val="2"/>
      <scheme val="minor"/>
    </font>
    <font>
      <u val="singleAccounting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FF0000"/>
      <name val="Calibri"/>
      <family val="2"/>
    </font>
    <font>
      <vertAlign val="subscript"/>
      <sz val="12.35"/>
      <color rgb="FFFF0000"/>
      <name val="Calibri"/>
      <family val="2"/>
    </font>
    <font>
      <sz val="9"/>
      <color rgb="FFFF0000"/>
      <name val="Calibri"/>
      <family val="2"/>
      <scheme val="minor"/>
    </font>
    <font>
      <vertAlign val="subscript"/>
      <sz val="9"/>
      <color rgb="FFFF0000"/>
      <name val="Calibri"/>
      <family val="2"/>
    </font>
    <font>
      <i/>
      <sz val="8"/>
      <color theme="1"/>
      <name val="Calibri"/>
      <family val="2"/>
      <scheme val="minor"/>
    </font>
    <font>
      <u/>
      <vertAlign val="subscript"/>
      <sz val="15.05"/>
      <color theme="1"/>
      <name val="Calibri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4" fillId="0" borderId="0" xfId="0" applyFont="1"/>
    <xf numFmtId="0" fontId="3" fillId="0" borderId="0" xfId="0" applyFont="1" applyAlignment="1">
      <alignment horizontal="center"/>
    </xf>
    <xf numFmtId="9" fontId="0" fillId="0" borderId="0" xfId="0" applyNumberFormat="1"/>
    <xf numFmtId="43" fontId="0" fillId="0" borderId="0" xfId="1" applyFont="1"/>
    <xf numFmtId="44" fontId="0" fillId="0" borderId="0" xfId="1" applyNumberFormat="1" applyFont="1"/>
    <xf numFmtId="4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9" fontId="0" fillId="0" borderId="0" xfId="2" applyFont="1"/>
    <xf numFmtId="165" fontId="0" fillId="0" borderId="0" xfId="2" applyNumberFormat="1" applyFont="1"/>
    <xf numFmtId="10" fontId="0" fillId="0" borderId="0" xfId="2" applyNumberFormat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0" xfId="0" applyFont="1" applyFill="1"/>
    <xf numFmtId="164" fontId="6" fillId="2" borderId="0" xfId="1" applyNumberFormat="1" applyFont="1" applyFill="1"/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17" fontId="0" fillId="0" borderId="0" xfId="0" applyNumberFormat="1" applyAlignment="1">
      <alignment horizontal="center"/>
    </xf>
    <xf numFmtId="43" fontId="0" fillId="0" borderId="0" xfId="1" applyFont="1" applyFill="1" applyAlignment="1">
      <alignment horizontal="center"/>
    </xf>
    <xf numFmtId="10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10" fillId="0" borderId="0" xfId="0" applyFont="1"/>
    <xf numFmtId="0" fontId="9" fillId="0" borderId="0" xfId="0" applyFont="1"/>
    <xf numFmtId="0" fontId="3" fillId="0" borderId="0" xfId="0" applyFont="1"/>
    <xf numFmtId="9" fontId="0" fillId="0" borderId="0" xfId="2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2" fillId="0" borderId="7" xfId="0" applyFont="1" applyBorder="1" applyAlignment="1">
      <alignment horizontal="left"/>
    </xf>
    <xf numFmtId="9" fontId="12" fillId="0" borderId="0" xfId="0" applyNumberFormat="1" applyFont="1" applyAlignment="1">
      <alignment horizontal="center"/>
    </xf>
    <xf numFmtId="0" fontId="0" fillId="0" borderId="8" xfId="0" applyBorder="1"/>
    <xf numFmtId="0" fontId="12" fillId="0" borderId="7" xfId="0" applyFont="1" applyBorder="1" applyAlignment="1">
      <alignment horizontal="center"/>
    </xf>
    <xf numFmtId="0" fontId="13" fillId="0" borderId="0" xfId="0" applyFont="1" applyAlignment="1">
      <alignment horizontal="center"/>
    </xf>
    <xf numFmtId="10" fontId="13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7" xfId="0" applyFont="1" applyBorder="1"/>
    <xf numFmtId="0" fontId="12" fillId="0" borderId="0" xfId="0" applyFont="1"/>
    <xf numFmtId="0" fontId="12" fillId="0" borderId="9" xfId="0" applyFont="1" applyBorder="1"/>
    <xf numFmtId="0" fontId="12" fillId="0" borderId="10" xfId="0" applyFont="1" applyBorder="1"/>
    <xf numFmtId="0" fontId="0" fillId="0" borderId="10" xfId="0" applyBorder="1"/>
    <xf numFmtId="0" fontId="0" fillId="0" borderId="11" xfId="0" applyBorder="1"/>
    <xf numFmtId="165" fontId="12" fillId="0" borderId="0" xfId="0" applyNumberFormat="1" applyFont="1" applyAlignment="1">
      <alignment horizontal="center"/>
    </xf>
    <xf numFmtId="10" fontId="12" fillId="0" borderId="0" xfId="0" applyNumberFormat="1" applyFont="1" applyAlignment="1">
      <alignment horizontal="center"/>
    </xf>
    <xf numFmtId="0" fontId="3" fillId="0" borderId="4" xfId="0" applyFont="1" applyBorder="1"/>
    <xf numFmtId="0" fontId="0" fillId="0" borderId="7" xfId="0" applyBorder="1"/>
    <xf numFmtId="164" fontId="0" fillId="0" borderId="0" xfId="1" applyNumberFormat="1" applyFont="1" applyBorder="1" applyAlignment="1">
      <alignment horizontal="center"/>
    </xf>
    <xf numFmtId="0" fontId="0" fillId="0" borderId="9" xfId="0" applyBorder="1"/>
    <xf numFmtId="9" fontId="0" fillId="0" borderId="0" xfId="0" applyNumberFormat="1" applyAlignment="1">
      <alignment horizontal="center"/>
    </xf>
    <xf numFmtId="164" fontId="14" fillId="0" borderId="0" xfId="1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Border="1"/>
    <xf numFmtId="10" fontId="0" fillId="0" borderId="6" xfId="2" quotePrefix="1" applyNumberFormat="1" applyFont="1" applyBorder="1"/>
    <xf numFmtId="10" fontId="12" fillId="0" borderId="0" xfId="2" quotePrefix="1" applyNumberFormat="1" applyFont="1"/>
    <xf numFmtId="10" fontId="0" fillId="0" borderId="11" xfId="2" quotePrefix="1" applyNumberFormat="1" applyFont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0" xfId="0" applyFill="1" applyAlignment="1">
      <alignment horizontal="center"/>
    </xf>
    <xf numFmtId="0" fontId="15" fillId="3" borderId="0" xfId="0" applyFont="1" applyFill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10" fontId="0" fillId="4" borderId="0" xfId="2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1" applyNumberFormat="1" applyFont="1" applyAlignment="1">
      <alignment horizontal="center"/>
    </xf>
    <xf numFmtId="10" fontId="17" fillId="4" borderId="0" xfId="2" applyNumberFormat="1" applyFont="1" applyFill="1" applyAlignment="1">
      <alignment horizontal="center"/>
    </xf>
    <xf numFmtId="168" fontId="14" fillId="0" borderId="0" xfId="1" applyNumberFormat="1" applyFont="1" applyAlignment="1">
      <alignment horizontal="center"/>
    </xf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  <xf numFmtId="0" fontId="18" fillId="2" borderId="0" xfId="0" applyFont="1" applyFill="1" applyAlignment="1">
      <alignment horizontal="center"/>
    </xf>
    <xf numFmtId="10" fontId="0" fillId="2" borderId="0" xfId="2" applyNumberFormat="1" applyFont="1" applyFill="1" applyAlignment="1">
      <alignment horizontal="center"/>
    </xf>
    <xf numFmtId="10" fontId="0" fillId="0" borderId="0" xfId="2" applyNumberFormat="1" applyFont="1" applyFill="1" applyAlignment="1">
      <alignment horizontal="center"/>
    </xf>
    <xf numFmtId="168" fontId="0" fillId="0" borderId="0" xfId="1" applyNumberFormat="1" applyFont="1" applyFill="1" applyAlignment="1">
      <alignment horizontal="center"/>
    </xf>
    <xf numFmtId="10" fontId="17" fillId="0" borderId="0" xfId="2" applyNumberFormat="1" applyFont="1" applyFill="1" applyAlignment="1">
      <alignment horizontal="center"/>
    </xf>
    <xf numFmtId="168" fontId="14" fillId="0" borderId="0" xfId="1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10" fontId="0" fillId="0" borderId="0" xfId="2" quotePrefix="1" applyNumberFormat="1" applyFont="1" applyBorder="1"/>
    <xf numFmtId="10" fontId="12" fillId="0" borderId="0" xfId="2" quotePrefix="1" applyNumberFormat="1" applyFont="1" applyBorder="1"/>
    <xf numFmtId="9" fontId="0" fillId="0" borderId="0" xfId="2" applyFont="1" applyBorder="1" applyAlignment="1">
      <alignment horizontal="center"/>
    </xf>
    <xf numFmtId="9" fontId="14" fillId="0" borderId="0" xfId="2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2" xfId="0" applyFont="1" applyBorder="1"/>
    <xf numFmtId="0" fontId="20" fillId="0" borderId="2" xfId="0" applyFont="1" applyBorder="1"/>
    <xf numFmtId="0" fontId="3" fillId="0" borderId="3" xfId="0" applyFont="1" applyBorder="1"/>
    <xf numFmtId="171" fontId="0" fillId="0" borderId="0" xfId="0" applyNumberFormat="1"/>
    <xf numFmtId="171" fontId="0" fillId="0" borderId="0" xfId="0" applyNumberFormat="1" applyAlignment="1">
      <alignment horizontal="center"/>
    </xf>
    <xf numFmtId="167" fontId="0" fillId="0" borderId="0" xfId="2" applyNumberFormat="1" applyFont="1"/>
    <xf numFmtId="0" fontId="24" fillId="0" borderId="2" xfId="0" applyFont="1" applyBorder="1"/>
    <xf numFmtId="0" fontId="24" fillId="0" borderId="3" xfId="0" applyFont="1" applyBorder="1"/>
    <xf numFmtId="0" fontId="0" fillId="6" borderId="1" xfId="0" applyFill="1" applyBorder="1"/>
    <xf numFmtId="0" fontId="0" fillId="6" borderId="2" xfId="0" applyFill="1" applyBorder="1"/>
    <xf numFmtId="10" fontId="0" fillId="6" borderId="3" xfId="2" applyNumberFormat="1" applyFont="1" applyFill="1" applyBorder="1"/>
    <xf numFmtId="9" fontId="0" fillId="7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26" fillId="8" borderId="0" xfId="0" applyFont="1" applyFill="1"/>
    <xf numFmtId="0" fontId="10" fillId="8" borderId="0" xfId="0" applyFont="1" applyFill="1"/>
    <xf numFmtId="0" fontId="17" fillId="0" borderId="0" xfId="0" applyFont="1"/>
    <xf numFmtId="0" fontId="0" fillId="3" borderId="0" xfId="0" applyFill="1"/>
    <xf numFmtId="168" fontId="0" fillId="3" borderId="0" xfId="1" applyNumberFormat="1" applyFont="1" applyFill="1"/>
    <xf numFmtId="168" fontId="17" fillId="3" borderId="0" xfId="1" applyNumberFormat="1" applyFont="1" applyFill="1"/>
    <xf numFmtId="168" fontId="0" fillId="0" borderId="0" xfId="1" applyNumberFormat="1" applyFont="1"/>
    <xf numFmtId="0" fontId="0" fillId="9" borderId="0" xfId="0" applyFill="1"/>
    <xf numFmtId="174" fontId="0" fillId="9" borderId="0" xfId="1" applyNumberFormat="1" applyFont="1" applyFill="1"/>
    <xf numFmtId="0" fontId="0" fillId="10" borderId="0" xfId="0" applyFill="1"/>
    <xf numFmtId="174" fontId="0" fillId="10" borderId="0" xfId="1" applyNumberFormat="1" applyFont="1" applyFill="1"/>
    <xf numFmtId="43" fontId="0" fillId="0" borderId="8" xfId="1" applyFont="1" applyBorder="1"/>
    <xf numFmtId="0" fontId="17" fillId="0" borderId="8" xfId="0" applyFont="1" applyBorder="1"/>
    <xf numFmtId="175" fontId="0" fillId="10" borderId="0" xfId="0" applyNumberFormat="1" applyFill="1"/>
    <xf numFmtId="175" fontId="0" fillId="0" borderId="0" xfId="1" applyNumberFormat="1" applyFont="1"/>
    <xf numFmtId="10" fontId="0" fillId="0" borderId="8" xfId="2" applyNumberFormat="1" applyFont="1" applyBorder="1"/>
    <xf numFmtId="10" fontId="0" fillId="0" borderId="11" xfId="2" applyNumberFormat="1" applyFont="1" applyBorder="1"/>
    <xf numFmtId="0" fontId="0" fillId="11" borderId="0" xfId="0" applyFill="1"/>
    <xf numFmtId="175" fontId="0" fillId="11" borderId="0" xfId="1" applyNumberFormat="1" applyFont="1" applyFill="1"/>
    <xf numFmtId="0" fontId="3" fillId="0" borderId="5" xfId="0" applyFont="1" applyBorder="1"/>
    <xf numFmtId="0" fontId="3" fillId="0" borderId="6" xfId="0" applyFont="1" applyBorder="1"/>
    <xf numFmtId="9" fontId="0" fillId="0" borderId="8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3" fillId="0" borderId="4" xfId="0" applyFont="1" applyBorder="1" applyAlignment="1">
      <alignment horizontal="center"/>
    </xf>
    <xf numFmtId="15" fontId="0" fillId="0" borderId="7" xfId="0" applyNumberFormat="1" applyBorder="1"/>
    <xf numFmtId="164" fontId="0" fillId="0" borderId="0" xfId="1" applyNumberFormat="1" applyFont="1" applyBorder="1"/>
    <xf numFmtId="164" fontId="0" fillId="0" borderId="8" xfId="1" applyNumberFormat="1" applyFont="1" applyBorder="1"/>
    <xf numFmtId="15" fontId="0" fillId="0" borderId="9" xfId="0" applyNumberFormat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43" fontId="0" fillId="0" borderId="0" xfId="1" applyFont="1" applyBorder="1"/>
    <xf numFmtId="43" fontId="0" fillId="0" borderId="10" xfId="1" applyFont="1" applyBorder="1"/>
    <xf numFmtId="43" fontId="0" fillId="0" borderId="11" xfId="1" applyFont="1" applyBorder="1"/>
    <xf numFmtId="0" fontId="10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0" xfId="0" applyNumberFormat="1"/>
    <xf numFmtId="176" fontId="0" fillId="0" borderId="0" xfId="0" applyNumberFormat="1"/>
    <xf numFmtId="0" fontId="10" fillId="0" borderId="0" xfId="0" applyFont="1" applyAlignment="1">
      <alignment horizontal="center"/>
    </xf>
    <xf numFmtId="167" fontId="0" fillId="0" borderId="0" xfId="2" applyNumberFormat="1" applyFont="1" applyBorder="1"/>
    <xf numFmtId="169" fontId="0" fillId="0" borderId="0" xfId="0" applyNumberFormat="1"/>
    <xf numFmtId="10" fontId="0" fillId="0" borderId="0" xfId="2" applyNumberFormat="1" applyFont="1" applyBorder="1"/>
    <xf numFmtId="166" fontId="0" fillId="0" borderId="0" xfId="2" applyNumberFormat="1" applyFont="1" applyBorder="1"/>
    <xf numFmtId="167" fontId="0" fillId="0" borderId="0" xfId="2" applyNumberFormat="1" applyFont="1" applyFill="1" applyBorder="1" applyAlignment="1">
      <alignment horizontal="right"/>
    </xf>
    <xf numFmtId="170" fontId="0" fillId="0" borderId="0" xfId="0" applyNumberFormat="1"/>
    <xf numFmtId="173" fontId="0" fillId="0" borderId="0" xfId="0" applyNumberFormat="1"/>
    <xf numFmtId="172" fontId="0" fillId="0" borderId="0" xfId="0" applyNumberFormat="1"/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8" xfId="2" applyFont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17" fillId="0" borderId="24" xfId="0" applyFont="1" applyBorder="1" applyAlignment="1">
      <alignment horizontal="center"/>
    </xf>
    <xf numFmtId="9" fontId="0" fillId="0" borderId="11" xfId="2" applyFont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12" borderId="27" xfId="0" applyFill="1" applyBorder="1" applyAlignment="1">
      <alignment horizontal="center"/>
    </xf>
    <xf numFmtId="171" fontId="3" fillId="0" borderId="0" xfId="0" applyNumberFormat="1" applyFont="1" applyAlignment="1">
      <alignment horizontal="center"/>
    </xf>
    <xf numFmtId="174" fontId="0" fillId="0" borderId="8" xfId="1" applyNumberFormat="1" applyFont="1" applyBorder="1"/>
    <xf numFmtId="174" fontId="0" fillId="0" borderId="11" xfId="1" applyNumberFormat="1" applyFont="1" applyBorder="1"/>
    <xf numFmtId="0" fontId="32" fillId="0" borderId="0" xfId="0" applyFont="1"/>
    <xf numFmtId="177" fontId="32" fillId="0" borderId="0" xfId="1" applyNumberFormat="1" applyFont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9" fontId="17" fillId="0" borderId="0" xfId="0" applyNumberFormat="1" applyFont="1"/>
    <xf numFmtId="0" fontId="33" fillId="0" borderId="0" xfId="0" applyFont="1"/>
    <xf numFmtId="0" fontId="0" fillId="14" borderId="0" xfId="0" applyFill="1"/>
    <xf numFmtId="0" fontId="17" fillId="0" borderId="0" xfId="0" applyFont="1" applyAlignment="1">
      <alignment horizontal="center"/>
    </xf>
    <xf numFmtId="0" fontId="0" fillId="8" borderId="10" xfId="0" applyFill="1" applyBorder="1"/>
    <xf numFmtId="0" fontId="0" fillId="8" borderId="11" xfId="0" applyFill="1" applyBorder="1"/>
    <xf numFmtId="0" fontId="37" fillId="0" borderId="0" xfId="0" applyFont="1"/>
    <xf numFmtId="0" fontId="37" fillId="0" borderId="0" xfId="0" applyFont="1" applyAlignment="1">
      <alignment horizontal="center"/>
    </xf>
    <xf numFmtId="2" fontId="37" fillId="0" borderId="0" xfId="0" applyNumberFormat="1" applyFont="1" applyAlignment="1">
      <alignment horizontal="center"/>
    </xf>
    <xf numFmtId="0" fontId="38" fillId="0" borderId="0" xfId="0" applyFont="1"/>
    <xf numFmtId="0" fontId="18" fillId="0" borderId="0" xfId="0" applyFont="1"/>
    <xf numFmtId="164" fontId="14" fillId="0" borderId="0" xfId="0" applyNumberFormat="1" applyFont="1"/>
    <xf numFmtId="0" fontId="39" fillId="0" borderId="4" xfId="0" applyFont="1" applyBorder="1"/>
    <xf numFmtId="0" fontId="39" fillId="0" borderId="5" xfId="0" applyFont="1" applyBorder="1"/>
    <xf numFmtId="0" fontId="39" fillId="0" borderId="6" xfId="0" applyFont="1" applyBorder="1"/>
    <xf numFmtId="0" fontId="39" fillId="0" borderId="7" xfId="0" applyFont="1" applyBorder="1"/>
    <xf numFmtId="0" fontId="39" fillId="0" borderId="0" xfId="0" applyFont="1"/>
    <xf numFmtId="164" fontId="39" fillId="0" borderId="0" xfId="0" applyNumberFormat="1" applyFont="1"/>
    <xf numFmtId="0" fontId="39" fillId="0" borderId="8" xfId="0" applyFont="1" applyBorder="1"/>
    <xf numFmtId="0" fontId="39" fillId="0" borderId="9" xfId="0" applyFont="1" applyBorder="1"/>
    <xf numFmtId="0" fontId="39" fillId="0" borderId="10" xfId="0" applyFont="1" applyBorder="1"/>
    <xf numFmtId="0" fontId="39" fillId="0" borderId="11" xfId="0" applyFont="1" applyBorder="1"/>
    <xf numFmtId="0" fontId="40" fillId="0" borderId="0" xfId="0" applyFont="1"/>
    <xf numFmtId="0" fontId="41" fillId="0" borderId="0" xfId="0" applyFont="1"/>
    <xf numFmtId="0" fontId="4" fillId="0" borderId="0" xfId="0" applyFont="1" applyAlignment="1">
      <alignment horizontal="center"/>
    </xf>
    <xf numFmtId="0" fontId="43" fillId="0" borderId="0" xfId="0" applyFont="1"/>
    <xf numFmtId="2" fontId="0" fillId="0" borderId="0" xfId="2" applyNumberFormat="1" applyFont="1"/>
    <xf numFmtId="44" fontId="0" fillId="14" borderId="0" xfId="0" applyNumberFormat="1" applyFill="1"/>
    <xf numFmtId="9" fontId="5" fillId="0" borderId="0" xfId="0" applyNumberFormat="1" applyFont="1"/>
    <xf numFmtId="0" fontId="37" fillId="0" borderId="4" xfId="0" applyFont="1" applyBorder="1"/>
    <xf numFmtId="0" fontId="37" fillId="0" borderId="5" xfId="0" applyFont="1" applyBorder="1"/>
    <xf numFmtId="0" fontId="37" fillId="0" borderId="6" xfId="0" applyFont="1" applyBorder="1"/>
    <xf numFmtId="0" fontId="20" fillId="0" borderId="7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8" xfId="0" applyFont="1" applyBorder="1" applyAlignment="1">
      <alignment horizontal="center"/>
    </xf>
    <xf numFmtId="0" fontId="37" fillId="0" borderId="7" xfId="0" applyFont="1" applyBorder="1" applyAlignment="1">
      <alignment horizontal="center"/>
    </xf>
    <xf numFmtId="177" fontId="37" fillId="0" borderId="0" xfId="1" applyNumberFormat="1" applyFont="1" applyBorder="1" applyAlignment="1">
      <alignment horizontal="center"/>
    </xf>
    <xf numFmtId="43" fontId="37" fillId="0" borderId="0" xfId="0" applyNumberFormat="1" applyFont="1" applyAlignment="1">
      <alignment horizontal="center"/>
    </xf>
    <xf numFmtId="0" fontId="37" fillId="0" borderId="8" xfId="0" applyFont="1" applyBorder="1" applyAlignment="1">
      <alignment horizontal="center"/>
    </xf>
    <xf numFmtId="43" fontId="45" fillId="0" borderId="0" xfId="0" applyNumberFormat="1" applyFont="1" applyAlignment="1">
      <alignment horizontal="center"/>
    </xf>
    <xf numFmtId="0" fontId="39" fillId="14" borderId="0" xfId="0" applyFont="1" applyFill="1" applyAlignment="1">
      <alignment horizontal="center"/>
    </xf>
    <xf numFmtId="43" fontId="20" fillId="0" borderId="0" xfId="0" applyNumberFormat="1" applyFont="1" applyAlignment="1">
      <alignment horizontal="center"/>
    </xf>
    <xf numFmtId="0" fontId="37" fillId="0" borderId="9" xfId="0" applyFont="1" applyBorder="1" applyAlignment="1">
      <alignment horizontal="center"/>
    </xf>
    <xf numFmtId="0" fontId="37" fillId="0" borderId="10" xfId="0" applyFont="1" applyBorder="1" applyAlignment="1">
      <alignment horizontal="center"/>
    </xf>
    <xf numFmtId="0" fontId="37" fillId="0" borderId="11" xfId="0" applyFont="1" applyBorder="1" applyAlignment="1">
      <alignment horizontal="center"/>
    </xf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0" xfId="0" applyFill="1"/>
    <xf numFmtId="0" fontId="0" fillId="13" borderId="8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11" xfId="0" applyFill="1" applyBorder="1"/>
    <xf numFmtId="9" fontId="46" fillId="0" borderId="0" xfId="0" applyNumberFormat="1" applyFont="1"/>
    <xf numFmtId="177" fontId="0" fillId="0" borderId="0" xfId="1" applyNumberFormat="1" applyFont="1"/>
    <xf numFmtId="43" fontId="0" fillId="14" borderId="0" xfId="1" applyFont="1" applyFill="1"/>
    <xf numFmtId="0" fontId="47" fillId="0" borderId="0" xfId="0" applyFont="1"/>
    <xf numFmtId="10" fontId="2" fillId="0" borderId="0" xfId="0" applyNumberFormat="1" applyFont="1"/>
    <xf numFmtId="43" fontId="0" fillId="0" borderId="28" xfId="1" applyFont="1" applyBorder="1"/>
    <xf numFmtId="43" fontId="0" fillId="0" borderId="29" xfId="1" applyFont="1" applyBorder="1"/>
    <xf numFmtId="43" fontId="0" fillId="0" borderId="30" xfId="1" applyFont="1" applyBorder="1"/>
    <xf numFmtId="43" fontId="0" fillId="0" borderId="21" xfId="1" applyFont="1" applyBorder="1"/>
    <xf numFmtId="43" fontId="0" fillId="0" borderId="22" xfId="1" applyFont="1" applyBorder="1"/>
    <xf numFmtId="43" fontId="0" fillId="0" borderId="23" xfId="1" applyFont="1" applyBorder="1"/>
    <xf numFmtId="43" fontId="0" fillId="0" borderId="25" xfId="1" applyFont="1" applyBorder="1"/>
    <xf numFmtId="43" fontId="0" fillId="0" borderId="26" xfId="1" applyFont="1" applyBorder="1"/>
    <xf numFmtId="43" fontId="0" fillId="0" borderId="27" xfId="1" applyFont="1" applyBorder="1"/>
    <xf numFmtId="174" fontId="0" fillId="0" borderId="0" xfId="1" applyNumberFormat="1" applyFont="1"/>
    <xf numFmtId="177" fontId="0" fillId="14" borderId="0" xfId="1" applyNumberFormat="1" applyFont="1" applyFill="1"/>
    <xf numFmtId="43" fontId="0" fillId="14" borderId="0" xfId="1" applyFont="1" applyFill="1" applyAlignment="1">
      <alignment horizontal="center"/>
    </xf>
    <xf numFmtId="43" fontId="0" fillId="0" borderId="0" xfId="0" applyNumberFormat="1"/>
    <xf numFmtId="8" fontId="0" fillId="14" borderId="0" xfId="0" applyNumberFormat="1" applyFill="1"/>
    <xf numFmtId="0" fontId="9" fillId="0" borderId="0" xfId="0" applyFont="1" applyAlignment="1">
      <alignment horizontal="left"/>
    </xf>
    <xf numFmtId="8" fontId="0" fillId="14" borderId="0" xfId="0" applyNumberFormat="1" applyFill="1" applyAlignment="1">
      <alignment horizontal="center"/>
    </xf>
    <xf numFmtId="43" fontId="0" fillId="0" borderId="5" xfId="1" applyFont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right"/>
    </xf>
    <xf numFmtId="164" fontId="0" fillId="2" borderId="0" xfId="1" applyNumberFormat="1" applyFont="1" applyFill="1"/>
    <xf numFmtId="164" fontId="0" fillId="9" borderId="0" xfId="1" applyNumberFormat="1" applyFont="1" applyFill="1"/>
    <xf numFmtId="164" fontId="0" fillId="0" borderId="5" xfId="0" applyNumberFormat="1" applyBorder="1"/>
    <xf numFmtId="0" fontId="17" fillId="0" borderId="6" xfId="0" applyFont="1" applyBorder="1"/>
    <xf numFmtId="9" fontId="0" fillId="0" borderId="11" xfId="0" applyNumberFormat="1" applyBorder="1"/>
    <xf numFmtId="164" fontId="0" fillId="11" borderId="0" xfId="1" applyNumberFormat="1" applyFont="1" applyFill="1"/>
    <xf numFmtId="0" fontId="3" fillId="0" borderId="0" xfId="0" applyFont="1" applyAlignment="1">
      <alignment horizontal="right"/>
    </xf>
    <xf numFmtId="164" fontId="0" fillId="14" borderId="0" xfId="1" applyNumberFormat="1" applyFont="1" applyFill="1"/>
    <xf numFmtId="0" fontId="0" fillId="6" borderId="0" xfId="0" applyFill="1"/>
    <xf numFmtId="177" fontId="0" fillId="0" borderId="0" xfId="1" applyNumberFormat="1" applyFont="1" applyAlignment="1">
      <alignment horizontal="center"/>
    </xf>
    <xf numFmtId="172" fontId="0" fillId="4" borderId="0" xfId="0" applyNumberFormat="1" applyFill="1"/>
    <xf numFmtId="0" fontId="0" fillId="4" borderId="0" xfId="0" applyFill="1"/>
    <xf numFmtId="0" fontId="48" fillId="0" borderId="0" xfId="0" applyFont="1"/>
    <xf numFmtId="164" fontId="0" fillId="0" borderId="0" xfId="1" applyNumberFormat="1" applyFont="1" applyAlignment="1">
      <alignment horizontal="center"/>
    </xf>
    <xf numFmtId="164" fontId="0" fillId="14" borderId="0" xfId="1" applyNumberFormat="1" applyFont="1" applyFill="1" applyAlignment="1">
      <alignment horizontal="center"/>
    </xf>
    <xf numFmtId="164" fontId="0" fillId="11" borderId="0" xfId="1" applyNumberFormat="1" applyFont="1" applyFill="1" applyAlignment="1">
      <alignment horizontal="center"/>
    </xf>
    <xf numFmtId="0" fontId="3" fillId="8" borderId="0" xfId="0" applyFont="1" applyFill="1"/>
    <xf numFmtId="10" fontId="3" fillId="8" borderId="0" xfId="0" applyNumberFormat="1" applyFont="1" applyFill="1"/>
    <xf numFmtId="10" fontId="2" fillId="0" borderId="0" xfId="2" applyNumberFormat="1" applyFont="1"/>
    <xf numFmtId="0" fontId="50" fillId="0" borderId="0" xfId="0" applyFont="1"/>
    <xf numFmtId="168" fontId="17" fillId="0" borderId="0" xfId="1" applyNumberFormat="1" applyFont="1"/>
    <xf numFmtId="168" fontId="3" fillId="0" borderId="0" xfId="0" applyNumberFormat="1" applyFont="1"/>
    <xf numFmtId="10" fontId="3" fillId="0" borderId="0" xfId="0" applyNumberFormat="1" applyFont="1"/>
    <xf numFmtId="0" fontId="2" fillId="0" borderId="0" xfId="0" applyFont="1"/>
    <xf numFmtId="168" fontId="2" fillId="0" borderId="0" xfId="0" applyNumberFormat="1" applyFont="1"/>
    <xf numFmtId="0" fontId="18" fillId="13" borderId="0" xfId="0" applyFont="1" applyFill="1"/>
    <xf numFmtId="10" fontId="0" fillId="13" borderId="0" xfId="2" applyNumberFormat="1" applyFont="1" applyFill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168" fontId="12" fillId="0" borderId="0" xfId="1" applyNumberFormat="1" applyFont="1" applyBorder="1"/>
    <xf numFmtId="168" fontId="53" fillId="0" borderId="0" xfId="1" applyNumberFormat="1" applyFont="1" applyBorder="1"/>
    <xf numFmtId="9" fontId="13" fillId="0" borderId="0" xfId="0" applyNumberFormat="1" applyFont="1" applyAlignment="1">
      <alignment horizontal="center"/>
    </xf>
    <xf numFmtId="168" fontId="12" fillId="0" borderId="0" xfId="0" applyNumberFormat="1" applyFont="1" applyAlignment="1">
      <alignment horizontal="center"/>
    </xf>
    <xf numFmtId="9" fontId="55" fillId="0" borderId="0" xfId="0" applyNumberFormat="1" applyFont="1" applyAlignment="1">
      <alignment horizontal="center"/>
    </xf>
    <xf numFmtId="174" fontId="55" fillId="0" borderId="0" xfId="1" applyNumberFormat="1" applyFont="1" applyBorder="1" applyAlignment="1">
      <alignment horizontal="center"/>
    </xf>
    <xf numFmtId="0" fontId="56" fillId="0" borderId="0" xfId="0" applyFont="1" applyAlignment="1">
      <alignment horizontal="left"/>
    </xf>
    <xf numFmtId="10" fontId="58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0" fontId="6" fillId="0" borderId="0" xfId="0" applyNumberFormat="1" applyFont="1" applyAlignment="1">
      <alignment horizontal="center"/>
    </xf>
    <xf numFmtId="0" fontId="60" fillId="0" borderId="0" xfId="0" applyFont="1"/>
    <xf numFmtId="0" fontId="56" fillId="2" borderId="0" xfId="0" applyFont="1" applyFill="1" applyAlignment="1">
      <alignment horizontal="left"/>
    </xf>
    <xf numFmtId="10" fontId="12" fillId="2" borderId="0" xfId="0" applyNumberFormat="1" applyFont="1" applyFill="1" applyAlignment="1">
      <alignment horizontal="center"/>
    </xf>
    <xf numFmtId="0" fontId="3" fillId="0" borderId="7" xfId="0" applyFont="1" applyBorder="1" applyAlignment="1">
      <alignment horizontal="center"/>
    </xf>
    <xf numFmtId="177" fontId="0" fillId="10" borderId="0" xfId="1" applyNumberFormat="1" applyFont="1" applyFill="1" applyAlignment="1">
      <alignment horizontal="center"/>
    </xf>
    <xf numFmtId="177" fontId="17" fillId="10" borderId="0" xfId="1" applyNumberFormat="1" applyFont="1" applyFill="1" applyAlignment="1">
      <alignment horizontal="center"/>
    </xf>
    <xf numFmtId="167" fontId="0" fillId="3" borderId="0" xfId="2" applyNumberFormat="1" applyFont="1" applyFill="1"/>
    <xf numFmtId="173" fontId="0" fillId="0" borderId="0" xfId="0" applyNumberFormat="1" applyAlignment="1">
      <alignment horizontal="center"/>
    </xf>
    <xf numFmtId="173" fontId="17" fillId="0" borderId="0" xfId="0" applyNumberFormat="1" applyFont="1" applyAlignment="1">
      <alignment horizontal="center"/>
    </xf>
    <xf numFmtId="0" fontId="0" fillId="14" borderId="0" xfId="0" applyFill="1" applyAlignment="1">
      <alignment horizontal="center"/>
    </xf>
    <xf numFmtId="167" fontId="2" fillId="0" borderId="0" xfId="2" applyNumberFormat="1" applyFont="1"/>
    <xf numFmtId="0" fontId="31" fillId="0" borderId="6" xfId="0" applyFont="1" applyBorder="1"/>
    <xf numFmtId="0" fontId="0" fillId="9" borderId="0" xfId="0" applyFill="1" applyAlignment="1">
      <alignment horizontal="center"/>
    </xf>
    <xf numFmtId="167" fontId="0" fillId="9" borderId="0" xfId="0" applyNumberFormat="1" applyFill="1" applyAlignment="1">
      <alignment horizontal="center"/>
    </xf>
    <xf numFmtId="43" fontId="0" fillId="0" borderId="6" xfId="1" applyFont="1" applyBorder="1"/>
    <xf numFmtId="43" fontId="0" fillId="0" borderId="11" xfId="0" applyNumberFormat="1" applyBorder="1"/>
    <xf numFmtId="0" fontId="2" fillId="0" borderId="0" xfId="0" applyFont="1" applyAlignment="1">
      <alignment horizontal="center"/>
    </xf>
    <xf numFmtId="9" fontId="2" fillId="0" borderId="0" xfId="2" applyFont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10" fillId="4" borderId="0" xfId="0" applyFont="1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0" fontId="0" fillId="8" borderId="0" xfId="0" applyNumberFormat="1" applyFill="1"/>
    <xf numFmtId="10" fontId="17" fillId="8" borderId="0" xfId="0" applyNumberFormat="1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5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2" fillId="0" borderId="0" xfId="0" applyFont="1"/>
    <xf numFmtId="172" fontId="63" fillId="0" borderId="0" xfId="0" applyNumberFormat="1" applyFont="1"/>
    <xf numFmtId="2" fontId="63" fillId="0" borderId="0" xfId="0" applyNumberFormat="1" applyFont="1"/>
    <xf numFmtId="9" fontId="63" fillId="0" borderId="0" xfId="2" applyFont="1" applyBorder="1"/>
    <xf numFmtId="0" fontId="39" fillId="0" borderId="1" xfId="0" applyFont="1" applyBorder="1"/>
    <xf numFmtId="0" fontId="39" fillId="0" borderId="2" xfId="0" applyFont="1" applyBorder="1"/>
    <xf numFmtId="0" fontId="39" fillId="0" borderId="3" xfId="0" applyFont="1" applyBorder="1"/>
    <xf numFmtId="0" fontId="65" fillId="0" borderId="0" xfId="0" applyFont="1"/>
    <xf numFmtId="9" fontId="65" fillId="0" borderId="0" xfId="0" applyNumberFormat="1" applyFont="1"/>
    <xf numFmtId="9" fontId="65" fillId="0" borderId="0" xfId="0" applyNumberFormat="1" applyFont="1" applyAlignment="1">
      <alignment horizontal="right"/>
    </xf>
    <xf numFmtId="10" fontId="0" fillId="14" borderId="0" xfId="0" applyNumberFormat="1" applyFill="1"/>
    <xf numFmtId="167" fontId="0" fillId="14" borderId="0" xfId="2" applyNumberFormat="1" applyFont="1" applyFill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Risk!$C$15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Risk!$C$16:$C$22</c:f>
              <c:numCache>
                <c:formatCode>General</c:formatCode>
                <c:ptCount val="7"/>
                <c:pt idx="0">
                  <c:v>127</c:v>
                </c:pt>
                <c:pt idx="1">
                  <c:v>154</c:v>
                </c:pt>
                <c:pt idx="2">
                  <c:v>211</c:v>
                </c:pt>
                <c:pt idx="3">
                  <c:v>268</c:v>
                </c:pt>
                <c:pt idx="4">
                  <c:v>92</c:v>
                </c:pt>
                <c:pt idx="5">
                  <c:v>144</c:v>
                </c:pt>
                <c:pt idx="6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4-4ABB-9099-3A276A922227}"/>
            </c:ext>
          </c:extLst>
        </c:ser>
        <c:ser>
          <c:idx val="1"/>
          <c:order val="1"/>
          <c:tx>
            <c:strRef>
              <c:f>Risk!$D$15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Risk!$D$16:$D$22</c:f>
              <c:numCache>
                <c:formatCode>General</c:formatCode>
                <c:ptCount val="7"/>
                <c:pt idx="0">
                  <c:v>115</c:v>
                </c:pt>
                <c:pt idx="1">
                  <c:v>118</c:v>
                </c:pt>
                <c:pt idx="2">
                  <c:v>114</c:v>
                </c:pt>
                <c:pt idx="3">
                  <c:v>116</c:v>
                </c:pt>
                <c:pt idx="4">
                  <c:v>122</c:v>
                </c:pt>
                <c:pt idx="5">
                  <c:v>125</c:v>
                </c:pt>
                <c:pt idx="6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4-4ABB-9099-3A276A9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80335"/>
        <c:axId val="806382255"/>
      </c:lineChart>
      <c:catAx>
        <c:axId val="806380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82255"/>
        <c:crosses val="autoZero"/>
        <c:auto val="1"/>
        <c:lblAlgn val="ctr"/>
        <c:lblOffset val="100"/>
        <c:noMultiLvlLbl val="0"/>
      </c:catAx>
      <c:valAx>
        <c:axId val="80638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8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[1]Risk!$I$24:$I$30</c:f>
              <c:numCache>
                <c:formatCode>General</c:formatCode>
                <c:ptCount val="7"/>
                <c:pt idx="0">
                  <c:v>127</c:v>
                </c:pt>
                <c:pt idx="1">
                  <c:v>154</c:v>
                </c:pt>
                <c:pt idx="2">
                  <c:v>211</c:v>
                </c:pt>
                <c:pt idx="3">
                  <c:v>268</c:v>
                </c:pt>
                <c:pt idx="4">
                  <c:v>92</c:v>
                </c:pt>
                <c:pt idx="5">
                  <c:v>144</c:v>
                </c:pt>
                <c:pt idx="6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0-4903-8FF5-356C5F77BF4D}"/>
            </c:ext>
          </c:extLst>
        </c:ser>
        <c:ser>
          <c:idx val="1"/>
          <c:order val="1"/>
          <c:tx>
            <c:v>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[1]Risk!$J$24:$J$30</c:f>
              <c:numCache>
                <c:formatCode>General</c:formatCode>
                <c:ptCount val="7"/>
                <c:pt idx="0">
                  <c:v>115</c:v>
                </c:pt>
                <c:pt idx="1">
                  <c:v>118</c:v>
                </c:pt>
                <c:pt idx="2">
                  <c:v>114</c:v>
                </c:pt>
                <c:pt idx="3">
                  <c:v>116</c:v>
                </c:pt>
                <c:pt idx="4">
                  <c:v>122</c:v>
                </c:pt>
                <c:pt idx="5">
                  <c:v>125</c:v>
                </c:pt>
                <c:pt idx="6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0-4903-8FF5-356C5F77B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169392"/>
        <c:axId val="1840147760"/>
      </c:lineChart>
      <c:catAx>
        <c:axId val="184016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47760"/>
        <c:crosses val="autoZero"/>
        <c:auto val="1"/>
        <c:lblAlgn val="ctr"/>
        <c:lblOffset val="100"/>
        <c:noMultiLvlLbl val="0"/>
      </c:catAx>
      <c:valAx>
        <c:axId val="18401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6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A=2; U=0.05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[1]Utility!$K$19:$K$24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[1]Utility!$L$19:$L$24</c:f>
              <c:numCache>
                <c:formatCode>General</c:formatCode>
                <c:ptCount val="6"/>
                <c:pt idx="0">
                  <c:v>0.05</c:v>
                </c:pt>
                <c:pt idx="1">
                  <c:v>5.2500000000000005E-2</c:v>
                </c:pt>
                <c:pt idx="2">
                  <c:v>6.0000000000000005E-2</c:v>
                </c:pt>
                <c:pt idx="3">
                  <c:v>7.2500000000000009E-2</c:v>
                </c:pt>
                <c:pt idx="4">
                  <c:v>9.0000000000000011E-2</c:v>
                </c:pt>
                <c:pt idx="5">
                  <c:v>0.1125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B1-4C9A-BA4C-86C2BB5A7379}"/>
            </c:ext>
          </c:extLst>
        </c:ser>
        <c:ser>
          <c:idx val="1"/>
          <c:order val="1"/>
          <c:tx>
            <c:v>A=3; U=0.06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[1]Utility!$K$30:$K$35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[1]Utility!$L$30:$L$35</c:f>
              <c:numCache>
                <c:formatCode>General</c:formatCode>
                <c:ptCount val="6"/>
                <c:pt idx="0">
                  <c:v>0.06</c:v>
                </c:pt>
                <c:pt idx="1">
                  <c:v>6.3750000000000001E-2</c:v>
                </c:pt>
                <c:pt idx="2">
                  <c:v>7.4999999999999997E-2</c:v>
                </c:pt>
                <c:pt idx="3">
                  <c:v>9.375E-2</c:v>
                </c:pt>
                <c:pt idx="4">
                  <c:v>0.12000000000000001</c:v>
                </c:pt>
                <c:pt idx="5">
                  <c:v>0.15375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B1-4C9A-BA4C-86C2BB5A7379}"/>
            </c:ext>
          </c:extLst>
        </c:ser>
        <c:ser>
          <c:idx val="2"/>
          <c:order val="2"/>
          <c:tx>
            <c:v>A=4; U=0.07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[1]Utility!$K$41:$K$46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[1]Utility!$L$41:$L$46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7.5000000000000011E-2</c:v>
                </c:pt>
                <c:pt idx="2">
                  <c:v>9.0000000000000011E-2</c:v>
                </c:pt>
                <c:pt idx="3">
                  <c:v>0.115</c:v>
                </c:pt>
                <c:pt idx="4">
                  <c:v>0.15000000000000002</c:v>
                </c:pt>
                <c:pt idx="5">
                  <c:v>0.19500000000000001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B1-4C9A-BA4C-86C2BB5A7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015376"/>
        <c:axId val="2093033264"/>
      </c:scatterChart>
      <c:valAx>
        <c:axId val="209301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33264"/>
        <c:crosses val="autoZero"/>
        <c:crossBetween val="midCat"/>
      </c:valAx>
      <c:valAx>
        <c:axId val="209303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1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UTILITY INDIFFERENCE</a:t>
            </a:r>
            <a:r>
              <a:rPr lang="en-IN" baseline="0"/>
              <a:t> CURVES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U=0.05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[1]Utility!$K$58:$K$63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[1]Utility!$L$58:$L$63</c:f>
              <c:numCache>
                <c:formatCode>General</c:formatCode>
                <c:ptCount val="6"/>
                <c:pt idx="0">
                  <c:v>0.05</c:v>
                </c:pt>
                <c:pt idx="1">
                  <c:v>5.2500000000000005E-2</c:v>
                </c:pt>
                <c:pt idx="2">
                  <c:v>6.0000000000000005E-2</c:v>
                </c:pt>
                <c:pt idx="3">
                  <c:v>7.2500000000000009E-2</c:v>
                </c:pt>
                <c:pt idx="4">
                  <c:v>9.0000000000000011E-2</c:v>
                </c:pt>
                <c:pt idx="5">
                  <c:v>0.1125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88-4299-8BAD-B55A80F9FD65}"/>
            </c:ext>
          </c:extLst>
        </c:ser>
        <c:ser>
          <c:idx val="1"/>
          <c:order val="1"/>
          <c:tx>
            <c:v>U=0.06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[1]Utility!$K$69:$K$74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[1]Utility!$L$69:$L$74</c:f>
              <c:numCache>
                <c:formatCode>General</c:formatCode>
                <c:ptCount val="6"/>
                <c:pt idx="0">
                  <c:v>0.06</c:v>
                </c:pt>
                <c:pt idx="1">
                  <c:v>6.25E-2</c:v>
                </c:pt>
                <c:pt idx="2">
                  <c:v>7.0000000000000007E-2</c:v>
                </c:pt>
                <c:pt idx="3">
                  <c:v>8.249999999999999E-2</c:v>
                </c:pt>
                <c:pt idx="4">
                  <c:v>0.1</c:v>
                </c:pt>
                <c:pt idx="5">
                  <c:v>0.1225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88-4299-8BAD-B55A80F9FD65}"/>
            </c:ext>
          </c:extLst>
        </c:ser>
        <c:ser>
          <c:idx val="2"/>
          <c:order val="2"/>
          <c:tx>
            <c:v>U=0.07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[1]Utility!$K$80:$K$85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[1]Utility!$L$80:$L$85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7.2500000000000009E-2</c:v>
                </c:pt>
                <c:pt idx="2">
                  <c:v>8.0000000000000016E-2</c:v>
                </c:pt>
                <c:pt idx="3">
                  <c:v>9.2499999999999999E-2</c:v>
                </c:pt>
                <c:pt idx="4">
                  <c:v>0.11000000000000001</c:v>
                </c:pt>
                <c:pt idx="5">
                  <c:v>0.13250000000000001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88-4299-8BAD-B55A80F9F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042416"/>
        <c:axId val="2093061552"/>
      </c:scatterChart>
      <c:valAx>
        <c:axId val="20930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61552"/>
        <c:crosses val="autoZero"/>
        <c:crossBetween val="midCat"/>
      </c:valAx>
      <c:valAx>
        <c:axId val="20930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4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26" fmlaLink="$L$18" max="10" min="4" page="10" val="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9</xdr:row>
      <xdr:rowOff>190499</xdr:rowOff>
    </xdr:from>
    <xdr:to>
      <xdr:col>15</xdr:col>
      <xdr:colOff>485775</xdr:colOff>
      <xdr:row>22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83430</xdr:colOff>
      <xdr:row>20</xdr:row>
      <xdr:rowOff>72308</xdr:rowOff>
    </xdr:from>
    <xdr:to>
      <xdr:col>6</xdr:col>
      <xdr:colOff>161298</xdr:colOff>
      <xdr:row>32</xdr:row>
      <xdr:rowOff>38934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27810</xdr:colOff>
      <xdr:row>59</xdr:row>
      <xdr:rowOff>172424</xdr:rowOff>
    </xdr:from>
    <xdr:to>
      <xdr:col>14</xdr:col>
      <xdr:colOff>283665</xdr:colOff>
      <xdr:row>60</xdr:row>
      <xdr:rowOff>100117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flipV="1">
          <a:off x="4295010" y="11592899"/>
          <a:ext cx="4799280" cy="1181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177985</xdr:colOff>
      <xdr:row>82</xdr:row>
      <xdr:rowOff>61182</xdr:rowOff>
    </xdr:from>
    <xdr:to>
      <xdr:col>6</xdr:col>
      <xdr:colOff>372656</xdr:colOff>
      <xdr:row>84</xdr:row>
      <xdr:rowOff>116803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 rot="16200000">
          <a:off x="3400285" y="15860307"/>
          <a:ext cx="455671" cy="80427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533956</xdr:colOff>
      <xdr:row>82</xdr:row>
      <xdr:rowOff>44497</xdr:rowOff>
    </xdr:from>
    <xdr:to>
      <xdr:col>12</xdr:col>
      <xdr:colOff>311474</xdr:colOff>
      <xdr:row>86</xdr:row>
      <xdr:rowOff>22248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 flipV="1">
          <a:off x="3581956" y="16017922"/>
          <a:ext cx="4292368" cy="777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105679</xdr:colOff>
      <xdr:row>85</xdr:row>
      <xdr:rowOff>139050</xdr:rowOff>
    </xdr:from>
    <xdr:to>
      <xdr:col>12</xdr:col>
      <xdr:colOff>472262</xdr:colOff>
      <xdr:row>88</xdr:row>
      <xdr:rowOff>11857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7020829" y="16703025"/>
          <a:ext cx="1014283" cy="510982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88993</xdr:colOff>
      <xdr:row>86</xdr:row>
      <xdr:rowOff>66745</xdr:rowOff>
    </xdr:from>
    <xdr:to>
      <xdr:col>17</xdr:col>
      <xdr:colOff>255854</xdr:colOff>
      <xdr:row>89</xdr:row>
      <xdr:rowOff>38934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CxnSpPr/>
      </xdr:nvCxnSpPr>
      <xdr:spPr>
        <a:xfrm flipH="1">
          <a:off x="9718768" y="16840270"/>
          <a:ext cx="1309861" cy="59131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177985</xdr:colOff>
      <xdr:row>105</xdr:row>
      <xdr:rowOff>61182</xdr:rowOff>
    </xdr:from>
    <xdr:to>
      <xdr:col>6</xdr:col>
      <xdr:colOff>372656</xdr:colOff>
      <xdr:row>107</xdr:row>
      <xdr:rowOff>116803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 rot="16200000">
          <a:off x="3400285" y="20365632"/>
          <a:ext cx="455671" cy="80427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533956</xdr:colOff>
      <xdr:row>105</xdr:row>
      <xdr:rowOff>44497</xdr:rowOff>
    </xdr:from>
    <xdr:to>
      <xdr:col>12</xdr:col>
      <xdr:colOff>311474</xdr:colOff>
      <xdr:row>109</xdr:row>
      <xdr:rowOff>22248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CxnSpPr/>
      </xdr:nvCxnSpPr>
      <xdr:spPr>
        <a:xfrm flipV="1">
          <a:off x="3581956" y="20523247"/>
          <a:ext cx="4292368" cy="777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105679</xdr:colOff>
      <xdr:row>108</xdr:row>
      <xdr:rowOff>139050</xdr:rowOff>
    </xdr:from>
    <xdr:to>
      <xdr:col>12</xdr:col>
      <xdr:colOff>472262</xdr:colOff>
      <xdr:row>111</xdr:row>
      <xdr:rowOff>11857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7020829" y="21208350"/>
          <a:ext cx="1014283" cy="510982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88993</xdr:colOff>
      <xdr:row>109</xdr:row>
      <xdr:rowOff>66745</xdr:rowOff>
    </xdr:from>
    <xdr:to>
      <xdr:col>17</xdr:col>
      <xdr:colOff>255854</xdr:colOff>
      <xdr:row>112</xdr:row>
      <xdr:rowOff>38934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/>
      </xdr:nvCxnSpPr>
      <xdr:spPr>
        <a:xfrm flipH="1">
          <a:off x="9718768" y="21345595"/>
          <a:ext cx="1309861" cy="59131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94555</xdr:colOff>
      <xdr:row>120</xdr:row>
      <xdr:rowOff>50058</xdr:rowOff>
    </xdr:from>
    <xdr:to>
      <xdr:col>11</xdr:col>
      <xdr:colOff>579187</xdr:colOff>
      <xdr:row>122</xdr:row>
      <xdr:rowOff>94555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7009705" y="23557758"/>
          <a:ext cx="484632" cy="4254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500584</xdr:colOff>
      <xdr:row>3</xdr:row>
      <xdr:rowOff>155738</xdr:rowOff>
    </xdr:from>
    <xdr:to>
      <xdr:col>6</xdr:col>
      <xdr:colOff>194671</xdr:colOff>
      <xdr:row>8</xdr:row>
      <xdr:rowOff>72306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CxnSpPr/>
      </xdr:nvCxnSpPr>
      <xdr:spPr>
        <a:xfrm flipH="1" flipV="1">
          <a:off x="2938984" y="736763"/>
          <a:ext cx="989487" cy="888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584014</xdr:colOff>
      <xdr:row>18</xdr:row>
      <xdr:rowOff>94555</xdr:rowOff>
    </xdr:from>
    <xdr:to>
      <xdr:col>23</xdr:col>
      <xdr:colOff>194671</xdr:colOff>
      <xdr:row>47</xdr:row>
      <xdr:rowOff>33372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50058</xdr:colOff>
      <xdr:row>69</xdr:row>
      <xdr:rowOff>177429</xdr:rowOff>
    </xdr:from>
    <xdr:to>
      <xdr:col>21</xdr:col>
      <xdr:colOff>339284</xdr:colOff>
      <xdr:row>84</xdr:row>
      <xdr:rowOff>150731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44497</xdr:colOff>
      <xdr:row>27</xdr:row>
      <xdr:rowOff>155737</xdr:rowOff>
    </xdr:from>
    <xdr:to>
      <xdr:col>13</xdr:col>
      <xdr:colOff>450526</xdr:colOff>
      <xdr:row>41</xdr:row>
      <xdr:rowOff>38934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/>
      </xdr:nvCxnSpPr>
      <xdr:spPr>
        <a:xfrm flipH="1">
          <a:off x="6292897" y="5337337"/>
          <a:ext cx="1625229" cy="256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522754</xdr:colOff>
      <xdr:row>61</xdr:row>
      <xdr:rowOff>72157</xdr:rowOff>
    </xdr:from>
    <xdr:to>
      <xdr:col>10</xdr:col>
      <xdr:colOff>523722</xdr:colOff>
      <xdr:row>64</xdr:row>
      <xdr:rowOff>6147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 rot="19586946">
          <a:off x="3723154" y="12054607"/>
          <a:ext cx="2439368" cy="5150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542925</xdr:colOff>
      <xdr:row>2</xdr:row>
      <xdr:rowOff>123825</xdr:rowOff>
    </xdr:from>
    <xdr:to>
      <xdr:col>14</xdr:col>
      <xdr:colOff>312786</xdr:colOff>
      <xdr:row>7</xdr:row>
      <xdr:rowOff>133350</xdr:rowOff>
    </xdr:to>
    <xdr:pic>
      <xdr:nvPicPr>
        <xdr:cNvPr id="2" name="Picture 1" descr="Analytical Approach to Calculating VaR (Variance-Covariance Method) -  Finance Train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504825"/>
          <a:ext cx="3760836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361533</xdr:colOff>
      <xdr:row>2</xdr:row>
      <xdr:rowOff>6953</xdr:rowOff>
    </xdr:from>
    <xdr:to>
      <xdr:col>7</xdr:col>
      <xdr:colOff>361533</xdr:colOff>
      <xdr:row>3</xdr:row>
      <xdr:rowOff>152956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CxnSpPr/>
      </xdr:nvCxnSpPr>
      <xdr:spPr>
        <a:xfrm>
          <a:off x="4409658" y="578453"/>
          <a:ext cx="0" cy="336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577062</xdr:colOff>
      <xdr:row>1</xdr:row>
      <xdr:rowOff>180767</xdr:rowOff>
    </xdr:from>
    <xdr:to>
      <xdr:col>5</xdr:col>
      <xdr:colOff>577062</xdr:colOff>
      <xdr:row>3</xdr:row>
      <xdr:rowOff>97336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CxnSpPr/>
      </xdr:nvCxnSpPr>
      <xdr:spPr>
        <a:xfrm flipV="1">
          <a:off x="2977362" y="561767"/>
          <a:ext cx="0" cy="297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127926</xdr:colOff>
      <xdr:row>24</xdr:row>
      <xdr:rowOff>77870</xdr:rowOff>
    </xdr:from>
    <xdr:to>
      <xdr:col>6</xdr:col>
      <xdr:colOff>494509</xdr:colOff>
      <xdr:row>27</xdr:row>
      <xdr:rowOff>736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>
          <a:off x="3947451" y="6221495"/>
          <a:ext cx="976183" cy="6562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325030</xdr:colOff>
      <xdr:row>15</xdr:row>
      <xdr:rowOff>132991</xdr:rowOff>
    </xdr:from>
    <xdr:to>
      <xdr:col>5</xdr:col>
      <xdr:colOff>164302</xdr:colOff>
      <xdr:row>18</xdr:row>
      <xdr:rowOff>66981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/>
      </xdr:nvSpPr>
      <xdr:spPr>
        <a:xfrm rot="2305990">
          <a:off x="1544230" y="3009541"/>
          <a:ext cx="1896672" cy="50549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383781</xdr:colOff>
      <xdr:row>49</xdr:row>
      <xdr:rowOff>177986</xdr:rowOff>
    </xdr:from>
    <xdr:to>
      <xdr:col>7</xdr:col>
      <xdr:colOff>138539</xdr:colOff>
      <xdr:row>52</xdr:row>
      <xdr:rowOff>111975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/>
      </xdr:nvSpPr>
      <xdr:spPr>
        <a:xfrm>
          <a:off x="3660381" y="9626786"/>
          <a:ext cx="1050158" cy="505489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13</xdr:col>
      <xdr:colOff>89647</xdr:colOff>
      <xdr:row>81</xdr:row>
      <xdr:rowOff>155738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306300"/>
          <a:ext cx="7900147" cy="35847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261416</xdr:colOff>
      <xdr:row>6</xdr:row>
      <xdr:rowOff>33372</xdr:rowOff>
    </xdr:from>
    <xdr:to>
      <xdr:col>11</xdr:col>
      <xdr:colOff>261416</xdr:colOff>
      <xdr:row>8</xdr:row>
      <xdr:rowOff>133488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CxnSpPr/>
      </xdr:nvCxnSpPr>
      <xdr:spPr>
        <a:xfrm flipV="1">
          <a:off x="6576491" y="1176372"/>
          <a:ext cx="0" cy="481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272540</xdr:colOff>
      <xdr:row>3</xdr:row>
      <xdr:rowOff>27811</xdr:rowOff>
    </xdr:from>
    <xdr:to>
      <xdr:col>11</xdr:col>
      <xdr:colOff>272541</xdr:colOff>
      <xdr:row>5</xdr:row>
      <xdr:rowOff>100117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CxnSpPr/>
      </xdr:nvCxnSpPr>
      <xdr:spPr>
        <a:xfrm>
          <a:off x="6587615" y="599311"/>
          <a:ext cx="1" cy="453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11</xdr:row>
          <xdr:rowOff>152400</xdr:rowOff>
        </xdr:from>
        <xdr:to>
          <xdr:col>15</xdr:col>
          <xdr:colOff>209550</xdr:colOff>
          <xdr:row>19</xdr:row>
          <xdr:rowOff>95250</xdr:rowOff>
        </xdr:to>
        <xdr:sp macro="" textlink="">
          <xdr:nvSpPr>
            <xdr:cNvPr id="21505" name="Spinner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1A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EM6TEE\QF\test\arjun_learning.xlsx" TargetMode="External"/><Relationship Id="rId1" Type="http://schemas.openxmlformats.org/officeDocument/2006/relationships/externalLinkPath" Target="arjun_learn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FV"/>
      <sheetName val="PV "/>
      <sheetName val="ANNUITIES"/>
      <sheetName val="Practice Case1_TVM"/>
      <sheetName val="Practice Case2_TVM"/>
      <sheetName val="Practice Case3_TVM"/>
      <sheetName val="AM GM"/>
      <sheetName val="Risk"/>
      <sheetName val="M1 Prep"/>
      <sheetName val="M1"/>
      <sheetName val="Utility"/>
      <sheetName val="Risk Minimisation"/>
      <sheetName val="Portfolio Optimisation"/>
      <sheetName val="3-stk Portfolio"/>
      <sheetName val="Multi Asset Portfolio"/>
      <sheetName val="Multi Asset Practice"/>
      <sheetName val="data"/>
      <sheetName val="M2"/>
      <sheetName val="Multi Asset Case"/>
      <sheetName val="Multi Arjun"/>
      <sheetName val="Black Scholes Model"/>
      <sheetName val="BSM_Practice"/>
      <sheetName val="VaR"/>
      <sheetName val="VaR_Practice"/>
      <sheetName val="Credit Risk"/>
      <sheetName val="Solvency"/>
      <sheetName val="Equity"/>
      <sheetName val="Bon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4">
          <cell r="I24">
            <v>127</v>
          </cell>
          <cell r="J24">
            <v>115</v>
          </cell>
        </row>
        <row r="25">
          <cell r="I25">
            <v>154</v>
          </cell>
          <cell r="J25">
            <v>118</v>
          </cell>
        </row>
        <row r="26">
          <cell r="I26">
            <v>211</v>
          </cell>
          <cell r="J26">
            <v>114</v>
          </cell>
        </row>
        <row r="27">
          <cell r="I27">
            <v>268</v>
          </cell>
          <cell r="J27">
            <v>116</v>
          </cell>
        </row>
        <row r="28">
          <cell r="I28">
            <v>92</v>
          </cell>
          <cell r="J28">
            <v>122</v>
          </cell>
        </row>
        <row r="29">
          <cell r="I29">
            <v>144</v>
          </cell>
          <cell r="J29">
            <v>125</v>
          </cell>
        </row>
        <row r="30">
          <cell r="I30">
            <v>199</v>
          </cell>
          <cell r="J30">
            <v>119</v>
          </cell>
        </row>
        <row r="92">
          <cell r="D92">
            <v>0.08</v>
          </cell>
          <cell r="E92">
            <v>0.06</v>
          </cell>
        </row>
        <row r="93">
          <cell r="D93">
            <v>0.03</v>
          </cell>
          <cell r="E93">
            <v>0.11</v>
          </cell>
        </row>
        <row r="94">
          <cell r="D94">
            <v>0.13</v>
          </cell>
          <cell r="E94">
            <v>0.04</v>
          </cell>
        </row>
      </sheetData>
      <sheetData sheetId="9" refreshError="1"/>
      <sheetData sheetId="10" refreshError="1"/>
      <sheetData sheetId="11">
        <row r="19">
          <cell r="K19">
            <v>0</v>
          </cell>
          <cell r="L19">
            <v>0.05</v>
          </cell>
        </row>
        <row r="20">
          <cell r="K20">
            <v>0.05</v>
          </cell>
          <cell r="L20">
            <v>5.2500000000000005E-2</v>
          </cell>
        </row>
        <row r="21">
          <cell r="K21">
            <v>0.1</v>
          </cell>
          <cell r="L21">
            <v>6.0000000000000005E-2</v>
          </cell>
        </row>
        <row r="22">
          <cell r="K22">
            <v>0.15</v>
          </cell>
          <cell r="L22">
            <v>7.2500000000000009E-2</v>
          </cell>
        </row>
        <row r="23">
          <cell r="K23">
            <v>0.2</v>
          </cell>
          <cell r="L23">
            <v>9.0000000000000011E-2</v>
          </cell>
        </row>
        <row r="24">
          <cell r="K24">
            <v>0.25</v>
          </cell>
          <cell r="L24">
            <v>0.1125</v>
          </cell>
        </row>
        <row r="30">
          <cell r="K30">
            <v>0</v>
          </cell>
          <cell r="L30">
            <v>0.06</v>
          </cell>
        </row>
        <row r="31">
          <cell r="K31">
            <v>0.05</v>
          </cell>
          <cell r="L31">
            <v>6.3750000000000001E-2</v>
          </cell>
        </row>
        <row r="32">
          <cell r="K32">
            <v>0.1</v>
          </cell>
          <cell r="L32">
            <v>7.4999999999999997E-2</v>
          </cell>
        </row>
        <row r="33">
          <cell r="K33">
            <v>0.15</v>
          </cell>
          <cell r="L33">
            <v>9.375E-2</v>
          </cell>
        </row>
        <row r="34">
          <cell r="K34">
            <v>0.2</v>
          </cell>
          <cell r="L34">
            <v>0.12000000000000001</v>
          </cell>
        </row>
        <row r="35">
          <cell r="K35">
            <v>0.25</v>
          </cell>
          <cell r="L35">
            <v>0.15375</v>
          </cell>
        </row>
        <row r="41">
          <cell r="K41">
            <v>0</v>
          </cell>
          <cell r="L41">
            <v>7.0000000000000007E-2</v>
          </cell>
        </row>
        <row r="42">
          <cell r="K42">
            <v>0.05</v>
          </cell>
          <cell r="L42">
            <v>7.5000000000000011E-2</v>
          </cell>
        </row>
        <row r="43">
          <cell r="K43">
            <v>0.1</v>
          </cell>
          <cell r="L43">
            <v>9.0000000000000011E-2</v>
          </cell>
        </row>
        <row r="44">
          <cell r="K44">
            <v>0.15</v>
          </cell>
          <cell r="L44">
            <v>0.115</v>
          </cell>
        </row>
        <row r="45">
          <cell r="K45">
            <v>0.2</v>
          </cell>
          <cell r="L45">
            <v>0.15000000000000002</v>
          </cell>
        </row>
        <row r="46">
          <cell r="K46">
            <v>0.25</v>
          </cell>
          <cell r="L46">
            <v>0.19500000000000001</v>
          </cell>
        </row>
        <row r="58">
          <cell r="K58">
            <v>0</v>
          </cell>
          <cell r="L58">
            <v>0.05</v>
          </cell>
        </row>
        <row r="59">
          <cell r="K59">
            <v>0.05</v>
          </cell>
          <cell r="L59">
            <v>5.2500000000000005E-2</v>
          </cell>
        </row>
        <row r="60">
          <cell r="K60">
            <v>0.1</v>
          </cell>
          <cell r="L60">
            <v>6.0000000000000005E-2</v>
          </cell>
        </row>
        <row r="61">
          <cell r="K61">
            <v>0.15</v>
          </cell>
          <cell r="L61">
            <v>7.2500000000000009E-2</v>
          </cell>
        </row>
        <row r="62">
          <cell r="K62">
            <v>0.2</v>
          </cell>
          <cell r="L62">
            <v>9.0000000000000011E-2</v>
          </cell>
        </row>
        <row r="63">
          <cell r="K63">
            <v>0.25</v>
          </cell>
          <cell r="L63">
            <v>0.1125</v>
          </cell>
        </row>
        <row r="69">
          <cell r="K69">
            <v>0</v>
          </cell>
          <cell r="L69">
            <v>0.06</v>
          </cell>
        </row>
        <row r="70">
          <cell r="K70">
            <v>0.05</v>
          </cell>
          <cell r="L70">
            <v>6.25E-2</v>
          </cell>
        </row>
        <row r="71">
          <cell r="K71">
            <v>0.1</v>
          </cell>
          <cell r="L71">
            <v>7.0000000000000007E-2</v>
          </cell>
        </row>
        <row r="72">
          <cell r="K72">
            <v>0.15</v>
          </cell>
          <cell r="L72">
            <v>8.249999999999999E-2</v>
          </cell>
        </row>
        <row r="73">
          <cell r="K73">
            <v>0.2</v>
          </cell>
          <cell r="L73">
            <v>0.1</v>
          </cell>
        </row>
        <row r="74">
          <cell r="K74">
            <v>0.25</v>
          </cell>
          <cell r="L74">
            <v>0.1225</v>
          </cell>
        </row>
        <row r="80">
          <cell r="K80">
            <v>0</v>
          </cell>
          <cell r="L80">
            <v>7.0000000000000007E-2</v>
          </cell>
        </row>
        <row r="81">
          <cell r="K81">
            <v>0.05</v>
          </cell>
          <cell r="L81">
            <v>7.2500000000000009E-2</v>
          </cell>
        </row>
        <row r="82">
          <cell r="K82">
            <v>0.1</v>
          </cell>
          <cell r="L82">
            <v>8.0000000000000016E-2</v>
          </cell>
        </row>
        <row r="83">
          <cell r="K83">
            <v>0.15</v>
          </cell>
          <cell r="L83">
            <v>9.2499999999999999E-2</v>
          </cell>
        </row>
        <row r="84">
          <cell r="K84">
            <v>0.2</v>
          </cell>
          <cell r="L84">
            <v>0.11000000000000001</v>
          </cell>
        </row>
        <row r="85">
          <cell r="K85">
            <v>0.25</v>
          </cell>
          <cell r="L85">
            <v>0.13250000000000001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7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8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4"/>
  <sheetViews>
    <sheetView topLeftCell="A31" zoomScale="130" zoomScaleNormal="130" workbookViewId="0">
      <selection activeCell="H56" sqref="H56"/>
    </sheetView>
  </sheetViews>
  <sheetFormatPr defaultRowHeight="15" x14ac:dyDescent="0.25"/>
  <cols>
    <col min="2" max="2" width="9.140625" style="4"/>
    <col min="3" max="3" width="9.85546875" customWidth="1"/>
    <col min="4" max="4" width="13.85546875" bestFit="1" customWidth="1"/>
    <col min="7" max="7" width="9.5703125" bestFit="1" customWidth="1"/>
    <col min="8" max="8" width="13.85546875" bestFit="1" customWidth="1"/>
  </cols>
  <sheetData>
    <row r="2" spans="2:12" x14ac:dyDescent="0.25">
      <c r="B2" s="11" t="s">
        <v>22</v>
      </c>
      <c r="E2" t="s">
        <v>23</v>
      </c>
      <c r="I2" s="12" t="s">
        <v>31</v>
      </c>
      <c r="J2" s="12"/>
      <c r="K2" s="12"/>
      <c r="L2" s="12"/>
    </row>
    <row r="3" spans="2:12" x14ac:dyDescent="0.25">
      <c r="B3" s="11" t="s">
        <v>7</v>
      </c>
      <c r="E3" t="s">
        <v>24</v>
      </c>
      <c r="I3" t="s">
        <v>32</v>
      </c>
    </row>
    <row r="4" spans="2:12" x14ac:dyDescent="0.25">
      <c r="B4" s="11" t="s">
        <v>8</v>
      </c>
      <c r="D4" s="1"/>
      <c r="E4" t="s">
        <v>8</v>
      </c>
    </row>
    <row r="5" spans="2:12" x14ac:dyDescent="0.25">
      <c r="B5" s="11" t="s">
        <v>9</v>
      </c>
      <c r="E5" t="s">
        <v>9</v>
      </c>
    </row>
    <row r="6" spans="2:12" x14ac:dyDescent="0.25">
      <c r="B6" s="11" t="s">
        <v>10</v>
      </c>
      <c r="D6" s="2"/>
      <c r="E6" t="s">
        <v>10</v>
      </c>
    </row>
    <row r="7" spans="2:12" x14ac:dyDescent="0.25">
      <c r="B7" s="11" t="s">
        <v>11</v>
      </c>
      <c r="E7" t="s">
        <v>11</v>
      </c>
    </row>
    <row r="8" spans="2:12" x14ac:dyDescent="0.25">
      <c r="B8" s="11"/>
    </row>
    <row r="9" spans="2:12" x14ac:dyDescent="0.25">
      <c r="B9" s="4" t="s">
        <v>36</v>
      </c>
    </row>
    <row r="10" spans="2:12" x14ac:dyDescent="0.25">
      <c r="B10" s="4" t="s">
        <v>12</v>
      </c>
      <c r="C10" t="s">
        <v>13</v>
      </c>
    </row>
    <row r="11" spans="2:12" x14ac:dyDescent="0.25">
      <c r="C11" t="s">
        <v>14</v>
      </c>
    </row>
    <row r="13" spans="2:12" x14ac:dyDescent="0.25">
      <c r="B13" s="4" t="s">
        <v>15</v>
      </c>
      <c r="C13" t="s">
        <v>16</v>
      </c>
    </row>
    <row r="15" spans="2:12" x14ac:dyDescent="0.25">
      <c r="C15" t="s">
        <v>17</v>
      </c>
      <c r="D15" s="8">
        <v>100000</v>
      </c>
      <c r="H15" s="21" t="s">
        <v>49</v>
      </c>
    </row>
    <row r="16" spans="2:12" x14ac:dyDescent="0.25">
      <c r="C16" t="s">
        <v>18</v>
      </c>
      <c r="D16" s="5">
        <v>0.11</v>
      </c>
      <c r="H16" s="21" t="s">
        <v>50</v>
      </c>
    </row>
    <row r="17" spans="2:8" x14ac:dyDescent="0.25">
      <c r="C17" t="s">
        <v>19</v>
      </c>
      <c r="D17">
        <v>5</v>
      </c>
      <c r="H17" s="21" t="s">
        <v>51</v>
      </c>
    </row>
    <row r="18" spans="2:8" x14ac:dyDescent="0.25">
      <c r="C18" t="s">
        <v>20</v>
      </c>
      <c r="D18" s="7">
        <f>D15*(1+D16)^D17</f>
        <v>168505.81551000004</v>
      </c>
      <c r="H18" s="21" t="s">
        <v>52</v>
      </c>
    </row>
    <row r="19" spans="2:8" x14ac:dyDescent="0.25">
      <c r="H19" s="21" t="s">
        <v>53</v>
      </c>
    </row>
    <row r="21" spans="2:8" x14ac:dyDescent="0.25">
      <c r="C21" t="s">
        <v>21</v>
      </c>
      <c r="D21" t="s">
        <v>20</v>
      </c>
    </row>
    <row r="22" spans="2:8" x14ac:dyDescent="0.25">
      <c r="D22" s="9">
        <f>FV(D16,D17,0,-D15,0)</f>
        <v>168505.81551000004</v>
      </c>
    </row>
    <row r="24" spans="2:8" x14ac:dyDescent="0.25">
      <c r="B24" s="4" t="s">
        <v>35</v>
      </c>
    </row>
    <row r="25" spans="2:8" x14ac:dyDescent="0.25">
      <c r="B25" s="4" t="s">
        <v>12</v>
      </c>
      <c r="C25" t="s">
        <v>25</v>
      </c>
    </row>
    <row r="26" spans="2:8" x14ac:dyDescent="0.25">
      <c r="C26" t="s">
        <v>14</v>
      </c>
    </row>
    <row r="28" spans="2:8" x14ac:dyDescent="0.25">
      <c r="B28" s="4" t="s">
        <v>15</v>
      </c>
      <c r="C28" t="s">
        <v>17</v>
      </c>
      <c r="D28" s="8">
        <v>100000</v>
      </c>
    </row>
    <row r="29" spans="2:8" x14ac:dyDescent="0.25">
      <c r="C29" t="s">
        <v>18</v>
      </c>
      <c r="D29" s="5">
        <v>0.11</v>
      </c>
    </row>
    <row r="30" spans="2:8" x14ac:dyDescent="0.25">
      <c r="C30" t="s">
        <v>19</v>
      </c>
      <c r="D30">
        <v>5</v>
      </c>
    </row>
    <row r="31" spans="2:8" x14ac:dyDescent="0.25">
      <c r="C31" t="s">
        <v>26</v>
      </c>
      <c r="D31" s="7">
        <f xml:space="preserve"> D28*EXP(D29*D30)</f>
        <v>173325.30178673952</v>
      </c>
    </row>
    <row r="34" spans="2:8" x14ac:dyDescent="0.25">
      <c r="B34" s="4" t="s">
        <v>34</v>
      </c>
    </row>
    <row r="35" spans="2:8" x14ac:dyDescent="0.25">
      <c r="B35" s="4" t="s">
        <v>12</v>
      </c>
      <c r="C35" t="s">
        <v>27</v>
      </c>
    </row>
    <row r="36" spans="2:8" x14ac:dyDescent="0.25">
      <c r="B36"/>
      <c r="C36" t="s">
        <v>28</v>
      </c>
    </row>
    <row r="37" spans="2:8" x14ac:dyDescent="0.25">
      <c r="B37"/>
    </row>
    <row r="38" spans="2:8" x14ac:dyDescent="0.25">
      <c r="C38" t="s">
        <v>29</v>
      </c>
      <c r="D38">
        <v>4</v>
      </c>
      <c r="G38" t="s">
        <v>33</v>
      </c>
      <c r="H38" s="15">
        <f>((1+D40/D38)^D38) -1</f>
        <v>0.12550880999999992</v>
      </c>
    </row>
    <row r="39" spans="2:8" x14ac:dyDescent="0.25">
      <c r="C39" t="s">
        <v>17</v>
      </c>
      <c r="D39" s="8">
        <v>100</v>
      </c>
    </row>
    <row r="40" spans="2:8" x14ac:dyDescent="0.25">
      <c r="C40" t="s">
        <v>18</v>
      </c>
      <c r="D40" s="5">
        <v>0.12</v>
      </c>
      <c r="E40">
        <f>D40/D38</f>
        <v>0.03</v>
      </c>
    </row>
    <row r="41" spans="2:8" x14ac:dyDescent="0.25">
      <c r="C41" t="s">
        <v>19</v>
      </c>
      <c r="D41">
        <v>1</v>
      </c>
      <c r="E41">
        <f>D41*D38</f>
        <v>4</v>
      </c>
    </row>
    <row r="42" spans="2:8" x14ac:dyDescent="0.25">
      <c r="C42" t="s">
        <v>26</v>
      </c>
      <c r="D42" s="7">
        <f>D39*(1+E40)^E41</f>
        <v>112.55088099999999</v>
      </c>
    </row>
    <row r="45" spans="2:8" x14ac:dyDescent="0.25">
      <c r="B45" s="4" t="s">
        <v>37</v>
      </c>
    </row>
    <row r="46" spans="2:8" x14ac:dyDescent="0.25">
      <c r="B46" s="4" t="s">
        <v>12</v>
      </c>
      <c r="C46" t="s">
        <v>38</v>
      </c>
    </row>
    <row r="47" spans="2:8" x14ac:dyDescent="0.25">
      <c r="B47"/>
    </row>
    <row r="48" spans="2:8" x14ac:dyDescent="0.25">
      <c r="B48"/>
      <c r="C48" t="s">
        <v>39</v>
      </c>
    </row>
    <row r="49" spans="2:10" x14ac:dyDescent="0.25">
      <c r="B49"/>
    </row>
    <row r="50" spans="2:10" x14ac:dyDescent="0.25">
      <c r="B50"/>
      <c r="C50" t="s">
        <v>29</v>
      </c>
      <c r="D50">
        <v>12</v>
      </c>
    </row>
    <row r="51" spans="2:10" x14ac:dyDescent="0.25">
      <c r="B51"/>
      <c r="C51" t="s">
        <v>47</v>
      </c>
      <c r="D51" s="8">
        <v>500000</v>
      </c>
    </row>
    <row r="52" spans="2:10" x14ac:dyDescent="0.25">
      <c r="B52"/>
      <c r="C52" t="s">
        <v>18</v>
      </c>
      <c r="D52" s="5">
        <v>0.1</v>
      </c>
      <c r="E52">
        <f>D52/D50</f>
        <v>8.3333333333333332E-3</v>
      </c>
    </row>
    <row r="53" spans="2:10" x14ac:dyDescent="0.25">
      <c r="B53"/>
      <c r="C53" t="s">
        <v>19</v>
      </c>
      <c r="D53">
        <v>7</v>
      </c>
      <c r="E53">
        <f>D53*D50</f>
        <v>84</v>
      </c>
    </row>
    <row r="54" spans="2:10" x14ac:dyDescent="0.25">
      <c r="B54"/>
      <c r="C54" t="s">
        <v>48</v>
      </c>
      <c r="D54" s="7">
        <f>(1+E52)^E53</f>
        <v>2.0079201526742336</v>
      </c>
    </row>
    <row r="55" spans="2:10" x14ac:dyDescent="0.25">
      <c r="B55"/>
      <c r="C55" s="1" t="s">
        <v>17</v>
      </c>
      <c r="D55">
        <f>D51/D54</f>
        <v>249013.88600242828</v>
      </c>
    </row>
    <row r="56" spans="2:10" x14ac:dyDescent="0.25">
      <c r="B56"/>
    </row>
    <row r="57" spans="2:10" ht="15.75" thickBot="1" x14ac:dyDescent="0.3">
      <c r="B57"/>
    </row>
    <row r="58" spans="2:10" ht="15.75" thickBot="1" x14ac:dyDescent="0.3">
      <c r="B58"/>
      <c r="E58" s="360" t="s">
        <v>41</v>
      </c>
      <c r="F58" s="361"/>
      <c r="G58" s="362"/>
    </row>
    <row r="59" spans="2:10" x14ac:dyDescent="0.25">
      <c r="B59"/>
    </row>
    <row r="60" spans="2:10" x14ac:dyDescent="0.25">
      <c r="B60"/>
      <c r="I60" s="19" t="s">
        <v>42</v>
      </c>
      <c r="J60" s="19" t="s">
        <v>43</v>
      </c>
    </row>
    <row r="61" spans="2:10" x14ac:dyDescent="0.25">
      <c r="B61"/>
      <c r="E61" t="s">
        <v>0</v>
      </c>
      <c r="G61" s="1">
        <v>249013.88600242828</v>
      </c>
      <c r="I61" s="19"/>
      <c r="J61" s="19"/>
    </row>
    <row r="62" spans="2:10" x14ac:dyDescent="0.25">
      <c r="B62"/>
      <c r="I62" s="19" t="s">
        <v>44</v>
      </c>
      <c r="J62" s="20">
        <v>500000</v>
      </c>
    </row>
    <row r="63" spans="2:10" x14ac:dyDescent="0.25">
      <c r="B63"/>
      <c r="E63" t="s">
        <v>1</v>
      </c>
      <c r="G63" s="2">
        <f>G61*(1+E52)^E53</f>
        <v>500000</v>
      </c>
      <c r="I63" s="19"/>
      <c r="J63" s="19"/>
    </row>
    <row r="64" spans="2:10" x14ac:dyDescent="0.25">
      <c r="B64"/>
      <c r="I64" s="19" t="s">
        <v>45</v>
      </c>
      <c r="J64" s="19" t="s">
        <v>46</v>
      </c>
    </row>
  </sheetData>
  <mergeCells count="1">
    <mergeCell ref="E58:G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1281-3507-4652-912A-A4EB25863EA4}">
  <dimension ref="B3:K119"/>
  <sheetViews>
    <sheetView workbookViewId="0">
      <selection activeCell="K33" sqref="K33"/>
    </sheetView>
  </sheetViews>
  <sheetFormatPr defaultRowHeight="15" x14ac:dyDescent="0.25"/>
  <cols>
    <col min="2" max="2" width="2.28515625" style="31" bestFit="1" customWidth="1"/>
    <col min="5" max="6" width="10.28515625" bestFit="1" customWidth="1"/>
    <col min="7" max="7" width="10.7109375" bestFit="1" customWidth="1"/>
    <col min="8" max="8" width="10.42578125" bestFit="1" customWidth="1"/>
    <col min="9" max="9" width="10.28515625" bestFit="1" customWidth="1"/>
  </cols>
  <sheetData>
    <row r="3" spans="2:8" x14ac:dyDescent="0.25">
      <c r="B3" s="31" t="s">
        <v>12</v>
      </c>
      <c r="C3" t="s">
        <v>465</v>
      </c>
    </row>
    <row r="4" spans="2:8" x14ac:dyDescent="0.25">
      <c r="C4" t="s">
        <v>466</v>
      </c>
    </row>
    <row r="6" spans="2:8" x14ac:dyDescent="0.25">
      <c r="C6" t="s">
        <v>467</v>
      </c>
    </row>
    <row r="9" spans="2:8" x14ac:dyDescent="0.25">
      <c r="C9" s="30" t="s">
        <v>468</v>
      </c>
    </row>
    <row r="11" spans="2:8" x14ac:dyDescent="0.25">
      <c r="F11" s="1">
        <v>1000</v>
      </c>
      <c r="G11" s="5">
        <v>0.1</v>
      </c>
    </row>
    <row r="12" spans="2:8" s="4" customFormat="1" x14ac:dyDescent="0.25">
      <c r="D12" s="4" t="s">
        <v>469</v>
      </c>
      <c r="E12" s="4" t="s">
        <v>470</v>
      </c>
      <c r="F12" s="4" t="s">
        <v>471</v>
      </c>
      <c r="G12" s="4" t="s">
        <v>472</v>
      </c>
      <c r="H12" s="4" t="s">
        <v>473</v>
      </c>
    </row>
    <row r="13" spans="2:8" s="10" customFormat="1" x14ac:dyDescent="0.25">
      <c r="B13" s="4"/>
      <c r="D13" s="10">
        <v>1</v>
      </c>
      <c r="E13" s="23">
        <v>0</v>
      </c>
      <c r="F13" s="23">
        <f>F11</f>
        <v>1000</v>
      </c>
      <c r="G13" s="23">
        <v>0</v>
      </c>
      <c r="H13" s="23">
        <f>E13+F13+G13</f>
        <v>1000</v>
      </c>
    </row>
    <row r="14" spans="2:8" s="10" customFormat="1" x14ac:dyDescent="0.25">
      <c r="B14" s="4"/>
      <c r="D14" s="10">
        <v>2</v>
      </c>
      <c r="E14" s="23">
        <f>H13</f>
        <v>1000</v>
      </c>
      <c r="F14" s="23">
        <f>$F$11</f>
        <v>1000</v>
      </c>
      <c r="G14" s="23">
        <f>E14*$G$11</f>
        <v>100</v>
      </c>
      <c r="H14" s="23">
        <f>E14+F14+G14</f>
        <v>2100</v>
      </c>
    </row>
    <row r="15" spans="2:8" s="10" customFormat="1" x14ac:dyDescent="0.25">
      <c r="B15" s="4"/>
      <c r="D15" s="10">
        <v>3</v>
      </c>
      <c r="E15" s="23">
        <f>H14</f>
        <v>2100</v>
      </c>
      <c r="F15" s="23">
        <f t="shared" ref="F15:F17" si="0">$F$11</f>
        <v>1000</v>
      </c>
      <c r="G15" s="23">
        <f t="shared" ref="G15:G17" si="1">E15*$G$11</f>
        <v>210</v>
      </c>
      <c r="H15" s="23">
        <f t="shared" ref="H15:H16" si="2">E15+F15+G15</f>
        <v>3310</v>
      </c>
    </row>
    <row r="16" spans="2:8" s="10" customFormat="1" x14ac:dyDescent="0.25">
      <c r="B16" s="4"/>
      <c r="D16" s="10">
        <v>4</v>
      </c>
      <c r="E16" s="23">
        <f t="shared" ref="E16:E17" si="3">H15</f>
        <v>3310</v>
      </c>
      <c r="F16" s="23">
        <f t="shared" si="0"/>
        <v>1000</v>
      </c>
      <c r="G16" s="23">
        <f t="shared" si="1"/>
        <v>331</v>
      </c>
      <c r="H16" s="23">
        <f t="shared" si="2"/>
        <v>4641</v>
      </c>
    </row>
    <row r="17" spans="2:11" s="10" customFormat="1" x14ac:dyDescent="0.25">
      <c r="B17" s="4"/>
      <c r="D17" s="10">
        <v>5</v>
      </c>
      <c r="E17" s="23">
        <f t="shared" si="3"/>
        <v>4641</v>
      </c>
      <c r="F17" s="23">
        <f t="shared" si="0"/>
        <v>1000</v>
      </c>
      <c r="G17" s="23">
        <f t="shared" si="1"/>
        <v>464.1</v>
      </c>
      <c r="H17" s="263">
        <f>E17+F17+G17</f>
        <v>6105.1</v>
      </c>
    </row>
    <row r="18" spans="2:11" s="10" customFormat="1" x14ac:dyDescent="0.25">
      <c r="B18" s="4"/>
    </row>
    <row r="20" spans="2:11" x14ac:dyDescent="0.25">
      <c r="C20" s="30" t="s">
        <v>474</v>
      </c>
    </row>
    <row r="22" spans="2:11" x14ac:dyDescent="0.25">
      <c r="E22" t="s">
        <v>475</v>
      </c>
      <c r="F22" t="s">
        <v>30</v>
      </c>
      <c r="G22" t="s">
        <v>15</v>
      </c>
      <c r="H22" t="s">
        <v>40</v>
      </c>
      <c r="I22" s="116" t="s">
        <v>476</v>
      </c>
    </row>
    <row r="23" spans="2:11" x14ac:dyDescent="0.25">
      <c r="I23" t="s">
        <v>18</v>
      </c>
    </row>
    <row r="25" spans="2:11" x14ac:dyDescent="0.25">
      <c r="E25" t="s">
        <v>475</v>
      </c>
      <c r="F25" t="s">
        <v>30</v>
      </c>
      <c r="G25">
        <f>1000</f>
        <v>1000</v>
      </c>
      <c r="H25" t="s">
        <v>40</v>
      </c>
      <c r="I25" s="116">
        <f>(1+10%)^5-1</f>
        <v>0.61051000000000055</v>
      </c>
    </row>
    <row r="26" spans="2:11" x14ac:dyDescent="0.25">
      <c r="I26" s="5">
        <v>0.1</v>
      </c>
    </row>
    <row r="27" spans="2:11" x14ac:dyDescent="0.25">
      <c r="K27" s="264"/>
    </row>
    <row r="28" spans="2:11" x14ac:dyDescent="0.25">
      <c r="F28" t="s">
        <v>30</v>
      </c>
      <c r="G28" s="195">
        <f>G25*I25/I26</f>
        <v>6105.1000000000049</v>
      </c>
    </row>
    <row r="31" spans="2:11" x14ac:dyDescent="0.25">
      <c r="C31" s="30" t="s">
        <v>477</v>
      </c>
    </row>
    <row r="33" spans="2:8" x14ac:dyDescent="0.25">
      <c r="E33" t="s">
        <v>475</v>
      </c>
      <c r="F33" t="s">
        <v>30</v>
      </c>
      <c r="G33" s="265">
        <f>FV(10%,5,-1000,0,0)</f>
        <v>6105.1000000000058</v>
      </c>
    </row>
    <row r="37" spans="2:8" x14ac:dyDescent="0.25">
      <c r="B37" s="31" t="s">
        <v>12</v>
      </c>
      <c r="C37" t="s">
        <v>465</v>
      </c>
    </row>
    <row r="38" spans="2:8" x14ac:dyDescent="0.25">
      <c r="C38" t="s">
        <v>466</v>
      </c>
    </row>
    <row r="40" spans="2:8" x14ac:dyDescent="0.25">
      <c r="C40" t="s">
        <v>478</v>
      </c>
    </row>
    <row r="43" spans="2:8" x14ac:dyDescent="0.25">
      <c r="C43" s="30" t="s">
        <v>468</v>
      </c>
    </row>
    <row r="45" spans="2:8" x14ac:dyDescent="0.25">
      <c r="F45" s="1">
        <v>1000</v>
      </c>
      <c r="G45" s="5">
        <v>0.1</v>
      </c>
    </row>
    <row r="46" spans="2:8" x14ac:dyDescent="0.25">
      <c r="C46" s="4"/>
      <c r="D46" s="4" t="s">
        <v>469</v>
      </c>
      <c r="E46" s="4" t="s">
        <v>470</v>
      </c>
      <c r="F46" s="4" t="s">
        <v>471</v>
      </c>
      <c r="G46" s="4" t="s">
        <v>472</v>
      </c>
      <c r="H46" s="4" t="s">
        <v>473</v>
      </c>
    </row>
    <row r="47" spans="2:8" x14ac:dyDescent="0.25">
      <c r="C47" s="10"/>
      <c r="D47" s="10">
        <v>1</v>
      </c>
      <c r="E47" s="23">
        <v>0</v>
      </c>
      <c r="F47" s="23">
        <f>F45</f>
        <v>1000</v>
      </c>
      <c r="G47" s="23">
        <f>F47*G45</f>
        <v>100</v>
      </c>
      <c r="H47" s="23">
        <f>E47+F47+G47</f>
        <v>1100</v>
      </c>
    </row>
    <row r="48" spans="2:8" x14ac:dyDescent="0.25">
      <c r="C48" s="10"/>
      <c r="D48" s="10">
        <v>2</v>
      </c>
      <c r="E48" s="23">
        <f>H47</f>
        <v>1100</v>
      </c>
      <c r="F48" s="23">
        <f>$F$45</f>
        <v>1000</v>
      </c>
      <c r="G48" s="23">
        <f>(E48+F48)*$G$45</f>
        <v>210</v>
      </c>
      <c r="H48" s="23">
        <f>E48+F48+G48</f>
        <v>2310</v>
      </c>
    </row>
    <row r="49" spans="3:11" x14ac:dyDescent="0.25">
      <c r="C49" s="10"/>
      <c r="D49" s="10">
        <v>3</v>
      </c>
      <c r="E49" s="23">
        <f t="shared" ref="E49:E51" si="4">H48</f>
        <v>2310</v>
      </c>
      <c r="F49" s="23">
        <f t="shared" ref="F49:F51" si="5">$F$45</f>
        <v>1000</v>
      </c>
      <c r="G49" s="23">
        <f t="shared" ref="G49:G51" si="6">(E49+F49)*$G$45</f>
        <v>331</v>
      </c>
      <c r="H49" s="23">
        <f t="shared" ref="H49:H51" si="7">E49+F49+G49</f>
        <v>3641</v>
      </c>
    </row>
    <row r="50" spans="3:11" x14ac:dyDescent="0.25">
      <c r="C50" s="10"/>
      <c r="D50" s="10">
        <v>4</v>
      </c>
      <c r="E50" s="23">
        <f t="shared" si="4"/>
        <v>3641</v>
      </c>
      <c r="F50" s="23">
        <f t="shared" si="5"/>
        <v>1000</v>
      </c>
      <c r="G50" s="23">
        <f t="shared" si="6"/>
        <v>464.1</v>
      </c>
      <c r="H50" s="23">
        <f t="shared" si="7"/>
        <v>5105.1000000000004</v>
      </c>
    </row>
    <row r="51" spans="3:11" x14ac:dyDescent="0.25">
      <c r="C51" s="10"/>
      <c r="D51" s="10">
        <v>5</v>
      </c>
      <c r="E51" s="23">
        <f t="shared" si="4"/>
        <v>5105.1000000000004</v>
      </c>
      <c r="F51" s="23">
        <f t="shared" si="5"/>
        <v>1000</v>
      </c>
      <c r="G51" s="23">
        <f t="shared" si="6"/>
        <v>610.5100000000001</v>
      </c>
      <c r="H51" s="263">
        <f t="shared" si="7"/>
        <v>6715.6100000000006</v>
      </c>
    </row>
    <row r="54" spans="3:11" x14ac:dyDescent="0.25">
      <c r="C54" s="30" t="s">
        <v>474</v>
      </c>
    </row>
    <row r="56" spans="3:11" x14ac:dyDescent="0.25">
      <c r="E56" t="s">
        <v>475</v>
      </c>
      <c r="F56" t="s">
        <v>30</v>
      </c>
      <c r="G56" t="s">
        <v>15</v>
      </c>
      <c r="H56" t="s">
        <v>40</v>
      </c>
      <c r="I56" s="116" t="s">
        <v>476</v>
      </c>
      <c r="J56" t="s">
        <v>40</v>
      </c>
      <c r="K56" t="s">
        <v>479</v>
      </c>
    </row>
    <row r="57" spans="3:11" x14ac:dyDescent="0.25">
      <c r="I57" t="s">
        <v>18</v>
      </c>
    </row>
    <row r="59" spans="3:11" x14ac:dyDescent="0.25">
      <c r="E59" t="s">
        <v>475</v>
      </c>
      <c r="F59" t="s">
        <v>30</v>
      </c>
      <c r="G59">
        <f>1000</f>
        <v>1000</v>
      </c>
      <c r="H59" t="s">
        <v>40</v>
      </c>
      <c r="I59" s="116">
        <f>(1+10%)^5-1</f>
        <v>0.61051000000000055</v>
      </c>
      <c r="J59" t="s">
        <v>40</v>
      </c>
      <c r="K59" s="28">
        <f>1+10%</f>
        <v>1.1000000000000001</v>
      </c>
    </row>
    <row r="60" spans="3:11" x14ac:dyDescent="0.25">
      <c r="I60" s="5">
        <v>0.1</v>
      </c>
    </row>
    <row r="62" spans="3:11" x14ac:dyDescent="0.25">
      <c r="F62" t="s">
        <v>30</v>
      </c>
      <c r="G62" s="195">
        <f>G59*I59/I60*K59</f>
        <v>6715.610000000006</v>
      </c>
    </row>
    <row r="65" spans="2:9" x14ac:dyDescent="0.25">
      <c r="C65" s="30" t="s">
        <v>477</v>
      </c>
    </row>
    <row r="67" spans="2:9" x14ac:dyDescent="0.25">
      <c r="E67" t="s">
        <v>475</v>
      </c>
      <c r="F67" t="s">
        <v>30</v>
      </c>
      <c r="G67" s="265">
        <f>FV(10%,5,-1000,0,1)</f>
        <v>6715.6100000000069</v>
      </c>
    </row>
    <row r="69" spans="2:9" x14ac:dyDescent="0.25">
      <c r="B69" s="31" t="s">
        <v>12</v>
      </c>
      <c r="C69" t="s">
        <v>480</v>
      </c>
    </row>
    <row r="70" spans="2:9" x14ac:dyDescent="0.25">
      <c r="C70" t="s">
        <v>481</v>
      </c>
    </row>
    <row r="71" spans="2:9" x14ac:dyDescent="0.25">
      <c r="C71" t="s">
        <v>482</v>
      </c>
    </row>
    <row r="74" spans="2:9" x14ac:dyDescent="0.25">
      <c r="C74" s="30" t="s">
        <v>483</v>
      </c>
    </row>
    <row r="76" spans="2:9" x14ac:dyDescent="0.25">
      <c r="G76" s="5">
        <v>7.0000000000000007E-2</v>
      </c>
    </row>
    <row r="77" spans="2:9" s="4" customFormat="1" x14ac:dyDescent="0.25">
      <c r="D77" s="4" t="s">
        <v>469</v>
      </c>
      <c r="E77" s="4" t="s">
        <v>470</v>
      </c>
      <c r="F77" s="4" t="s">
        <v>471</v>
      </c>
      <c r="G77" s="4" t="s">
        <v>472</v>
      </c>
      <c r="H77" s="4" t="s">
        <v>484</v>
      </c>
      <c r="I77" s="4" t="s">
        <v>473</v>
      </c>
    </row>
    <row r="78" spans="2:9" s="10" customFormat="1" x14ac:dyDescent="0.25">
      <c r="B78" s="4"/>
      <c r="D78" s="10">
        <v>1</v>
      </c>
      <c r="E78" s="23">
        <v>0</v>
      </c>
      <c r="F78" s="263">
        <v>82003.948718951855</v>
      </c>
      <c r="G78" s="23">
        <f>F78*G76</f>
        <v>5740.27641032663</v>
      </c>
      <c r="H78" s="23">
        <v>20000</v>
      </c>
      <c r="I78" s="23">
        <f>E78+F78+G78-H78</f>
        <v>67744.225129278479</v>
      </c>
    </row>
    <row r="79" spans="2:9" s="10" customFormat="1" x14ac:dyDescent="0.25">
      <c r="B79" s="4"/>
      <c r="D79" s="10">
        <v>2</v>
      </c>
      <c r="E79" s="23">
        <f>I78</f>
        <v>67744.225129278479</v>
      </c>
      <c r="F79" s="23">
        <v>0</v>
      </c>
      <c r="G79" s="23">
        <f>E79*$G$76</f>
        <v>4742.0957590494936</v>
      </c>
      <c r="H79" s="23">
        <v>20000</v>
      </c>
      <c r="I79" s="23">
        <f>E79+F79+G79-H79</f>
        <v>52486.320888327973</v>
      </c>
    </row>
    <row r="80" spans="2:9" s="10" customFormat="1" x14ac:dyDescent="0.25">
      <c r="B80" s="4"/>
      <c r="D80" s="10">
        <v>3</v>
      </c>
      <c r="E80" s="23">
        <f t="shared" ref="E80:E82" si="8">I79</f>
        <v>52486.320888327973</v>
      </c>
      <c r="F80" s="23">
        <v>0</v>
      </c>
      <c r="G80" s="23">
        <f t="shared" ref="G80:G82" si="9">E80*$G$76</f>
        <v>3674.0424621829584</v>
      </c>
      <c r="H80" s="23">
        <v>20000</v>
      </c>
      <c r="I80" s="23">
        <f t="shared" ref="I80:I82" si="10">E80+F80+G80-H80</f>
        <v>36160.363350510932</v>
      </c>
    </row>
    <row r="81" spans="2:9" s="10" customFormat="1" x14ac:dyDescent="0.25">
      <c r="B81" s="4"/>
      <c r="D81" s="10">
        <v>4</v>
      </c>
      <c r="E81" s="23">
        <f t="shared" si="8"/>
        <v>36160.363350510932</v>
      </c>
      <c r="F81" s="23">
        <v>0</v>
      </c>
      <c r="G81" s="23">
        <f t="shared" si="9"/>
        <v>2531.2254345357655</v>
      </c>
      <c r="H81" s="23">
        <v>20000</v>
      </c>
      <c r="I81" s="23">
        <f t="shared" si="10"/>
        <v>18691.588785046697</v>
      </c>
    </row>
    <row r="82" spans="2:9" s="10" customFormat="1" x14ac:dyDescent="0.25">
      <c r="B82" s="4"/>
      <c r="D82" s="10">
        <v>5</v>
      </c>
      <c r="E82" s="23">
        <f t="shared" si="8"/>
        <v>18691.588785046697</v>
      </c>
      <c r="F82" s="23">
        <v>0</v>
      </c>
      <c r="G82" s="23">
        <f t="shared" si="9"/>
        <v>1308.4112149532689</v>
      </c>
      <c r="H82" s="23">
        <v>20000</v>
      </c>
      <c r="I82" s="23">
        <f t="shared" si="10"/>
        <v>-3.2741809263825417E-11</v>
      </c>
    </row>
    <row r="83" spans="2:9" s="10" customFormat="1" x14ac:dyDescent="0.25">
      <c r="B83" s="4"/>
    </row>
    <row r="84" spans="2:9" s="10" customFormat="1" x14ac:dyDescent="0.25">
      <c r="B84" s="4"/>
    </row>
    <row r="85" spans="2:9" s="10" customFormat="1" x14ac:dyDescent="0.25">
      <c r="B85" s="4"/>
      <c r="C85" s="266" t="s">
        <v>485</v>
      </c>
    </row>
    <row r="86" spans="2:9" s="10" customFormat="1" x14ac:dyDescent="0.25">
      <c r="B86" s="4"/>
    </row>
    <row r="87" spans="2:9" s="10" customFormat="1" x14ac:dyDescent="0.25">
      <c r="B87" s="4"/>
      <c r="E87" s="10" t="s">
        <v>486</v>
      </c>
      <c r="F87" s="10" t="s">
        <v>30</v>
      </c>
      <c r="G87" s="10" t="s">
        <v>15</v>
      </c>
      <c r="H87" s="10" t="s">
        <v>355</v>
      </c>
      <c r="I87" s="196" t="s">
        <v>487</v>
      </c>
    </row>
    <row r="88" spans="2:9" s="10" customFormat="1" x14ac:dyDescent="0.25">
      <c r="B88" s="4"/>
      <c r="I88" s="10" t="s">
        <v>18</v>
      </c>
    </row>
    <row r="89" spans="2:9" s="10" customFormat="1" x14ac:dyDescent="0.25">
      <c r="B89" s="4"/>
    </row>
    <row r="90" spans="2:9" s="10" customFormat="1" x14ac:dyDescent="0.25">
      <c r="B90" s="4"/>
      <c r="E90" s="10" t="s">
        <v>486</v>
      </c>
      <c r="F90" s="10" t="s">
        <v>30</v>
      </c>
      <c r="G90" s="263">
        <f>20000*(1-(1/(1+7%)^5))/7%</f>
        <v>82003.948718951884</v>
      </c>
    </row>
    <row r="91" spans="2:9" s="10" customFormat="1" x14ac:dyDescent="0.25">
      <c r="B91" s="4"/>
    </row>
    <row r="92" spans="2:9" s="10" customFormat="1" x14ac:dyDescent="0.25">
      <c r="B92" s="4"/>
    </row>
    <row r="93" spans="2:9" s="10" customFormat="1" x14ac:dyDescent="0.25">
      <c r="B93" s="4"/>
      <c r="C93" s="266" t="s">
        <v>488</v>
      </c>
    </row>
    <row r="94" spans="2:9" s="10" customFormat="1" x14ac:dyDescent="0.25">
      <c r="B94" s="4"/>
    </row>
    <row r="95" spans="2:9" s="10" customFormat="1" x14ac:dyDescent="0.25">
      <c r="B95" s="4"/>
    </row>
    <row r="96" spans="2:9" s="10" customFormat="1" x14ac:dyDescent="0.25">
      <c r="B96" s="4"/>
      <c r="E96" s="10" t="s">
        <v>486</v>
      </c>
      <c r="F96" s="10" t="s">
        <v>30</v>
      </c>
      <c r="G96" s="267">
        <f>PV(7%,5,-20000,0,0)</f>
        <v>82003.948718951899</v>
      </c>
    </row>
    <row r="97" spans="2:2" s="10" customFormat="1" x14ac:dyDescent="0.25">
      <c r="B97" s="4"/>
    </row>
    <row r="98" spans="2:2" s="10" customFormat="1" x14ac:dyDescent="0.25">
      <c r="B98" s="4"/>
    </row>
    <row r="99" spans="2:2" s="10" customFormat="1" x14ac:dyDescent="0.25">
      <c r="B99" s="4"/>
    </row>
    <row r="100" spans="2:2" s="10" customFormat="1" x14ac:dyDescent="0.25">
      <c r="B100" s="4"/>
    </row>
    <row r="101" spans="2:2" s="10" customFormat="1" x14ac:dyDescent="0.25">
      <c r="B101" s="4"/>
    </row>
    <row r="102" spans="2:2" s="10" customFormat="1" x14ac:dyDescent="0.25">
      <c r="B102" s="4"/>
    </row>
    <row r="103" spans="2:2" s="10" customFormat="1" x14ac:dyDescent="0.25">
      <c r="B103" s="4"/>
    </row>
    <row r="104" spans="2:2" s="10" customFormat="1" x14ac:dyDescent="0.25">
      <c r="B104" s="4"/>
    </row>
    <row r="105" spans="2:2" s="10" customFormat="1" x14ac:dyDescent="0.25">
      <c r="B105" s="4"/>
    </row>
    <row r="106" spans="2:2" s="10" customFormat="1" x14ac:dyDescent="0.25">
      <c r="B106" s="4"/>
    </row>
    <row r="107" spans="2:2" s="10" customFormat="1" x14ac:dyDescent="0.25">
      <c r="B107" s="4"/>
    </row>
    <row r="108" spans="2:2" s="10" customFormat="1" x14ac:dyDescent="0.25">
      <c r="B108" s="4"/>
    </row>
    <row r="109" spans="2:2" s="10" customFormat="1" x14ac:dyDescent="0.25">
      <c r="B109" s="4"/>
    </row>
    <row r="110" spans="2:2" s="10" customFormat="1" x14ac:dyDescent="0.25">
      <c r="B110" s="4"/>
    </row>
    <row r="111" spans="2:2" s="10" customFormat="1" x14ac:dyDescent="0.25">
      <c r="B111" s="4"/>
    </row>
    <row r="112" spans="2:2" s="10" customFormat="1" x14ac:dyDescent="0.25">
      <c r="B112" s="4"/>
    </row>
    <row r="113" spans="2:2" s="10" customFormat="1" x14ac:dyDescent="0.25">
      <c r="B113" s="4"/>
    </row>
    <row r="114" spans="2:2" s="10" customFormat="1" x14ac:dyDescent="0.25">
      <c r="B114" s="4"/>
    </row>
    <row r="115" spans="2:2" s="10" customFormat="1" x14ac:dyDescent="0.25">
      <c r="B115" s="4"/>
    </row>
    <row r="116" spans="2:2" s="10" customFormat="1" x14ac:dyDescent="0.25">
      <c r="B116" s="4"/>
    </row>
    <row r="117" spans="2:2" s="10" customFormat="1" x14ac:dyDescent="0.25">
      <c r="B117" s="4"/>
    </row>
    <row r="118" spans="2:2" s="10" customFormat="1" x14ac:dyDescent="0.25">
      <c r="B118" s="4"/>
    </row>
    <row r="119" spans="2:2" s="10" customFormat="1" x14ac:dyDescent="0.25">
      <c r="B1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D5D1-20C7-4FEA-844A-D8BD7D9130EB}">
  <dimension ref="B2:P41"/>
  <sheetViews>
    <sheetView workbookViewId="0">
      <selection activeCell="K22" sqref="K22"/>
    </sheetView>
  </sheetViews>
  <sheetFormatPr defaultRowHeight="15" x14ac:dyDescent="0.25"/>
  <cols>
    <col min="5" max="5" width="10.28515625" bestFit="1" customWidth="1"/>
    <col min="6" max="7" width="9.28515625" bestFit="1" customWidth="1"/>
    <col min="8" max="8" width="12.42578125" bestFit="1" customWidth="1"/>
    <col min="9" max="9" width="10.28515625" bestFit="1" customWidth="1"/>
    <col min="12" max="12" width="10.28515625" bestFit="1" customWidth="1"/>
  </cols>
  <sheetData>
    <row r="2" spans="2:16" ht="15.75" thickBot="1" x14ac:dyDescent="0.3"/>
    <row r="3" spans="2:16" x14ac:dyDescent="0.25">
      <c r="C3" s="60"/>
      <c r="D3" s="36"/>
      <c r="E3" s="36"/>
      <c r="F3" s="268"/>
      <c r="G3" s="36"/>
      <c r="H3" s="36"/>
      <c r="I3" s="36"/>
      <c r="J3" s="36"/>
      <c r="K3" s="36"/>
      <c r="L3" s="36"/>
      <c r="M3" s="36"/>
      <c r="N3" s="37"/>
    </row>
    <row r="4" spans="2:16" x14ac:dyDescent="0.25">
      <c r="C4" s="269"/>
      <c r="D4" t="s">
        <v>489</v>
      </c>
      <c r="N4" s="40"/>
    </row>
    <row r="5" spans="2:16" x14ac:dyDescent="0.25">
      <c r="C5" s="269"/>
      <c r="D5" t="s">
        <v>490</v>
      </c>
      <c r="N5" s="40"/>
    </row>
    <row r="6" spans="2:16" ht="15.75" thickBot="1" x14ac:dyDescent="0.3">
      <c r="C6" s="270"/>
      <c r="D6" s="49"/>
      <c r="E6" s="49"/>
      <c r="F6" s="49"/>
      <c r="G6" s="49"/>
      <c r="H6" s="49"/>
      <c r="I6" s="49"/>
      <c r="J6" s="49"/>
      <c r="K6" s="49"/>
      <c r="L6" s="49"/>
      <c r="M6" s="49"/>
      <c r="N6" s="50"/>
    </row>
    <row r="8" spans="2:16" ht="15.75" thickBot="1" x14ac:dyDescent="0.3"/>
    <row r="9" spans="2:16" ht="15.75" thickBot="1" x14ac:dyDescent="0.3">
      <c r="C9" s="360" t="s">
        <v>491</v>
      </c>
      <c r="D9" s="361"/>
      <c r="E9" s="361"/>
      <c r="F9" s="361"/>
      <c r="G9" s="361"/>
      <c r="H9" s="362"/>
      <c r="I9" s="363" t="s">
        <v>492</v>
      </c>
      <c r="J9" s="364"/>
      <c r="K9" s="365"/>
      <c r="L9" s="360" t="s">
        <v>493</v>
      </c>
      <c r="M9" s="361"/>
      <c r="N9" s="361"/>
      <c r="O9" s="361"/>
      <c r="P9" s="362"/>
    </row>
    <row r="11" spans="2:16" ht="15.75" thickBot="1" x14ac:dyDescent="0.3"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</row>
    <row r="13" spans="2:16" x14ac:dyDescent="0.25"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P13">
        <v>28</v>
      </c>
    </row>
    <row r="16" spans="2:16" ht="18" x14ac:dyDescent="0.35">
      <c r="H16" s="271" t="s">
        <v>494</v>
      </c>
      <c r="K16" s="271" t="s">
        <v>495</v>
      </c>
    </row>
    <row r="18" spans="3:11" x14ac:dyDescent="0.25">
      <c r="H18" s="272">
        <f>K18/(1+12%)^3</f>
        <v>51316.1699723403</v>
      </c>
      <c r="K18" s="273">
        <f>20000*(1-(1/(1+12%)^5))/12%</f>
        <v>72095.524046900129</v>
      </c>
    </row>
    <row r="19" spans="3:11" ht="15.75" thickBot="1" x14ac:dyDescent="0.3"/>
    <row r="20" spans="3:11" x14ac:dyDescent="0.25">
      <c r="C20" s="60" t="s">
        <v>289</v>
      </c>
      <c r="D20" s="274">
        <f>H18</f>
        <v>51316.1699723403</v>
      </c>
      <c r="E20" s="36" t="s">
        <v>30</v>
      </c>
      <c r="F20" s="36" t="s">
        <v>15</v>
      </c>
      <c r="G20" s="36" t="s">
        <v>40</v>
      </c>
      <c r="H20" s="275">
        <f>(1+12%)^6-1</f>
        <v>0.97382268518400084</v>
      </c>
    </row>
    <row r="21" spans="3:11" ht="15.75" thickBot="1" x14ac:dyDescent="0.3">
      <c r="C21" s="56"/>
      <c r="D21" s="49"/>
      <c r="E21" s="49"/>
      <c r="F21" s="49"/>
      <c r="G21" s="49"/>
      <c r="H21" s="276">
        <v>0.12</v>
      </c>
    </row>
    <row r="23" spans="3:11" x14ac:dyDescent="0.25">
      <c r="D23" t="s">
        <v>496</v>
      </c>
      <c r="E23" t="s">
        <v>15</v>
      </c>
      <c r="F23" t="s">
        <v>30</v>
      </c>
      <c r="G23" s="277">
        <f>D20*H21/H20</f>
        <v>6323.4719116420174</v>
      </c>
    </row>
    <row r="26" spans="3:11" x14ac:dyDescent="0.25">
      <c r="G26" s="5">
        <v>0.12</v>
      </c>
    </row>
    <row r="27" spans="3:11" x14ac:dyDescent="0.25">
      <c r="D27" s="4" t="s">
        <v>71</v>
      </c>
      <c r="E27" s="278" t="s">
        <v>470</v>
      </c>
      <c r="F27" s="278" t="s">
        <v>497</v>
      </c>
      <c r="G27" s="278" t="s">
        <v>350</v>
      </c>
      <c r="H27" s="278" t="s">
        <v>498</v>
      </c>
      <c r="I27" s="278" t="s">
        <v>473</v>
      </c>
    </row>
    <row r="28" spans="3:11" x14ac:dyDescent="0.25">
      <c r="D28" s="10">
        <v>2015</v>
      </c>
      <c r="E28" s="1">
        <v>0</v>
      </c>
      <c r="F28" s="277">
        <v>6323.4719116420201</v>
      </c>
      <c r="G28" s="1">
        <v>0</v>
      </c>
      <c r="H28" s="1">
        <v>0</v>
      </c>
      <c r="I28" s="1">
        <f>E28+F28+G28-H28</f>
        <v>6323.4719116420201</v>
      </c>
    </row>
    <row r="29" spans="3:11" x14ac:dyDescent="0.25">
      <c r="D29" s="10">
        <v>2016</v>
      </c>
      <c r="E29" s="1">
        <f>I28</f>
        <v>6323.4719116420201</v>
      </c>
      <c r="F29" s="1">
        <f>F28</f>
        <v>6323.4719116420201</v>
      </c>
      <c r="G29" s="1">
        <f>E29*$G$26</f>
        <v>758.81662939704233</v>
      </c>
      <c r="H29" s="1">
        <v>0</v>
      </c>
      <c r="I29" s="1">
        <f>E29+F29+G29-H29</f>
        <v>13405.760452681083</v>
      </c>
    </row>
    <row r="30" spans="3:11" x14ac:dyDescent="0.25">
      <c r="D30" s="10">
        <v>2017</v>
      </c>
      <c r="E30" s="1">
        <f t="shared" ref="E30:E33" si="0">I29</f>
        <v>13405.760452681083</v>
      </c>
      <c r="F30" s="1">
        <f t="shared" ref="F30:F33" si="1">F29</f>
        <v>6323.4719116420201</v>
      </c>
      <c r="G30" s="1">
        <f t="shared" ref="G30:G41" si="2">E30*$G$26</f>
        <v>1608.69125432173</v>
      </c>
      <c r="H30" s="1">
        <v>0</v>
      </c>
      <c r="I30" s="1">
        <f t="shared" ref="I30:I41" si="3">E30+F30+G30-H30</f>
        <v>21337.923618644832</v>
      </c>
    </row>
    <row r="31" spans="3:11" x14ac:dyDescent="0.25">
      <c r="D31" s="10">
        <v>2018</v>
      </c>
      <c r="E31" s="1">
        <f t="shared" si="0"/>
        <v>21337.923618644832</v>
      </c>
      <c r="F31" s="1">
        <f t="shared" si="1"/>
        <v>6323.4719116420201</v>
      </c>
      <c r="G31" s="1">
        <f t="shared" si="2"/>
        <v>2560.5508342373796</v>
      </c>
      <c r="H31" s="1">
        <v>0</v>
      </c>
      <c r="I31" s="1">
        <f t="shared" si="3"/>
        <v>30221.946364524232</v>
      </c>
    </row>
    <row r="32" spans="3:11" x14ac:dyDescent="0.25">
      <c r="D32" s="10">
        <v>2019</v>
      </c>
      <c r="E32" s="1">
        <f t="shared" si="0"/>
        <v>30221.946364524232</v>
      </c>
      <c r="F32" s="1">
        <f t="shared" si="1"/>
        <v>6323.4719116420201</v>
      </c>
      <c r="G32" s="1">
        <f t="shared" si="2"/>
        <v>3626.6335637429079</v>
      </c>
      <c r="H32" s="1">
        <v>0</v>
      </c>
      <c r="I32" s="1">
        <f t="shared" si="3"/>
        <v>40172.05183990916</v>
      </c>
    </row>
    <row r="33" spans="4:9" x14ac:dyDescent="0.25">
      <c r="D33" s="10">
        <v>2020</v>
      </c>
      <c r="E33" s="1">
        <f t="shared" si="0"/>
        <v>40172.05183990916</v>
      </c>
      <c r="F33" s="1">
        <f t="shared" si="1"/>
        <v>6323.4719116420201</v>
      </c>
      <c r="G33" s="1">
        <f t="shared" si="2"/>
        <v>4820.6462207890991</v>
      </c>
      <c r="H33" s="1">
        <v>0</v>
      </c>
      <c r="I33" s="272">
        <f t="shared" si="3"/>
        <v>51316.169972340285</v>
      </c>
    </row>
    <row r="34" spans="4:9" x14ac:dyDescent="0.25">
      <c r="D34" s="10">
        <v>2021</v>
      </c>
      <c r="E34" s="2">
        <f>I33</f>
        <v>51316.169972340285</v>
      </c>
      <c r="F34">
        <v>0</v>
      </c>
      <c r="G34" s="1">
        <f t="shared" si="2"/>
        <v>6157.9403966808341</v>
      </c>
      <c r="H34" s="1">
        <v>0</v>
      </c>
      <c r="I34" s="1">
        <f t="shared" si="3"/>
        <v>57474.110369021117</v>
      </c>
    </row>
    <row r="35" spans="4:9" x14ac:dyDescent="0.25">
      <c r="D35" s="10">
        <v>2022</v>
      </c>
      <c r="E35" s="2">
        <f t="shared" ref="E35:E36" si="4">I34</f>
        <v>57474.110369021117</v>
      </c>
      <c r="F35">
        <v>0</v>
      </c>
      <c r="G35" s="1">
        <f t="shared" si="2"/>
        <v>6896.8932442825335</v>
      </c>
      <c r="H35" s="1">
        <v>0</v>
      </c>
      <c r="I35" s="1">
        <f t="shared" si="3"/>
        <v>64371.003613303648</v>
      </c>
    </row>
    <row r="36" spans="4:9" x14ac:dyDescent="0.25">
      <c r="D36" s="10">
        <v>2023</v>
      </c>
      <c r="E36" s="2">
        <f t="shared" si="4"/>
        <v>64371.003613303648</v>
      </c>
      <c r="F36">
        <v>0</v>
      </c>
      <c r="G36" s="1">
        <f t="shared" si="2"/>
        <v>7724.5204335964372</v>
      </c>
      <c r="H36" s="1">
        <v>0</v>
      </c>
      <c r="I36" s="273">
        <f t="shared" si="3"/>
        <v>72095.524046900086</v>
      </c>
    </row>
    <row r="37" spans="4:9" x14ac:dyDescent="0.25">
      <c r="D37" s="10">
        <v>2024</v>
      </c>
      <c r="E37" s="2">
        <f>I36</f>
        <v>72095.524046900086</v>
      </c>
      <c r="F37">
        <v>0</v>
      </c>
      <c r="G37" s="1">
        <f t="shared" si="2"/>
        <v>8651.4628856280106</v>
      </c>
      <c r="H37" s="1">
        <v>20000</v>
      </c>
      <c r="I37" s="1">
        <f t="shared" si="3"/>
        <v>60746.986932528089</v>
      </c>
    </row>
    <row r="38" spans="4:9" x14ac:dyDescent="0.25">
      <c r="D38" s="10">
        <v>2025</v>
      </c>
      <c r="E38" s="2">
        <f>I37</f>
        <v>60746.986932528089</v>
      </c>
      <c r="F38">
        <v>0</v>
      </c>
      <c r="G38" s="1">
        <f t="shared" si="2"/>
        <v>7289.6384319033705</v>
      </c>
      <c r="H38" s="1">
        <v>20000</v>
      </c>
      <c r="I38" s="1">
        <f t="shared" si="3"/>
        <v>48036.625364431457</v>
      </c>
    </row>
    <row r="39" spans="4:9" x14ac:dyDescent="0.25">
      <c r="D39" s="10">
        <v>2026</v>
      </c>
      <c r="E39" s="2">
        <f>I38</f>
        <v>48036.625364431457</v>
      </c>
      <c r="F39">
        <v>0</v>
      </c>
      <c r="G39" s="1">
        <f t="shared" si="2"/>
        <v>5764.3950437317744</v>
      </c>
      <c r="H39" s="1">
        <v>20000</v>
      </c>
      <c r="I39" s="1">
        <f t="shared" si="3"/>
        <v>33801.020408163233</v>
      </c>
    </row>
    <row r="40" spans="4:9" x14ac:dyDescent="0.25">
      <c r="D40" s="10">
        <v>2027</v>
      </c>
      <c r="E40" s="2">
        <f>I39</f>
        <v>33801.020408163233</v>
      </c>
      <c r="F40">
        <v>0</v>
      </c>
      <c r="G40" s="1">
        <f t="shared" si="2"/>
        <v>4056.1224489795877</v>
      </c>
      <c r="H40" s="1">
        <v>20000</v>
      </c>
      <c r="I40" s="1">
        <f t="shared" si="3"/>
        <v>17857.142857142819</v>
      </c>
    </row>
    <row r="41" spans="4:9" x14ac:dyDescent="0.25">
      <c r="D41" s="10">
        <v>2028</v>
      </c>
      <c r="E41" s="2">
        <f>I40</f>
        <v>17857.142857142819</v>
      </c>
      <c r="F41">
        <v>0</v>
      </c>
      <c r="G41" s="1">
        <f t="shared" si="2"/>
        <v>2142.8571428571381</v>
      </c>
      <c r="H41" s="1">
        <v>20000</v>
      </c>
      <c r="I41" s="279">
        <f t="shared" si="3"/>
        <v>-4.3655745685100555E-11</v>
      </c>
    </row>
  </sheetData>
  <mergeCells count="3">
    <mergeCell ref="C9:H9"/>
    <mergeCell ref="I9:K9"/>
    <mergeCell ref="L9:P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203A-6055-4BFF-9182-5ED13DD463ED}">
  <dimension ref="B3:Q24"/>
  <sheetViews>
    <sheetView workbookViewId="0">
      <selection activeCell="H27" sqref="H27"/>
    </sheetView>
  </sheetViews>
  <sheetFormatPr defaultRowHeight="15" x14ac:dyDescent="0.25"/>
  <sheetData>
    <row r="3" spans="2:15" x14ac:dyDescent="0.25">
      <c r="B3" t="s">
        <v>499</v>
      </c>
    </row>
    <row r="5" spans="2:15" x14ac:dyDescent="0.25">
      <c r="B5" t="s">
        <v>500</v>
      </c>
    </row>
    <row r="7" spans="2:15" x14ac:dyDescent="0.25">
      <c r="B7" t="s">
        <v>501</v>
      </c>
    </row>
    <row r="9" spans="2:15" ht="15.75" thickBot="1" x14ac:dyDescent="0.3"/>
    <row r="10" spans="2:15" ht="15.75" thickBot="1" x14ac:dyDescent="0.3">
      <c r="D10" s="360" t="s">
        <v>502</v>
      </c>
      <c r="E10" s="361"/>
      <c r="F10" s="362"/>
      <c r="H10" s="360" t="s">
        <v>503</v>
      </c>
      <c r="I10" s="361"/>
      <c r="J10" s="362"/>
    </row>
    <row r="11" spans="2:15" ht="15.75" thickBot="1" x14ac:dyDescent="0.3">
      <c r="D11" s="49"/>
      <c r="E11" s="49"/>
      <c r="F11" s="49"/>
      <c r="G11" s="49"/>
      <c r="H11" s="49"/>
      <c r="I11" s="49"/>
      <c r="J11" s="49"/>
    </row>
    <row r="13" spans="2:15" x14ac:dyDescent="0.25">
      <c r="D13">
        <v>23</v>
      </c>
      <c r="E13">
        <v>24</v>
      </c>
      <c r="F13">
        <v>25</v>
      </c>
      <c r="G13">
        <v>26</v>
      </c>
      <c r="H13">
        <v>27</v>
      </c>
      <c r="I13">
        <v>28</v>
      </c>
      <c r="J13">
        <v>29</v>
      </c>
    </row>
    <row r="15" spans="2:15" ht="18" x14ac:dyDescent="0.35">
      <c r="F15" t="s">
        <v>504</v>
      </c>
      <c r="G15" t="s">
        <v>505</v>
      </c>
    </row>
    <row r="16" spans="2:15" x14ac:dyDescent="0.25">
      <c r="O16" s="5">
        <v>7.0000000000000007E-2</v>
      </c>
    </row>
    <row r="17" spans="4:17" x14ac:dyDescent="0.25">
      <c r="F17" s="117">
        <f>G17/(1+7%)^1</f>
        <v>245.26318172115901</v>
      </c>
      <c r="G17" s="280">
        <f>100*(1-(1/(1+7%)^3))/7%</f>
        <v>262.43160444164016</v>
      </c>
      <c r="L17" s="4" t="s">
        <v>71</v>
      </c>
      <c r="M17" s="4" t="s">
        <v>470</v>
      </c>
      <c r="N17" s="4" t="s">
        <v>506</v>
      </c>
      <c r="O17" s="4" t="s">
        <v>350</v>
      </c>
      <c r="P17" s="4" t="s">
        <v>507</v>
      </c>
      <c r="Q17" s="4" t="s">
        <v>473</v>
      </c>
    </row>
    <row r="18" spans="4:17" x14ac:dyDescent="0.25">
      <c r="L18" s="10">
        <v>23</v>
      </c>
      <c r="M18" s="281">
        <v>0</v>
      </c>
      <c r="N18" s="282">
        <v>76.289521204752504</v>
      </c>
      <c r="O18" s="281">
        <v>0</v>
      </c>
      <c r="P18" s="281">
        <v>0</v>
      </c>
      <c r="Q18" s="281">
        <f>M18+N18+O18-P18</f>
        <v>76.289521204752504</v>
      </c>
    </row>
    <row r="19" spans="4:17" x14ac:dyDescent="0.25">
      <c r="D19">
        <f>F17</f>
        <v>245.26318172115901</v>
      </c>
      <c r="E19" t="s">
        <v>30</v>
      </c>
      <c r="F19" t="s">
        <v>508</v>
      </c>
      <c r="G19" t="s">
        <v>355</v>
      </c>
      <c r="H19" s="116">
        <f>(1+7%)^3-1</f>
        <v>0.2250430000000001</v>
      </c>
      <c r="L19" s="10">
        <v>24</v>
      </c>
      <c r="M19" s="281">
        <f t="shared" ref="M19:M24" si="0">Q18</f>
        <v>76.289521204752504</v>
      </c>
      <c r="N19" s="281">
        <f>N18</f>
        <v>76.289521204752504</v>
      </c>
      <c r="O19" s="281">
        <f>M19*O16</f>
        <v>5.3402664843326759</v>
      </c>
      <c r="P19" s="281">
        <v>0</v>
      </c>
      <c r="Q19" s="281">
        <f t="shared" ref="Q19:Q24" si="1">M19+N19+O19-P19</f>
        <v>157.91930889383769</v>
      </c>
    </row>
    <row r="20" spans="4:17" x14ac:dyDescent="0.25">
      <c r="H20" s="5">
        <v>7.0000000000000007E-2</v>
      </c>
      <c r="L20" s="10">
        <v>25</v>
      </c>
      <c r="M20" s="281">
        <f t="shared" si="0"/>
        <v>157.91930889383769</v>
      </c>
      <c r="N20" s="281">
        <f>N19</f>
        <v>76.289521204752504</v>
      </c>
      <c r="O20" s="281">
        <f>M20*O16</f>
        <v>11.054351622568639</v>
      </c>
      <c r="P20" s="281">
        <v>0</v>
      </c>
      <c r="Q20" s="281">
        <f t="shared" si="1"/>
        <v>245.26318172115884</v>
      </c>
    </row>
    <row r="21" spans="4:17" x14ac:dyDescent="0.25">
      <c r="L21" s="10">
        <v>26</v>
      </c>
      <c r="M21" s="281">
        <f t="shared" si="0"/>
        <v>245.26318172115884</v>
      </c>
      <c r="N21" s="281">
        <v>0</v>
      </c>
      <c r="O21" s="281">
        <f>M21*O16</f>
        <v>17.168422720481122</v>
      </c>
      <c r="P21" s="281">
        <v>0</v>
      </c>
      <c r="Q21" s="281">
        <f t="shared" si="1"/>
        <v>262.43160444163999</v>
      </c>
    </row>
    <row r="22" spans="4:17" x14ac:dyDescent="0.25">
      <c r="L22" s="10">
        <v>27</v>
      </c>
      <c r="M22" s="281">
        <f t="shared" si="0"/>
        <v>262.43160444163999</v>
      </c>
      <c r="N22" s="281">
        <v>0</v>
      </c>
      <c r="O22" s="281">
        <f>M22*O16</f>
        <v>18.370212310914802</v>
      </c>
      <c r="P22" s="281">
        <v>100</v>
      </c>
      <c r="Q22" s="281">
        <f t="shared" si="1"/>
        <v>180.80181675255477</v>
      </c>
    </row>
    <row r="23" spans="4:17" x14ac:dyDescent="0.25">
      <c r="E23" s="283" t="s">
        <v>289</v>
      </c>
      <c r="F23" s="283" t="s">
        <v>509</v>
      </c>
      <c r="G23" s="282">
        <f>D19*H20/H19</f>
        <v>76.289521204752532</v>
      </c>
      <c r="L23" s="10">
        <v>28</v>
      </c>
      <c r="M23" s="281">
        <f t="shared" si="0"/>
        <v>180.80181675255477</v>
      </c>
      <c r="N23" s="281">
        <v>0</v>
      </c>
      <c r="O23" s="281">
        <f>M23*O16</f>
        <v>12.656127172678834</v>
      </c>
      <c r="P23" s="281">
        <v>100</v>
      </c>
      <c r="Q23" s="281">
        <f t="shared" si="1"/>
        <v>93.457943925233593</v>
      </c>
    </row>
    <row r="24" spans="4:17" x14ac:dyDescent="0.25">
      <c r="L24" s="10">
        <v>29</v>
      </c>
      <c r="M24" s="281">
        <f t="shared" si="0"/>
        <v>93.457943925233593</v>
      </c>
      <c r="N24" s="281">
        <v>0</v>
      </c>
      <c r="O24" s="281">
        <f>M24*O16</f>
        <v>6.5420560747663519</v>
      </c>
      <c r="P24" s="281">
        <v>100</v>
      </c>
      <c r="Q24" s="281">
        <f t="shared" si="1"/>
        <v>0</v>
      </c>
    </row>
  </sheetData>
  <mergeCells count="2">
    <mergeCell ref="D10:F10"/>
    <mergeCell ref="H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39E9-5370-42F0-9C53-A51DE064AC93}">
  <dimension ref="B3:O321"/>
  <sheetViews>
    <sheetView topLeftCell="A33" workbookViewId="0">
      <selection activeCell="M52" sqref="M52"/>
    </sheetView>
  </sheetViews>
  <sheetFormatPr defaultRowHeight="15" x14ac:dyDescent="0.25"/>
  <cols>
    <col min="4" max="4" width="10.85546875" customWidth="1"/>
    <col min="6" max="6" width="14.42578125" bestFit="1" customWidth="1"/>
    <col min="7" max="7" width="13" bestFit="1" customWidth="1"/>
    <col min="8" max="8" width="11.7109375" bestFit="1" customWidth="1"/>
    <col min="9" max="9" width="14.42578125" bestFit="1" customWidth="1"/>
    <col min="11" max="11" width="10.28515625" bestFit="1" customWidth="1"/>
    <col min="12" max="12" width="15.140625" bestFit="1" customWidth="1"/>
    <col min="13" max="13" width="11.85546875" bestFit="1" customWidth="1"/>
    <col min="14" max="14" width="11.7109375" bestFit="1" customWidth="1"/>
    <col min="15" max="15" width="15.140625" bestFit="1" customWidth="1"/>
  </cols>
  <sheetData>
    <row r="3" spans="2:11" x14ac:dyDescent="0.25">
      <c r="B3" t="s">
        <v>510</v>
      </c>
    </row>
    <row r="5" spans="2:11" x14ac:dyDescent="0.25">
      <c r="B5" t="s">
        <v>511</v>
      </c>
    </row>
    <row r="7" spans="2:11" x14ac:dyDescent="0.25">
      <c r="B7" s="30" t="s">
        <v>512</v>
      </c>
    </row>
    <row r="9" spans="2:11" x14ac:dyDescent="0.25">
      <c r="C9" t="s">
        <v>513</v>
      </c>
    </row>
    <row r="10" spans="2:11" x14ac:dyDescent="0.25">
      <c r="C10" t="s">
        <v>514</v>
      </c>
    </row>
    <row r="11" spans="2:11" x14ac:dyDescent="0.25">
      <c r="C11" t="s">
        <v>515</v>
      </c>
    </row>
    <row r="13" spans="2:11" x14ac:dyDescent="0.25">
      <c r="J13" t="s">
        <v>516</v>
      </c>
      <c r="K13" s="104">
        <f>8%/12</f>
        <v>6.6666666666666671E-3</v>
      </c>
    </row>
    <row r="14" spans="2:11" ht="16.5" x14ac:dyDescent="0.3">
      <c r="D14" s="284" t="s">
        <v>517</v>
      </c>
    </row>
    <row r="15" spans="2:11" x14ac:dyDescent="0.25">
      <c r="D15" t="s">
        <v>518</v>
      </c>
      <c r="F15" t="s">
        <v>519</v>
      </c>
      <c r="G15" s="9">
        <f>PMT(8%/12,25*12,50000000,0,0)</f>
        <v>-385908.10968650156</v>
      </c>
    </row>
    <row r="17" spans="4:9" x14ac:dyDescent="0.25">
      <c r="D17" t="s">
        <v>520</v>
      </c>
      <c r="F17" t="s">
        <v>519</v>
      </c>
      <c r="G17" s="6">
        <f>50000000/((1-(1/(1+K13)^300))/K13)</f>
        <v>385908.10968650255</v>
      </c>
    </row>
    <row r="21" spans="4:9" x14ac:dyDescent="0.25">
      <c r="E21" s="31" t="s">
        <v>54</v>
      </c>
      <c r="F21" s="31" t="s">
        <v>521</v>
      </c>
      <c r="G21" s="31" t="s">
        <v>350</v>
      </c>
      <c r="H21" s="31" t="s">
        <v>519</v>
      </c>
      <c r="I21" s="31" t="s">
        <v>522</v>
      </c>
    </row>
    <row r="22" spans="4:9" x14ac:dyDescent="0.25">
      <c r="E22" s="10">
        <v>1</v>
      </c>
      <c r="F22" s="285">
        <v>50000000</v>
      </c>
      <c r="G22" s="285">
        <f>F22*K13</f>
        <v>333333.33333333337</v>
      </c>
      <c r="H22" s="285">
        <f>G17</f>
        <v>385908.10968650255</v>
      </c>
      <c r="I22" s="285">
        <f>F22+G22-H22</f>
        <v>49947425.223646834</v>
      </c>
    </row>
    <row r="23" spans="4:9" x14ac:dyDescent="0.25">
      <c r="E23" s="10">
        <v>2</v>
      </c>
      <c r="F23" s="285">
        <f>I22</f>
        <v>49947425.223646834</v>
      </c>
      <c r="G23" s="285">
        <f>F23*$K$13</f>
        <v>332982.83482431225</v>
      </c>
      <c r="H23" s="285">
        <f>$G$17</f>
        <v>385908.10968650255</v>
      </c>
      <c r="I23" s="285">
        <f>F23+G23-H23</f>
        <v>49894499.948784642</v>
      </c>
    </row>
    <row r="24" spans="4:9" x14ac:dyDescent="0.25">
      <c r="E24" s="10">
        <v>3</v>
      </c>
      <c r="F24" s="285">
        <f t="shared" ref="F24:F87" si="0">I23</f>
        <v>49894499.948784642</v>
      </c>
      <c r="G24" s="285">
        <f t="shared" ref="G24:G87" si="1">F24*$K$13</f>
        <v>332629.99965856428</v>
      </c>
      <c r="H24" s="285">
        <f t="shared" ref="H24:H87" si="2">$G$17</f>
        <v>385908.10968650255</v>
      </c>
      <c r="I24" s="285">
        <f t="shared" ref="I24:I87" si="3">F24+G24-H24</f>
        <v>49841221.838756703</v>
      </c>
    </row>
    <row r="25" spans="4:9" x14ac:dyDescent="0.25">
      <c r="E25" s="10">
        <v>4</v>
      </c>
      <c r="F25" s="285">
        <f t="shared" si="0"/>
        <v>49841221.838756703</v>
      </c>
      <c r="G25" s="285">
        <f t="shared" si="1"/>
        <v>332274.81225837802</v>
      </c>
      <c r="H25" s="285">
        <f t="shared" si="2"/>
        <v>385908.10968650255</v>
      </c>
      <c r="I25" s="285">
        <f t="shared" si="3"/>
        <v>49787588.541328579</v>
      </c>
    </row>
    <row r="26" spans="4:9" x14ac:dyDescent="0.25">
      <c r="E26" s="10">
        <v>5</v>
      </c>
      <c r="F26" s="285">
        <f t="shared" si="0"/>
        <v>49787588.541328579</v>
      </c>
      <c r="G26" s="285">
        <f t="shared" si="1"/>
        <v>331917.25694219052</v>
      </c>
      <c r="H26" s="285">
        <f t="shared" si="2"/>
        <v>385908.10968650255</v>
      </c>
      <c r="I26" s="285">
        <f t="shared" si="3"/>
        <v>49733597.688584268</v>
      </c>
    </row>
    <row r="27" spans="4:9" x14ac:dyDescent="0.25">
      <c r="E27" s="10">
        <v>6</v>
      </c>
      <c r="F27" s="285">
        <f t="shared" si="0"/>
        <v>49733597.688584268</v>
      </c>
      <c r="G27" s="285">
        <f t="shared" si="1"/>
        <v>331557.31792389514</v>
      </c>
      <c r="H27" s="285">
        <f t="shared" si="2"/>
        <v>385908.10968650255</v>
      </c>
      <c r="I27" s="285">
        <f t="shared" si="3"/>
        <v>49679246.896821663</v>
      </c>
    </row>
    <row r="28" spans="4:9" x14ac:dyDescent="0.25">
      <c r="E28" s="10">
        <v>7</v>
      </c>
      <c r="F28" s="285">
        <f t="shared" si="0"/>
        <v>49679246.896821663</v>
      </c>
      <c r="G28" s="285">
        <f t="shared" si="1"/>
        <v>331194.97931214445</v>
      </c>
      <c r="H28" s="285">
        <f t="shared" si="2"/>
        <v>385908.10968650255</v>
      </c>
      <c r="I28" s="285">
        <f t="shared" si="3"/>
        <v>49624533.766447306</v>
      </c>
    </row>
    <row r="29" spans="4:9" x14ac:dyDescent="0.25">
      <c r="E29" s="10">
        <v>8</v>
      </c>
      <c r="F29" s="285">
        <f t="shared" si="0"/>
        <v>49624533.766447306</v>
      </c>
      <c r="G29" s="285">
        <f t="shared" si="1"/>
        <v>330830.22510964872</v>
      </c>
      <c r="H29" s="285">
        <f t="shared" si="2"/>
        <v>385908.10968650255</v>
      </c>
      <c r="I29" s="285">
        <f t="shared" si="3"/>
        <v>49569455.881870456</v>
      </c>
    </row>
    <row r="30" spans="4:9" x14ac:dyDescent="0.25">
      <c r="E30" s="10">
        <v>9</v>
      </c>
      <c r="F30" s="285">
        <f t="shared" si="0"/>
        <v>49569455.881870456</v>
      </c>
      <c r="G30" s="285">
        <f t="shared" si="1"/>
        <v>330463.03921246971</v>
      </c>
      <c r="H30" s="285">
        <f t="shared" si="2"/>
        <v>385908.10968650255</v>
      </c>
      <c r="I30" s="285">
        <f t="shared" si="3"/>
        <v>49514010.811396427</v>
      </c>
    </row>
    <row r="31" spans="4:9" x14ac:dyDescent="0.25">
      <c r="E31" s="10">
        <v>10</v>
      </c>
      <c r="F31" s="285">
        <f t="shared" si="0"/>
        <v>49514010.811396427</v>
      </c>
      <c r="G31" s="285">
        <f t="shared" si="1"/>
        <v>330093.40540930955</v>
      </c>
      <c r="H31" s="285">
        <f t="shared" si="2"/>
        <v>385908.10968650255</v>
      </c>
      <c r="I31" s="285">
        <f t="shared" si="3"/>
        <v>49458196.107119232</v>
      </c>
    </row>
    <row r="32" spans="4:9" x14ac:dyDescent="0.25">
      <c r="E32" s="10">
        <v>11</v>
      </c>
      <c r="F32" s="285">
        <f t="shared" si="0"/>
        <v>49458196.107119232</v>
      </c>
      <c r="G32" s="285">
        <f t="shared" si="1"/>
        <v>329721.3073807949</v>
      </c>
      <c r="H32" s="285">
        <f t="shared" si="2"/>
        <v>385908.10968650255</v>
      </c>
      <c r="I32" s="285">
        <f t="shared" si="3"/>
        <v>49402009.304813527</v>
      </c>
    </row>
    <row r="33" spans="5:9" x14ac:dyDescent="0.25">
      <c r="E33" s="10">
        <v>12</v>
      </c>
      <c r="F33" s="285">
        <f t="shared" si="0"/>
        <v>49402009.304813527</v>
      </c>
      <c r="G33" s="285">
        <f t="shared" si="1"/>
        <v>329346.72869875684</v>
      </c>
      <c r="H33" s="285">
        <f t="shared" si="2"/>
        <v>385908.10968650255</v>
      </c>
      <c r="I33" s="285">
        <f t="shared" si="3"/>
        <v>49345447.923825786</v>
      </c>
    </row>
    <row r="34" spans="5:9" x14ac:dyDescent="0.25">
      <c r="E34" s="10">
        <v>13</v>
      </c>
      <c r="F34" s="285">
        <f t="shared" si="0"/>
        <v>49345447.923825786</v>
      </c>
      <c r="G34" s="285">
        <f t="shared" si="1"/>
        <v>328969.65282550524</v>
      </c>
      <c r="H34" s="285">
        <f t="shared" si="2"/>
        <v>385908.10968650255</v>
      </c>
      <c r="I34" s="285">
        <f t="shared" si="3"/>
        <v>49288509.466964789</v>
      </c>
    </row>
    <row r="35" spans="5:9" x14ac:dyDescent="0.25">
      <c r="E35" s="10">
        <v>14</v>
      </c>
      <c r="F35" s="285">
        <f t="shared" si="0"/>
        <v>49288509.466964789</v>
      </c>
      <c r="G35" s="285">
        <f t="shared" si="1"/>
        <v>328590.06311309861</v>
      </c>
      <c r="H35" s="285">
        <f t="shared" si="2"/>
        <v>385908.10968650255</v>
      </c>
      <c r="I35" s="285">
        <f t="shared" si="3"/>
        <v>49231191.420391388</v>
      </c>
    </row>
    <row r="36" spans="5:9" x14ac:dyDescent="0.25">
      <c r="E36" s="10">
        <v>15</v>
      </c>
      <c r="F36" s="285">
        <f t="shared" si="0"/>
        <v>49231191.420391388</v>
      </c>
      <c r="G36" s="285">
        <f t="shared" si="1"/>
        <v>328207.94280260929</v>
      </c>
      <c r="H36" s="285">
        <f t="shared" si="2"/>
        <v>385908.10968650255</v>
      </c>
      <c r="I36" s="285">
        <f t="shared" si="3"/>
        <v>49173491.253507495</v>
      </c>
    </row>
    <row r="37" spans="5:9" x14ac:dyDescent="0.25">
      <c r="E37" s="10">
        <v>16</v>
      </c>
      <c r="F37" s="285">
        <f t="shared" si="0"/>
        <v>49173491.253507495</v>
      </c>
      <c r="G37" s="285">
        <f t="shared" si="1"/>
        <v>327823.27502338332</v>
      </c>
      <c r="H37" s="285">
        <f t="shared" si="2"/>
        <v>385908.10968650255</v>
      </c>
      <c r="I37" s="285">
        <f t="shared" si="3"/>
        <v>49115406.418844379</v>
      </c>
    </row>
    <row r="38" spans="5:9" x14ac:dyDescent="0.25">
      <c r="E38" s="10">
        <v>17</v>
      </c>
      <c r="F38" s="285">
        <f t="shared" si="0"/>
        <v>49115406.418844379</v>
      </c>
      <c r="G38" s="285">
        <f t="shared" si="1"/>
        <v>327436.04279229586</v>
      </c>
      <c r="H38" s="285">
        <f t="shared" si="2"/>
        <v>385908.10968650255</v>
      </c>
      <c r="I38" s="285">
        <f t="shared" si="3"/>
        <v>49056934.351950176</v>
      </c>
    </row>
    <row r="39" spans="5:9" x14ac:dyDescent="0.25">
      <c r="E39" s="10">
        <v>18</v>
      </c>
      <c r="F39" s="285">
        <f t="shared" si="0"/>
        <v>49056934.351950176</v>
      </c>
      <c r="G39" s="285">
        <f t="shared" si="1"/>
        <v>327046.2290130012</v>
      </c>
      <c r="H39" s="285">
        <f t="shared" si="2"/>
        <v>385908.10968650255</v>
      </c>
      <c r="I39" s="285">
        <f t="shared" si="3"/>
        <v>48998072.471276678</v>
      </c>
    </row>
    <row r="40" spans="5:9" x14ac:dyDescent="0.25">
      <c r="E40" s="10">
        <v>19</v>
      </c>
      <c r="F40" s="285">
        <f t="shared" si="0"/>
        <v>48998072.471276678</v>
      </c>
      <c r="G40" s="285">
        <f t="shared" si="1"/>
        <v>326653.81647517788</v>
      </c>
      <c r="H40" s="285">
        <f t="shared" si="2"/>
        <v>385908.10968650255</v>
      </c>
      <c r="I40" s="285">
        <f t="shared" si="3"/>
        <v>48938818.178065352</v>
      </c>
    </row>
    <row r="41" spans="5:9" x14ac:dyDescent="0.25">
      <c r="E41" s="10">
        <v>20</v>
      </c>
      <c r="F41" s="285">
        <f t="shared" si="0"/>
        <v>48938818.178065352</v>
      </c>
      <c r="G41" s="285">
        <f t="shared" si="1"/>
        <v>326258.78785376903</v>
      </c>
      <c r="H41" s="285">
        <f t="shared" si="2"/>
        <v>385908.10968650255</v>
      </c>
      <c r="I41" s="285">
        <f t="shared" si="3"/>
        <v>48879168.856232621</v>
      </c>
    </row>
    <row r="42" spans="5:9" x14ac:dyDescent="0.25">
      <c r="E42" s="10">
        <v>21</v>
      </c>
      <c r="F42" s="285">
        <f t="shared" si="0"/>
        <v>48879168.856232621</v>
      </c>
      <c r="G42" s="285">
        <f t="shared" si="1"/>
        <v>325861.1257082175</v>
      </c>
      <c r="H42" s="285">
        <f t="shared" si="2"/>
        <v>385908.10968650255</v>
      </c>
      <c r="I42" s="285">
        <f t="shared" si="3"/>
        <v>48819121.872254334</v>
      </c>
    </row>
    <row r="43" spans="5:9" x14ac:dyDescent="0.25">
      <c r="E43" s="10">
        <v>22</v>
      </c>
      <c r="F43" s="285">
        <f t="shared" si="0"/>
        <v>48819121.872254334</v>
      </c>
      <c r="G43" s="285">
        <f t="shared" si="1"/>
        <v>325460.81248169561</v>
      </c>
      <c r="H43" s="285">
        <f t="shared" si="2"/>
        <v>385908.10968650255</v>
      </c>
      <c r="I43" s="285">
        <f t="shared" si="3"/>
        <v>48758674.575049527</v>
      </c>
    </row>
    <row r="44" spans="5:9" x14ac:dyDescent="0.25">
      <c r="E44" s="10">
        <v>23</v>
      </c>
      <c r="F44" s="285">
        <f t="shared" si="0"/>
        <v>48758674.575049527</v>
      </c>
      <c r="G44" s="285">
        <f t="shared" si="1"/>
        <v>325057.83050033019</v>
      </c>
      <c r="H44" s="285">
        <f t="shared" si="2"/>
        <v>385908.10968650255</v>
      </c>
      <c r="I44" s="285">
        <f t="shared" si="3"/>
        <v>48697824.295863353</v>
      </c>
    </row>
    <row r="45" spans="5:9" x14ac:dyDescent="0.25">
      <c r="E45" s="10">
        <v>24</v>
      </c>
      <c r="F45" s="285">
        <f t="shared" si="0"/>
        <v>48697824.295863353</v>
      </c>
      <c r="G45" s="285">
        <f t="shared" si="1"/>
        <v>324652.16197242239</v>
      </c>
      <c r="H45" s="285">
        <f t="shared" si="2"/>
        <v>385908.10968650255</v>
      </c>
      <c r="I45" s="285">
        <f t="shared" si="3"/>
        <v>48636568.348149277</v>
      </c>
    </row>
    <row r="46" spans="5:9" x14ac:dyDescent="0.25">
      <c r="E46" s="10">
        <v>25</v>
      </c>
      <c r="F46" s="285">
        <f t="shared" si="0"/>
        <v>48636568.348149277</v>
      </c>
      <c r="G46" s="285">
        <f t="shared" si="1"/>
        <v>324243.78898766189</v>
      </c>
      <c r="H46" s="285">
        <f t="shared" si="2"/>
        <v>385908.10968650255</v>
      </c>
      <c r="I46" s="285">
        <f t="shared" si="3"/>
        <v>48574904.027450435</v>
      </c>
    </row>
    <row r="47" spans="5:9" x14ac:dyDescent="0.25">
      <c r="E47" s="10">
        <v>26</v>
      </c>
      <c r="F47" s="285">
        <f t="shared" si="0"/>
        <v>48574904.027450435</v>
      </c>
      <c r="G47" s="285">
        <f t="shared" si="1"/>
        <v>323832.69351633627</v>
      </c>
      <c r="H47" s="285">
        <f t="shared" si="2"/>
        <v>385908.10968650255</v>
      </c>
      <c r="I47" s="285">
        <f t="shared" si="3"/>
        <v>48512828.61128027</v>
      </c>
    </row>
    <row r="48" spans="5:9" x14ac:dyDescent="0.25">
      <c r="E48" s="10">
        <v>27</v>
      </c>
      <c r="F48" s="285">
        <f t="shared" si="0"/>
        <v>48512828.61128027</v>
      </c>
      <c r="G48" s="285">
        <f t="shared" si="1"/>
        <v>323418.85740853514</v>
      </c>
      <c r="H48" s="285">
        <f t="shared" si="2"/>
        <v>385908.10968650255</v>
      </c>
      <c r="I48" s="285">
        <f t="shared" si="3"/>
        <v>48450339.359002307</v>
      </c>
    </row>
    <row r="49" spans="5:15" x14ac:dyDescent="0.25">
      <c r="E49" s="10">
        <v>28</v>
      </c>
      <c r="F49" s="285">
        <f t="shared" si="0"/>
        <v>48450339.359002307</v>
      </c>
      <c r="G49" s="285">
        <f t="shared" si="1"/>
        <v>323002.26239334873</v>
      </c>
      <c r="H49" s="285">
        <f t="shared" si="2"/>
        <v>385908.10968650255</v>
      </c>
      <c r="I49" s="285">
        <f t="shared" si="3"/>
        <v>48387433.511709154</v>
      </c>
    </row>
    <row r="50" spans="5:15" x14ac:dyDescent="0.25">
      <c r="E50" s="10">
        <v>29</v>
      </c>
      <c r="F50" s="285">
        <f t="shared" si="0"/>
        <v>48387433.511709154</v>
      </c>
      <c r="G50" s="285">
        <f t="shared" si="1"/>
        <v>322582.89007806103</v>
      </c>
      <c r="H50" s="285">
        <f t="shared" si="2"/>
        <v>385908.10968650255</v>
      </c>
      <c r="I50" s="285">
        <f t="shared" si="3"/>
        <v>48324108.292100713</v>
      </c>
    </row>
    <row r="51" spans="5:15" x14ac:dyDescent="0.25">
      <c r="E51" s="10">
        <v>30</v>
      </c>
      <c r="F51" s="285">
        <f t="shared" si="0"/>
        <v>48324108.292100713</v>
      </c>
      <c r="G51" s="285">
        <f t="shared" si="1"/>
        <v>322160.72194733808</v>
      </c>
      <c r="H51" s="285">
        <f t="shared" si="2"/>
        <v>385908.10968650255</v>
      </c>
      <c r="I51" s="285">
        <f t="shared" si="3"/>
        <v>48260360.904361546</v>
      </c>
    </row>
    <row r="52" spans="5:15" x14ac:dyDescent="0.25">
      <c r="E52" s="10">
        <v>31</v>
      </c>
      <c r="F52" s="285">
        <f t="shared" si="0"/>
        <v>48260360.904361546</v>
      </c>
      <c r="G52" s="285">
        <f t="shared" si="1"/>
        <v>321735.73936241033</v>
      </c>
      <c r="H52" s="285">
        <f t="shared" si="2"/>
        <v>385908.10968650255</v>
      </c>
      <c r="I52" s="285">
        <f t="shared" si="3"/>
        <v>48196188.534037456</v>
      </c>
    </row>
    <row r="53" spans="5:15" x14ac:dyDescent="0.25">
      <c r="E53" s="10">
        <v>32</v>
      </c>
      <c r="F53" s="285">
        <f t="shared" si="0"/>
        <v>48196188.534037456</v>
      </c>
      <c r="G53" s="285">
        <f t="shared" si="1"/>
        <v>321307.92356024974</v>
      </c>
      <c r="H53" s="285">
        <f t="shared" si="2"/>
        <v>385908.10968650255</v>
      </c>
      <c r="I53" s="285">
        <f t="shared" si="3"/>
        <v>48131588.347911201</v>
      </c>
    </row>
    <row r="54" spans="5:15" x14ac:dyDescent="0.25">
      <c r="E54" s="10">
        <v>33</v>
      </c>
      <c r="F54" s="285">
        <f t="shared" si="0"/>
        <v>48131588.347911201</v>
      </c>
      <c r="G54" s="285">
        <f t="shared" si="1"/>
        <v>320877.25565274135</v>
      </c>
      <c r="H54" s="285">
        <f t="shared" si="2"/>
        <v>385908.10968650255</v>
      </c>
      <c r="I54" s="285">
        <f t="shared" si="3"/>
        <v>48066557.493877441</v>
      </c>
    </row>
    <row r="55" spans="5:15" x14ac:dyDescent="0.25">
      <c r="E55" s="10">
        <v>34</v>
      </c>
      <c r="F55" s="285">
        <f t="shared" si="0"/>
        <v>48066557.493877441</v>
      </c>
      <c r="G55" s="285">
        <f t="shared" si="1"/>
        <v>320443.7166258496</v>
      </c>
      <c r="H55" s="285">
        <f t="shared" si="2"/>
        <v>385908.10968650255</v>
      </c>
      <c r="I55" s="285">
        <f t="shared" si="3"/>
        <v>48001093.100816786</v>
      </c>
    </row>
    <row r="56" spans="5:15" x14ac:dyDescent="0.25">
      <c r="E56" s="10">
        <v>35</v>
      </c>
      <c r="F56" s="285">
        <f t="shared" si="0"/>
        <v>48001093.100816786</v>
      </c>
      <c r="G56" s="285">
        <f t="shared" si="1"/>
        <v>320007.28733877861</v>
      </c>
      <c r="H56" s="285">
        <f t="shared" si="2"/>
        <v>385908.10968650255</v>
      </c>
      <c r="I56" s="285">
        <f t="shared" si="3"/>
        <v>47935192.278469063</v>
      </c>
      <c r="K56" t="s">
        <v>523</v>
      </c>
      <c r="M56" t="s">
        <v>524</v>
      </c>
      <c r="O56" t="s">
        <v>525</v>
      </c>
    </row>
    <row r="57" spans="5:15" x14ac:dyDescent="0.25">
      <c r="E57" s="10">
        <v>36</v>
      </c>
      <c r="F57" s="285">
        <f t="shared" si="0"/>
        <v>47935192.278469063</v>
      </c>
      <c r="G57" s="285">
        <f t="shared" si="1"/>
        <v>319567.94852312712</v>
      </c>
      <c r="H57" s="285">
        <f t="shared" si="2"/>
        <v>385908.10968650255</v>
      </c>
      <c r="I57" s="286">
        <f t="shared" si="3"/>
        <v>47868852.117305689</v>
      </c>
      <c r="K57" s="1">
        <v>5000000</v>
      </c>
      <c r="M57" s="2">
        <f>I57-K57</f>
        <v>42868852.117305689</v>
      </c>
      <c r="O57" s="9">
        <f>PMT(K13,264,M57,0,0)</f>
        <v>-345599.21438013314</v>
      </c>
    </row>
    <row r="58" spans="5:15" x14ac:dyDescent="0.25">
      <c r="E58" s="10">
        <v>37</v>
      </c>
      <c r="F58" s="285">
        <f t="shared" si="0"/>
        <v>47868852.117305689</v>
      </c>
      <c r="G58" s="285">
        <f t="shared" si="1"/>
        <v>319125.68078203796</v>
      </c>
      <c r="H58" s="285">
        <f t="shared" si="2"/>
        <v>385908.10968650255</v>
      </c>
      <c r="I58" s="285">
        <f t="shared" si="3"/>
        <v>47802069.688401222</v>
      </c>
      <c r="K58">
        <f>E58</f>
        <v>37</v>
      </c>
      <c r="L58" s="1">
        <f>M57</f>
        <v>42868852.117305689</v>
      </c>
      <c r="M58" s="1">
        <f>L58*$K$13</f>
        <v>285792.34744870459</v>
      </c>
      <c r="N58" s="1">
        <f>ABS($O$57)</f>
        <v>345599.21438013314</v>
      </c>
      <c r="O58" s="1">
        <f>L58+M58-N58</f>
        <v>42809045.250374265</v>
      </c>
    </row>
    <row r="59" spans="5:15" x14ac:dyDescent="0.25">
      <c r="E59" s="10">
        <v>38</v>
      </c>
      <c r="F59" s="285">
        <f t="shared" si="0"/>
        <v>47802069.688401222</v>
      </c>
      <c r="G59" s="285">
        <f t="shared" si="1"/>
        <v>318680.46458934149</v>
      </c>
      <c r="H59" s="285">
        <f t="shared" si="2"/>
        <v>385908.10968650255</v>
      </c>
      <c r="I59" s="285">
        <f t="shared" si="3"/>
        <v>47734842.043304063</v>
      </c>
      <c r="K59">
        <f>E59</f>
        <v>38</v>
      </c>
      <c r="L59" s="1">
        <f>O58</f>
        <v>42809045.250374265</v>
      </c>
      <c r="M59" s="1">
        <f>L59*$K$13</f>
        <v>285393.63500249514</v>
      </c>
      <c r="N59" s="1">
        <f>ABS($O$57)</f>
        <v>345599.21438013314</v>
      </c>
      <c r="O59" s="1">
        <f>L59+M59-N59</f>
        <v>42748839.670996629</v>
      </c>
    </row>
    <row r="60" spans="5:15" x14ac:dyDescent="0.25">
      <c r="E60" s="10">
        <v>39</v>
      </c>
      <c r="F60" s="285">
        <f t="shared" si="0"/>
        <v>47734842.043304063</v>
      </c>
      <c r="G60" s="285">
        <f t="shared" si="1"/>
        <v>318232.28028869379</v>
      </c>
      <c r="H60" s="285">
        <f t="shared" si="2"/>
        <v>385908.10968650255</v>
      </c>
      <c r="I60" s="285">
        <f t="shared" si="3"/>
        <v>47667166.213906258</v>
      </c>
      <c r="K60">
        <f t="shared" ref="K60:K123" si="4">E60</f>
        <v>39</v>
      </c>
      <c r="L60" s="1">
        <f t="shared" ref="L60:L123" si="5">O59</f>
        <v>42748839.670996629</v>
      </c>
      <c r="M60" s="1">
        <f t="shared" ref="M60:M123" si="6">L60*$K$13</f>
        <v>284992.2644733109</v>
      </c>
      <c r="N60" s="1">
        <f t="shared" ref="N60:N123" si="7">ABS($O$57)</f>
        <v>345599.21438013314</v>
      </c>
      <c r="O60" s="1">
        <f t="shared" ref="O60:O123" si="8">L60+M60-N60</f>
        <v>42688232.72108981</v>
      </c>
    </row>
    <row r="61" spans="5:15" x14ac:dyDescent="0.25">
      <c r="E61" s="10">
        <v>40</v>
      </c>
      <c r="F61" s="285">
        <f t="shared" si="0"/>
        <v>47667166.213906258</v>
      </c>
      <c r="G61" s="285">
        <f t="shared" si="1"/>
        <v>317781.1080927084</v>
      </c>
      <c r="H61" s="285">
        <f t="shared" si="2"/>
        <v>385908.10968650255</v>
      </c>
      <c r="I61" s="285">
        <f t="shared" si="3"/>
        <v>47599039.212312467</v>
      </c>
      <c r="K61">
        <f t="shared" si="4"/>
        <v>40</v>
      </c>
      <c r="L61" s="1">
        <f t="shared" si="5"/>
        <v>42688232.72108981</v>
      </c>
      <c r="M61" s="1">
        <f t="shared" si="6"/>
        <v>284588.21814059874</v>
      </c>
      <c r="N61" s="1">
        <f t="shared" si="7"/>
        <v>345599.21438013314</v>
      </c>
      <c r="O61" s="1">
        <f t="shared" si="8"/>
        <v>42627221.724850282</v>
      </c>
    </row>
    <row r="62" spans="5:15" x14ac:dyDescent="0.25">
      <c r="E62" s="10">
        <v>41</v>
      </c>
      <c r="F62" s="285">
        <f t="shared" si="0"/>
        <v>47599039.212312467</v>
      </c>
      <c r="G62" s="285">
        <f t="shared" si="1"/>
        <v>317326.92808208312</v>
      </c>
      <c r="H62" s="285">
        <f t="shared" si="2"/>
        <v>385908.10968650255</v>
      </c>
      <c r="I62" s="285">
        <f t="shared" si="3"/>
        <v>47530458.030708052</v>
      </c>
      <c r="K62">
        <f t="shared" si="4"/>
        <v>41</v>
      </c>
      <c r="L62" s="1">
        <f t="shared" si="5"/>
        <v>42627221.724850282</v>
      </c>
      <c r="M62" s="1">
        <f t="shared" si="6"/>
        <v>284181.47816566855</v>
      </c>
      <c r="N62" s="1">
        <f t="shared" si="7"/>
        <v>345599.21438013314</v>
      </c>
      <c r="O62" s="1">
        <f t="shared" si="8"/>
        <v>42565803.988635823</v>
      </c>
    </row>
    <row r="63" spans="5:15" x14ac:dyDescent="0.25">
      <c r="E63" s="10">
        <v>42</v>
      </c>
      <c r="F63" s="285">
        <f t="shared" si="0"/>
        <v>47530458.030708052</v>
      </c>
      <c r="G63" s="285">
        <f t="shared" si="1"/>
        <v>316869.72020472039</v>
      </c>
      <c r="H63" s="285">
        <f t="shared" si="2"/>
        <v>385908.10968650255</v>
      </c>
      <c r="I63" s="285">
        <f t="shared" si="3"/>
        <v>47461419.641226269</v>
      </c>
      <c r="K63">
        <f t="shared" si="4"/>
        <v>42</v>
      </c>
      <c r="L63" s="1">
        <f t="shared" si="5"/>
        <v>42565803.988635823</v>
      </c>
      <c r="M63" s="1">
        <f t="shared" si="6"/>
        <v>283772.0265909055</v>
      </c>
      <c r="N63" s="1">
        <f t="shared" si="7"/>
        <v>345599.21438013314</v>
      </c>
      <c r="O63" s="1">
        <f t="shared" si="8"/>
        <v>42503976.800846599</v>
      </c>
    </row>
    <row r="64" spans="5:15" x14ac:dyDescent="0.25">
      <c r="E64" s="10">
        <v>43</v>
      </c>
      <c r="F64" s="285">
        <f t="shared" si="0"/>
        <v>47461419.641226269</v>
      </c>
      <c r="G64" s="285">
        <f t="shared" si="1"/>
        <v>316409.46427484183</v>
      </c>
      <c r="H64" s="285">
        <f t="shared" si="2"/>
        <v>385908.10968650255</v>
      </c>
      <c r="I64" s="285">
        <f t="shared" si="3"/>
        <v>47391920.995814607</v>
      </c>
      <c r="K64">
        <f t="shared" si="4"/>
        <v>43</v>
      </c>
      <c r="L64" s="1">
        <f t="shared" si="5"/>
        <v>42503976.800846599</v>
      </c>
      <c r="M64" s="1">
        <f t="shared" si="6"/>
        <v>283359.84533897735</v>
      </c>
      <c r="N64" s="1">
        <f t="shared" si="7"/>
        <v>345599.21438013314</v>
      </c>
      <c r="O64" s="1">
        <f t="shared" si="8"/>
        <v>42441737.431805447</v>
      </c>
    </row>
    <row r="65" spans="5:15" x14ac:dyDescent="0.25">
      <c r="E65" s="10">
        <v>44</v>
      </c>
      <c r="F65" s="285">
        <f t="shared" si="0"/>
        <v>47391920.995814607</v>
      </c>
      <c r="G65" s="285">
        <f t="shared" si="1"/>
        <v>315946.13997209742</v>
      </c>
      <c r="H65" s="285">
        <f t="shared" si="2"/>
        <v>385908.10968650255</v>
      </c>
      <c r="I65" s="285">
        <f t="shared" si="3"/>
        <v>47321959.026100203</v>
      </c>
      <c r="K65">
        <f t="shared" si="4"/>
        <v>44</v>
      </c>
      <c r="L65" s="1">
        <f t="shared" si="5"/>
        <v>42441737.431805447</v>
      </c>
      <c r="M65" s="1">
        <f t="shared" si="6"/>
        <v>282944.91621203633</v>
      </c>
      <c r="N65" s="1">
        <f t="shared" si="7"/>
        <v>345599.21438013314</v>
      </c>
      <c r="O65" s="1">
        <f t="shared" si="8"/>
        <v>42379083.133637354</v>
      </c>
    </row>
    <row r="66" spans="5:15" x14ac:dyDescent="0.25">
      <c r="E66" s="10">
        <v>45</v>
      </c>
      <c r="F66" s="285">
        <f t="shared" si="0"/>
        <v>47321959.026100203</v>
      </c>
      <c r="G66" s="285">
        <f t="shared" si="1"/>
        <v>315479.72684066807</v>
      </c>
      <c r="H66" s="285">
        <f t="shared" si="2"/>
        <v>385908.10968650255</v>
      </c>
      <c r="I66" s="285">
        <f t="shared" si="3"/>
        <v>47251530.643254369</v>
      </c>
      <c r="K66">
        <f t="shared" si="4"/>
        <v>45</v>
      </c>
      <c r="L66" s="1">
        <f t="shared" si="5"/>
        <v>42379083.133637354</v>
      </c>
      <c r="M66" s="1">
        <f t="shared" si="6"/>
        <v>282527.22089091572</v>
      </c>
      <c r="N66" s="1">
        <f t="shared" si="7"/>
        <v>345599.21438013314</v>
      </c>
      <c r="O66" s="1">
        <f t="shared" si="8"/>
        <v>42316011.14014814</v>
      </c>
    </row>
    <row r="67" spans="5:15" x14ac:dyDescent="0.25">
      <c r="E67" s="10">
        <v>46</v>
      </c>
      <c r="F67" s="285">
        <f t="shared" si="0"/>
        <v>47251530.643254369</v>
      </c>
      <c r="G67" s="285">
        <f t="shared" si="1"/>
        <v>315010.20428836247</v>
      </c>
      <c r="H67" s="285">
        <f t="shared" si="2"/>
        <v>385908.10968650255</v>
      </c>
      <c r="I67" s="285">
        <f t="shared" si="3"/>
        <v>47180632.737856232</v>
      </c>
      <c r="K67">
        <f t="shared" si="4"/>
        <v>46</v>
      </c>
      <c r="L67" s="1">
        <f t="shared" si="5"/>
        <v>42316011.14014814</v>
      </c>
      <c r="M67" s="1">
        <f t="shared" si="6"/>
        <v>282106.74093432096</v>
      </c>
      <c r="N67" s="1">
        <f t="shared" si="7"/>
        <v>345599.21438013314</v>
      </c>
      <c r="O67" s="1">
        <f t="shared" si="8"/>
        <v>42252518.66670233</v>
      </c>
    </row>
    <row r="68" spans="5:15" x14ac:dyDescent="0.25">
      <c r="E68" s="10">
        <v>47</v>
      </c>
      <c r="F68" s="285">
        <f t="shared" si="0"/>
        <v>47180632.737856232</v>
      </c>
      <c r="G68" s="285">
        <f t="shared" si="1"/>
        <v>314537.55158570822</v>
      </c>
      <c r="H68" s="285">
        <f t="shared" si="2"/>
        <v>385908.10968650255</v>
      </c>
      <c r="I68" s="285">
        <f t="shared" si="3"/>
        <v>47109262.179755442</v>
      </c>
      <c r="K68">
        <f t="shared" si="4"/>
        <v>47</v>
      </c>
      <c r="L68" s="1">
        <f t="shared" si="5"/>
        <v>42252518.66670233</v>
      </c>
      <c r="M68" s="1">
        <f t="shared" si="6"/>
        <v>281683.45777801552</v>
      </c>
      <c r="N68" s="1">
        <f t="shared" si="7"/>
        <v>345599.21438013314</v>
      </c>
      <c r="O68" s="1">
        <f t="shared" si="8"/>
        <v>42188602.910100214</v>
      </c>
    </row>
    <row r="69" spans="5:15" x14ac:dyDescent="0.25">
      <c r="E69" s="10">
        <v>48</v>
      </c>
      <c r="F69" s="285">
        <f t="shared" si="0"/>
        <v>47109262.179755442</v>
      </c>
      <c r="G69" s="285">
        <f t="shared" si="1"/>
        <v>314061.7478650363</v>
      </c>
      <c r="H69" s="285">
        <f t="shared" si="2"/>
        <v>385908.10968650255</v>
      </c>
      <c r="I69" s="285">
        <f t="shared" si="3"/>
        <v>47037415.817933977</v>
      </c>
      <c r="K69">
        <f t="shared" si="4"/>
        <v>48</v>
      </c>
      <c r="L69" s="1">
        <f t="shared" si="5"/>
        <v>42188602.910100214</v>
      </c>
      <c r="M69" s="1">
        <f t="shared" si="6"/>
        <v>281257.35273400147</v>
      </c>
      <c r="N69" s="1">
        <f t="shared" si="7"/>
        <v>345599.21438013314</v>
      </c>
      <c r="O69" s="1">
        <f t="shared" si="8"/>
        <v>42124261.048454084</v>
      </c>
    </row>
    <row r="70" spans="5:15" x14ac:dyDescent="0.25">
      <c r="E70" s="10">
        <v>49</v>
      </c>
      <c r="F70" s="285">
        <f t="shared" si="0"/>
        <v>47037415.817933977</v>
      </c>
      <c r="G70" s="285">
        <f t="shared" si="1"/>
        <v>313582.77211955987</v>
      </c>
      <c r="H70" s="285">
        <f t="shared" si="2"/>
        <v>385908.10968650255</v>
      </c>
      <c r="I70" s="285">
        <f t="shared" si="3"/>
        <v>46965090.480367035</v>
      </c>
      <c r="K70">
        <f t="shared" si="4"/>
        <v>49</v>
      </c>
      <c r="L70" s="1">
        <f t="shared" si="5"/>
        <v>42124261.048454084</v>
      </c>
      <c r="M70" s="1">
        <f t="shared" si="6"/>
        <v>280828.40698969393</v>
      </c>
      <c r="N70" s="1">
        <f t="shared" si="7"/>
        <v>345599.21438013314</v>
      </c>
      <c r="O70" s="1">
        <f t="shared" si="8"/>
        <v>42059490.241063647</v>
      </c>
    </row>
    <row r="71" spans="5:15" x14ac:dyDescent="0.25">
      <c r="E71" s="10">
        <v>50</v>
      </c>
      <c r="F71" s="285">
        <f t="shared" si="0"/>
        <v>46965090.480367035</v>
      </c>
      <c r="G71" s="285">
        <f t="shared" si="1"/>
        <v>313100.60320244695</v>
      </c>
      <c r="H71" s="285">
        <f t="shared" si="2"/>
        <v>385908.10968650255</v>
      </c>
      <c r="I71" s="285">
        <f t="shared" si="3"/>
        <v>46892282.973882981</v>
      </c>
      <c r="K71">
        <f t="shared" si="4"/>
        <v>50</v>
      </c>
      <c r="L71" s="1">
        <f t="shared" si="5"/>
        <v>42059490.241063647</v>
      </c>
      <c r="M71" s="1">
        <f t="shared" si="6"/>
        <v>280396.60160709103</v>
      </c>
      <c r="N71" s="1">
        <f t="shared" si="7"/>
        <v>345599.21438013314</v>
      </c>
      <c r="O71" s="1">
        <f t="shared" si="8"/>
        <v>41994287.628290609</v>
      </c>
    </row>
    <row r="72" spans="5:15" x14ac:dyDescent="0.25">
      <c r="E72" s="10">
        <v>51</v>
      </c>
      <c r="F72" s="285">
        <f t="shared" si="0"/>
        <v>46892282.973882981</v>
      </c>
      <c r="G72" s="285">
        <f t="shared" si="1"/>
        <v>312615.21982588654</v>
      </c>
      <c r="H72" s="285">
        <f t="shared" si="2"/>
        <v>385908.10968650255</v>
      </c>
      <c r="I72" s="285">
        <f t="shared" si="3"/>
        <v>46818990.084022366</v>
      </c>
      <c r="K72">
        <f t="shared" si="4"/>
        <v>51</v>
      </c>
      <c r="L72" s="1">
        <f t="shared" si="5"/>
        <v>41994287.628290609</v>
      </c>
      <c r="M72" s="1">
        <f t="shared" si="6"/>
        <v>279961.9175219374</v>
      </c>
      <c r="N72" s="1">
        <f t="shared" si="7"/>
        <v>345599.21438013314</v>
      </c>
      <c r="O72" s="1">
        <f t="shared" si="8"/>
        <v>41928650.331432417</v>
      </c>
    </row>
    <row r="73" spans="5:15" x14ac:dyDescent="0.25">
      <c r="E73" s="10">
        <v>52</v>
      </c>
      <c r="F73" s="285">
        <f t="shared" si="0"/>
        <v>46818990.084022366</v>
      </c>
      <c r="G73" s="285">
        <f t="shared" si="1"/>
        <v>312126.60056014912</v>
      </c>
      <c r="H73" s="285">
        <f t="shared" si="2"/>
        <v>385908.10968650255</v>
      </c>
      <c r="I73" s="285">
        <f t="shared" si="3"/>
        <v>46745208.574896015</v>
      </c>
      <c r="K73">
        <f t="shared" si="4"/>
        <v>52</v>
      </c>
      <c r="L73" s="1">
        <f t="shared" si="5"/>
        <v>41928650.331432417</v>
      </c>
      <c r="M73" s="1">
        <f t="shared" si="6"/>
        <v>279524.33554288279</v>
      </c>
      <c r="N73" s="1">
        <f t="shared" si="7"/>
        <v>345599.21438013314</v>
      </c>
      <c r="O73" s="1">
        <f t="shared" si="8"/>
        <v>41862575.452595167</v>
      </c>
    </row>
    <row r="74" spans="5:15" x14ac:dyDescent="0.25">
      <c r="E74" s="10">
        <v>53</v>
      </c>
      <c r="F74" s="285">
        <f t="shared" si="0"/>
        <v>46745208.574896015</v>
      </c>
      <c r="G74" s="285">
        <f t="shared" si="1"/>
        <v>311634.7238326401</v>
      </c>
      <c r="H74" s="285">
        <f t="shared" si="2"/>
        <v>385908.10968650255</v>
      </c>
      <c r="I74" s="285">
        <f t="shared" si="3"/>
        <v>46670935.189042151</v>
      </c>
      <c r="K74">
        <f t="shared" si="4"/>
        <v>53</v>
      </c>
      <c r="L74" s="1">
        <f t="shared" si="5"/>
        <v>41862575.452595167</v>
      </c>
      <c r="M74" s="1">
        <f t="shared" si="6"/>
        <v>279083.83635063446</v>
      </c>
      <c r="N74" s="1">
        <f t="shared" si="7"/>
        <v>345599.21438013314</v>
      </c>
      <c r="O74" s="1">
        <f t="shared" si="8"/>
        <v>41796060.074565671</v>
      </c>
    </row>
    <row r="75" spans="5:15" x14ac:dyDescent="0.25">
      <c r="E75" s="10">
        <v>54</v>
      </c>
      <c r="F75" s="285">
        <f t="shared" si="0"/>
        <v>46670935.189042151</v>
      </c>
      <c r="G75" s="285">
        <f t="shared" si="1"/>
        <v>311139.56792694767</v>
      </c>
      <c r="H75" s="285">
        <f t="shared" si="2"/>
        <v>385908.10968650255</v>
      </c>
      <c r="I75" s="285">
        <f t="shared" si="3"/>
        <v>46596166.6472826</v>
      </c>
      <c r="K75">
        <f t="shared" si="4"/>
        <v>54</v>
      </c>
      <c r="L75" s="1">
        <f t="shared" si="5"/>
        <v>41796060.074565671</v>
      </c>
      <c r="M75" s="1">
        <f t="shared" si="6"/>
        <v>278640.40049710451</v>
      </c>
      <c r="N75" s="1">
        <f t="shared" si="7"/>
        <v>345599.21438013314</v>
      </c>
      <c r="O75" s="1">
        <f t="shared" si="8"/>
        <v>41729101.260682642</v>
      </c>
    </row>
    <row r="76" spans="5:15" x14ac:dyDescent="0.25">
      <c r="E76" s="10">
        <v>55</v>
      </c>
      <c r="F76" s="285">
        <f t="shared" si="0"/>
        <v>46596166.6472826</v>
      </c>
      <c r="G76" s="285">
        <f t="shared" si="1"/>
        <v>310641.11098188401</v>
      </c>
      <c r="H76" s="285">
        <f t="shared" si="2"/>
        <v>385908.10968650255</v>
      </c>
      <c r="I76" s="285">
        <f t="shared" si="3"/>
        <v>46520899.648577981</v>
      </c>
      <c r="K76">
        <f t="shared" si="4"/>
        <v>55</v>
      </c>
      <c r="L76" s="1">
        <f t="shared" si="5"/>
        <v>41729101.260682642</v>
      </c>
      <c r="M76" s="1">
        <f t="shared" si="6"/>
        <v>278194.00840455096</v>
      </c>
      <c r="N76" s="1">
        <f t="shared" si="7"/>
        <v>345599.21438013314</v>
      </c>
      <c r="O76" s="1">
        <f t="shared" si="8"/>
        <v>41661696.054707065</v>
      </c>
    </row>
    <row r="77" spans="5:15" x14ac:dyDescent="0.25">
      <c r="E77" s="10">
        <v>56</v>
      </c>
      <c r="F77" s="285">
        <f t="shared" si="0"/>
        <v>46520899.648577981</v>
      </c>
      <c r="G77" s="285">
        <f t="shared" si="1"/>
        <v>310139.3309905199</v>
      </c>
      <c r="H77" s="285">
        <f t="shared" si="2"/>
        <v>385908.10968650255</v>
      </c>
      <c r="I77" s="285">
        <f t="shared" si="3"/>
        <v>46445130.869882002</v>
      </c>
      <c r="K77">
        <f t="shared" si="4"/>
        <v>56</v>
      </c>
      <c r="L77" s="1">
        <f t="shared" si="5"/>
        <v>41661696.054707065</v>
      </c>
      <c r="M77" s="1">
        <f t="shared" si="6"/>
        <v>277744.64036471379</v>
      </c>
      <c r="N77" s="1">
        <f t="shared" si="7"/>
        <v>345599.21438013314</v>
      </c>
      <c r="O77" s="1">
        <f t="shared" si="8"/>
        <v>41593841.480691649</v>
      </c>
    </row>
    <row r="78" spans="5:15" x14ac:dyDescent="0.25">
      <c r="E78" s="10">
        <v>57</v>
      </c>
      <c r="F78" s="285">
        <f t="shared" si="0"/>
        <v>46445130.869882002</v>
      </c>
      <c r="G78" s="285">
        <f t="shared" si="1"/>
        <v>309634.20579921338</v>
      </c>
      <c r="H78" s="285">
        <f t="shared" si="2"/>
        <v>385908.10968650255</v>
      </c>
      <c r="I78" s="285">
        <f t="shared" si="3"/>
        <v>46368856.965994716</v>
      </c>
      <c r="K78">
        <f t="shared" si="4"/>
        <v>57</v>
      </c>
      <c r="L78" s="1">
        <f t="shared" si="5"/>
        <v>41593841.480691649</v>
      </c>
      <c r="M78" s="1">
        <f t="shared" si="6"/>
        <v>277292.27653794433</v>
      </c>
      <c r="N78" s="1">
        <f t="shared" si="7"/>
        <v>345599.21438013314</v>
      </c>
      <c r="O78" s="1">
        <f t="shared" si="8"/>
        <v>41525534.542849466</v>
      </c>
    </row>
    <row r="79" spans="5:15" x14ac:dyDescent="0.25">
      <c r="E79" s="10">
        <v>58</v>
      </c>
      <c r="F79" s="285">
        <f t="shared" si="0"/>
        <v>46368856.965994716</v>
      </c>
      <c r="G79" s="285">
        <f t="shared" si="1"/>
        <v>309125.71310663148</v>
      </c>
      <c r="H79" s="285">
        <f t="shared" si="2"/>
        <v>385908.10968650255</v>
      </c>
      <c r="I79" s="285">
        <f t="shared" si="3"/>
        <v>46292074.569414847</v>
      </c>
      <c r="K79">
        <f t="shared" si="4"/>
        <v>58</v>
      </c>
      <c r="L79" s="1">
        <f t="shared" si="5"/>
        <v>41525534.542849466</v>
      </c>
      <c r="M79" s="1">
        <f t="shared" si="6"/>
        <v>276836.89695232979</v>
      </c>
      <c r="N79" s="1">
        <f t="shared" si="7"/>
        <v>345599.21438013314</v>
      </c>
      <c r="O79" s="1">
        <f t="shared" si="8"/>
        <v>41456772.225421667</v>
      </c>
    </row>
    <row r="80" spans="5:15" x14ac:dyDescent="0.25">
      <c r="E80" s="10">
        <v>59</v>
      </c>
      <c r="F80" s="285">
        <f t="shared" si="0"/>
        <v>46292074.569414847</v>
      </c>
      <c r="G80" s="285">
        <f t="shared" si="1"/>
        <v>308613.83046276565</v>
      </c>
      <c r="H80" s="285">
        <f t="shared" si="2"/>
        <v>385908.10968650255</v>
      </c>
      <c r="I80" s="285">
        <f t="shared" si="3"/>
        <v>46214780.290191114</v>
      </c>
      <c r="K80">
        <f t="shared" si="4"/>
        <v>59</v>
      </c>
      <c r="L80" s="1">
        <f t="shared" si="5"/>
        <v>41456772.225421667</v>
      </c>
      <c r="M80" s="1">
        <f t="shared" si="6"/>
        <v>276378.48150281113</v>
      </c>
      <c r="N80" s="1">
        <f t="shared" si="7"/>
        <v>345599.21438013314</v>
      </c>
      <c r="O80" s="1">
        <f t="shared" si="8"/>
        <v>41387551.492544346</v>
      </c>
    </row>
    <row r="81" spans="5:15" x14ac:dyDescent="0.25">
      <c r="E81" s="10">
        <v>60</v>
      </c>
      <c r="F81" s="285">
        <f t="shared" si="0"/>
        <v>46214780.290191114</v>
      </c>
      <c r="G81" s="285">
        <f t="shared" si="1"/>
        <v>308098.53526794078</v>
      </c>
      <c r="H81" s="285">
        <f t="shared" si="2"/>
        <v>385908.10968650255</v>
      </c>
      <c r="I81" s="285">
        <f t="shared" si="3"/>
        <v>46136970.715772554</v>
      </c>
      <c r="K81">
        <f t="shared" si="4"/>
        <v>60</v>
      </c>
      <c r="L81" s="1">
        <f t="shared" si="5"/>
        <v>41387551.492544346</v>
      </c>
      <c r="M81" s="1">
        <f t="shared" si="6"/>
        <v>275917.00995029567</v>
      </c>
      <c r="N81" s="1">
        <f t="shared" si="7"/>
        <v>345599.21438013314</v>
      </c>
      <c r="O81" s="1">
        <f t="shared" si="8"/>
        <v>41317869.28811451</v>
      </c>
    </row>
    <row r="82" spans="5:15" x14ac:dyDescent="0.25">
      <c r="E82" s="10">
        <v>61</v>
      </c>
      <c r="F82" s="285">
        <f t="shared" si="0"/>
        <v>46136970.715772554</v>
      </c>
      <c r="G82" s="285">
        <f t="shared" si="1"/>
        <v>307579.80477181706</v>
      </c>
      <c r="H82" s="285">
        <f t="shared" si="2"/>
        <v>385908.10968650255</v>
      </c>
      <c r="I82" s="285">
        <f t="shared" si="3"/>
        <v>46058642.410857871</v>
      </c>
      <c r="K82">
        <f t="shared" si="4"/>
        <v>61</v>
      </c>
      <c r="L82" s="1">
        <f t="shared" si="5"/>
        <v>41317869.28811451</v>
      </c>
      <c r="M82" s="1">
        <f t="shared" si="6"/>
        <v>275452.46192076342</v>
      </c>
      <c r="N82" s="1">
        <f t="shared" si="7"/>
        <v>345599.21438013314</v>
      </c>
      <c r="O82" s="1">
        <f t="shared" si="8"/>
        <v>41247722.535655141</v>
      </c>
    </row>
    <row r="83" spans="5:15" x14ac:dyDescent="0.25">
      <c r="E83" s="10">
        <v>62</v>
      </c>
      <c r="F83" s="285">
        <f t="shared" si="0"/>
        <v>46058642.410857871</v>
      </c>
      <c r="G83" s="285">
        <f t="shared" si="1"/>
        <v>307057.6160723858</v>
      </c>
      <c r="H83" s="285">
        <f t="shared" si="2"/>
        <v>385908.10968650255</v>
      </c>
      <c r="I83" s="285">
        <f t="shared" si="3"/>
        <v>45979791.917243756</v>
      </c>
      <c r="K83">
        <f t="shared" si="4"/>
        <v>62</v>
      </c>
      <c r="L83" s="1">
        <f t="shared" si="5"/>
        <v>41247722.535655141</v>
      </c>
      <c r="M83" s="1">
        <f t="shared" si="6"/>
        <v>274984.81690436765</v>
      </c>
      <c r="N83" s="1">
        <f t="shared" si="7"/>
        <v>345599.21438013314</v>
      </c>
      <c r="O83" s="1">
        <f t="shared" si="8"/>
        <v>41177108.138179377</v>
      </c>
    </row>
    <row r="84" spans="5:15" x14ac:dyDescent="0.25">
      <c r="E84" s="10">
        <v>63</v>
      </c>
      <c r="F84" s="285">
        <f t="shared" si="0"/>
        <v>45979791.917243756</v>
      </c>
      <c r="G84" s="285">
        <f t="shared" si="1"/>
        <v>306531.94611495838</v>
      </c>
      <c r="H84" s="285">
        <f t="shared" si="2"/>
        <v>385908.10968650255</v>
      </c>
      <c r="I84" s="285">
        <f t="shared" si="3"/>
        <v>45900415.753672212</v>
      </c>
      <c r="K84">
        <f t="shared" si="4"/>
        <v>63</v>
      </c>
      <c r="L84" s="1">
        <f t="shared" si="5"/>
        <v>41177108.138179377</v>
      </c>
      <c r="M84" s="1">
        <f t="shared" si="6"/>
        <v>274514.05425452918</v>
      </c>
      <c r="N84" s="1">
        <f t="shared" si="7"/>
        <v>345599.21438013314</v>
      </c>
      <c r="O84" s="1">
        <f t="shared" si="8"/>
        <v>41106022.978053778</v>
      </c>
    </row>
    <row r="85" spans="5:15" x14ac:dyDescent="0.25">
      <c r="E85" s="10">
        <v>64</v>
      </c>
      <c r="F85" s="285">
        <f t="shared" si="0"/>
        <v>45900415.753672212</v>
      </c>
      <c r="G85" s="285">
        <f t="shared" si="1"/>
        <v>306002.77169114811</v>
      </c>
      <c r="H85" s="285">
        <f t="shared" si="2"/>
        <v>385908.10968650255</v>
      </c>
      <c r="I85" s="285">
        <f t="shared" si="3"/>
        <v>45820510.415676862</v>
      </c>
      <c r="K85">
        <f t="shared" si="4"/>
        <v>64</v>
      </c>
      <c r="L85" s="1">
        <f t="shared" si="5"/>
        <v>41106022.978053778</v>
      </c>
      <c r="M85" s="1">
        <f t="shared" si="6"/>
        <v>274040.15318702522</v>
      </c>
      <c r="N85" s="1">
        <f t="shared" si="7"/>
        <v>345599.21438013314</v>
      </c>
      <c r="O85" s="1">
        <f t="shared" si="8"/>
        <v>41034463.91686067</v>
      </c>
    </row>
    <row r="86" spans="5:15" x14ac:dyDescent="0.25">
      <c r="E86" s="10">
        <v>65</v>
      </c>
      <c r="F86" s="285">
        <f t="shared" si="0"/>
        <v>45820510.415676862</v>
      </c>
      <c r="G86" s="285">
        <f t="shared" si="1"/>
        <v>305470.06943784578</v>
      </c>
      <c r="H86" s="285">
        <f t="shared" si="2"/>
        <v>385908.10968650255</v>
      </c>
      <c r="I86" s="285">
        <f t="shared" si="3"/>
        <v>45740072.375428207</v>
      </c>
      <c r="K86">
        <f t="shared" si="4"/>
        <v>65</v>
      </c>
      <c r="L86" s="1">
        <f t="shared" si="5"/>
        <v>41034463.91686067</v>
      </c>
      <c r="M86" s="1">
        <f t="shared" si="6"/>
        <v>273563.09277907113</v>
      </c>
      <c r="N86" s="1">
        <f t="shared" si="7"/>
        <v>345599.21438013314</v>
      </c>
      <c r="O86" s="1">
        <f t="shared" si="8"/>
        <v>40962427.79525961</v>
      </c>
    </row>
    <row r="87" spans="5:15" x14ac:dyDescent="0.25">
      <c r="E87" s="10">
        <v>66</v>
      </c>
      <c r="F87" s="285">
        <f t="shared" si="0"/>
        <v>45740072.375428207</v>
      </c>
      <c r="G87" s="285">
        <f t="shared" si="1"/>
        <v>304933.81583618809</v>
      </c>
      <c r="H87" s="285">
        <f t="shared" si="2"/>
        <v>385908.10968650255</v>
      </c>
      <c r="I87" s="285">
        <f t="shared" si="3"/>
        <v>45659098.081577897</v>
      </c>
      <c r="K87">
        <f t="shared" si="4"/>
        <v>66</v>
      </c>
      <c r="L87" s="1">
        <f t="shared" si="5"/>
        <v>40962427.79525961</v>
      </c>
      <c r="M87" s="1">
        <f t="shared" si="6"/>
        <v>273082.85196839744</v>
      </c>
      <c r="N87" s="1">
        <f t="shared" si="7"/>
        <v>345599.21438013314</v>
      </c>
      <c r="O87" s="1">
        <f t="shared" si="8"/>
        <v>40889911.43284788</v>
      </c>
    </row>
    <row r="88" spans="5:15" x14ac:dyDescent="0.25">
      <c r="E88" s="10">
        <v>67</v>
      </c>
      <c r="F88" s="285">
        <f t="shared" ref="F88:F151" si="9">I87</f>
        <v>45659098.081577897</v>
      </c>
      <c r="G88" s="285">
        <f t="shared" ref="G88:G151" si="10">F88*$K$13</f>
        <v>304393.98721051932</v>
      </c>
      <c r="H88" s="285">
        <f t="shared" ref="H88:H151" si="11">$G$17</f>
        <v>385908.10968650255</v>
      </c>
      <c r="I88" s="285">
        <f t="shared" ref="I88:I151" si="12">F88+G88-H88</f>
        <v>45577583.959101915</v>
      </c>
      <c r="K88">
        <f t="shared" si="4"/>
        <v>67</v>
      </c>
      <c r="L88" s="1">
        <f t="shared" si="5"/>
        <v>40889911.43284788</v>
      </c>
      <c r="M88" s="1">
        <f t="shared" si="6"/>
        <v>272599.40955231921</v>
      </c>
      <c r="N88" s="1">
        <f t="shared" si="7"/>
        <v>345599.21438013314</v>
      </c>
      <c r="O88" s="1">
        <f t="shared" si="8"/>
        <v>40816911.62802007</v>
      </c>
    </row>
    <row r="89" spans="5:15" x14ac:dyDescent="0.25">
      <c r="E89" s="10">
        <v>68</v>
      </c>
      <c r="F89" s="285">
        <f t="shared" si="9"/>
        <v>45577583.959101915</v>
      </c>
      <c r="G89" s="285">
        <f t="shared" si="10"/>
        <v>303850.55972734612</v>
      </c>
      <c r="H89" s="285">
        <f t="shared" si="11"/>
        <v>385908.10968650255</v>
      </c>
      <c r="I89" s="285">
        <f t="shared" si="12"/>
        <v>45495526.409142762</v>
      </c>
      <c r="K89">
        <f t="shared" si="4"/>
        <v>68</v>
      </c>
      <c r="L89" s="1">
        <f t="shared" si="5"/>
        <v>40816911.62802007</v>
      </c>
      <c r="M89" s="1">
        <f t="shared" si="6"/>
        <v>272112.7441868005</v>
      </c>
      <c r="N89" s="1">
        <f t="shared" si="7"/>
        <v>345599.21438013314</v>
      </c>
      <c r="O89" s="1">
        <f t="shared" si="8"/>
        <v>40743425.157826744</v>
      </c>
    </row>
    <row r="90" spans="5:15" x14ac:dyDescent="0.25">
      <c r="E90" s="10">
        <v>69</v>
      </c>
      <c r="F90" s="285">
        <f t="shared" si="9"/>
        <v>45495526.409142762</v>
      </c>
      <c r="G90" s="285">
        <f t="shared" si="10"/>
        <v>303303.50939428509</v>
      </c>
      <c r="H90" s="285">
        <f t="shared" si="11"/>
        <v>385908.10968650255</v>
      </c>
      <c r="I90" s="285">
        <f t="shared" si="12"/>
        <v>45412921.808850549</v>
      </c>
      <c r="K90">
        <f t="shared" si="4"/>
        <v>69</v>
      </c>
      <c r="L90" s="1">
        <f t="shared" si="5"/>
        <v>40743425.157826744</v>
      </c>
      <c r="M90" s="1">
        <f t="shared" si="6"/>
        <v>271622.83438551164</v>
      </c>
      <c r="N90" s="1">
        <f t="shared" si="7"/>
        <v>345599.21438013314</v>
      </c>
      <c r="O90" s="1">
        <f t="shared" si="8"/>
        <v>40669448.777832128</v>
      </c>
    </row>
    <row r="91" spans="5:15" x14ac:dyDescent="0.25">
      <c r="E91" s="10">
        <v>70</v>
      </c>
      <c r="F91" s="285">
        <f t="shared" si="9"/>
        <v>45412921.808850549</v>
      </c>
      <c r="G91" s="285">
        <f t="shared" si="10"/>
        <v>302752.81205900369</v>
      </c>
      <c r="H91" s="285">
        <f t="shared" si="11"/>
        <v>385908.10968650255</v>
      </c>
      <c r="I91" s="285">
        <f t="shared" si="12"/>
        <v>45329766.511223048</v>
      </c>
      <c r="K91">
        <f t="shared" si="4"/>
        <v>70</v>
      </c>
      <c r="L91" s="1">
        <f t="shared" si="5"/>
        <v>40669448.777832128</v>
      </c>
      <c r="M91" s="1">
        <f t="shared" si="6"/>
        <v>271129.6585188809</v>
      </c>
      <c r="N91" s="1">
        <f t="shared" si="7"/>
        <v>345599.21438013314</v>
      </c>
      <c r="O91" s="1">
        <f t="shared" si="8"/>
        <v>40594979.221970879</v>
      </c>
    </row>
    <row r="92" spans="5:15" x14ac:dyDescent="0.25">
      <c r="E92" s="10">
        <v>71</v>
      </c>
      <c r="F92" s="285">
        <f t="shared" si="9"/>
        <v>45329766.511223048</v>
      </c>
      <c r="G92" s="285">
        <f t="shared" si="10"/>
        <v>302198.44340815366</v>
      </c>
      <c r="H92" s="285">
        <f t="shared" si="11"/>
        <v>385908.10968650255</v>
      </c>
      <c r="I92" s="285">
        <f t="shared" si="12"/>
        <v>45246056.844944701</v>
      </c>
      <c r="K92">
        <f t="shared" si="4"/>
        <v>71</v>
      </c>
      <c r="L92" s="1">
        <f t="shared" si="5"/>
        <v>40594979.221970879</v>
      </c>
      <c r="M92" s="1">
        <f t="shared" si="6"/>
        <v>270633.19481313921</v>
      </c>
      <c r="N92" s="1">
        <f t="shared" si="7"/>
        <v>345599.21438013314</v>
      </c>
      <c r="O92" s="1">
        <f t="shared" si="8"/>
        <v>40520013.202403888</v>
      </c>
    </row>
    <row r="93" spans="5:15" x14ac:dyDescent="0.25">
      <c r="E93" s="10">
        <v>72</v>
      </c>
      <c r="F93" s="285">
        <f t="shared" si="9"/>
        <v>45246056.844944701</v>
      </c>
      <c r="G93" s="285">
        <f t="shared" si="10"/>
        <v>301640.37896629801</v>
      </c>
      <c r="H93" s="285">
        <f t="shared" si="11"/>
        <v>385908.10968650255</v>
      </c>
      <c r="I93" s="285">
        <f t="shared" si="12"/>
        <v>45161789.114224501</v>
      </c>
      <c r="K93">
        <f t="shared" si="4"/>
        <v>72</v>
      </c>
      <c r="L93" s="1">
        <f t="shared" si="5"/>
        <v>40520013.202403888</v>
      </c>
      <c r="M93" s="1">
        <f t="shared" si="6"/>
        <v>270133.42134935927</v>
      </c>
      <c r="N93" s="1">
        <f t="shared" si="7"/>
        <v>345599.21438013314</v>
      </c>
      <c r="O93" s="1">
        <f t="shared" si="8"/>
        <v>40444547.409373119</v>
      </c>
    </row>
    <row r="94" spans="5:15" x14ac:dyDescent="0.25">
      <c r="E94" s="10">
        <v>73</v>
      </c>
      <c r="F94" s="285">
        <f t="shared" si="9"/>
        <v>45161789.114224501</v>
      </c>
      <c r="G94" s="285">
        <f t="shared" si="10"/>
        <v>301078.59409483004</v>
      </c>
      <c r="H94" s="285">
        <f t="shared" si="11"/>
        <v>385908.10968650255</v>
      </c>
      <c r="I94" s="285">
        <f t="shared" si="12"/>
        <v>45076959.598632827</v>
      </c>
      <c r="K94">
        <f t="shared" si="4"/>
        <v>73</v>
      </c>
      <c r="L94" s="1">
        <f t="shared" si="5"/>
        <v>40444547.409373119</v>
      </c>
      <c r="M94" s="1">
        <f t="shared" si="6"/>
        <v>269630.31606248749</v>
      </c>
      <c r="N94" s="1">
        <f t="shared" si="7"/>
        <v>345599.21438013314</v>
      </c>
      <c r="O94" s="1">
        <f t="shared" si="8"/>
        <v>40368578.511055477</v>
      </c>
    </row>
    <row r="95" spans="5:15" x14ac:dyDescent="0.25">
      <c r="E95" s="10">
        <v>74</v>
      </c>
      <c r="F95" s="285">
        <f t="shared" si="9"/>
        <v>45076959.598632827</v>
      </c>
      <c r="G95" s="285">
        <f t="shared" si="10"/>
        <v>300513.06399088551</v>
      </c>
      <c r="H95" s="285">
        <f t="shared" si="11"/>
        <v>385908.10968650255</v>
      </c>
      <c r="I95" s="285">
        <f t="shared" si="12"/>
        <v>44991564.55293721</v>
      </c>
      <c r="K95">
        <f t="shared" si="4"/>
        <v>74</v>
      </c>
      <c r="L95" s="1">
        <f t="shared" si="5"/>
        <v>40368578.511055477</v>
      </c>
      <c r="M95" s="1">
        <f t="shared" si="6"/>
        <v>269123.85674036987</v>
      </c>
      <c r="N95" s="1">
        <f t="shared" si="7"/>
        <v>345599.21438013314</v>
      </c>
      <c r="O95" s="1">
        <f t="shared" si="8"/>
        <v>40292103.153415717</v>
      </c>
    </row>
    <row r="96" spans="5:15" x14ac:dyDescent="0.25">
      <c r="E96" s="10">
        <v>75</v>
      </c>
      <c r="F96" s="285">
        <f t="shared" si="9"/>
        <v>44991564.55293721</v>
      </c>
      <c r="G96" s="285">
        <f t="shared" si="10"/>
        <v>299943.7636862481</v>
      </c>
      <c r="H96" s="285">
        <f t="shared" si="11"/>
        <v>385908.10968650255</v>
      </c>
      <c r="I96" s="285">
        <f t="shared" si="12"/>
        <v>44905600.206936955</v>
      </c>
      <c r="K96">
        <f t="shared" si="4"/>
        <v>75</v>
      </c>
      <c r="L96" s="1">
        <f t="shared" si="5"/>
        <v>40292103.153415717</v>
      </c>
      <c r="M96" s="1">
        <f t="shared" si="6"/>
        <v>268614.02102277149</v>
      </c>
      <c r="N96" s="1">
        <f t="shared" si="7"/>
        <v>345599.21438013314</v>
      </c>
      <c r="O96" s="1">
        <f t="shared" si="8"/>
        <v>40215117.960058361</v>
      </c>
    </row>
    <row r="97" spans="5:15" x14ac:dyDescent="0.25">
      <c r="E97" s="10">
        <v>76</v>
      </c>
      <c r="F97" s="285">
        <f t="shared" si="9"/>
        <v>44905600.206936955</v>
      </c>
      <c r="G97" s="285">
        <f t="shared" si="10"/>
        <v>299370.6680462464</v>
      </c>
      <c r="H97" s="285">
        <f t="shared" si="11"/>
        <v>385908.10968650255</v>
      </c>
      <c r="I97" s="285">
        <f t="shared" si="12"/>
        <v>44819062.765296698</v>
      </c>
      <c r="K97">
        <f t="shared" si="4"/>
        <v>76</v>
      </c>
      <c r="L97" s="1">
        <f t="shared" si="5"/>
        <v>40215117.960058361</v>
      </c>
      <c r="M97" s="1">
        <f t="shared" si="6"/>
        <v>268100.7864003891</v>
      </c>
      <c r="N97" s="1">
        <f t="shared" si="7"/>
        <v>345599.21438013314</v>
      </c>
      <c r="O97" s="1">
        <f t="shared" si="8"/>
        <v>40137619.532078624</v>
      </c>
    </row>
    <row r="98" spans="5:15" x14ac:dyDescent="0.25">
      <c r="E98" s="10">
        <v>77</v>
      </c>
      <c r="F98" s="285">
        <f t="shared" si="9"/>
        <v>44819062.765296698</v>
      </c>
      <c r="G98" s="285">
        <f t="shared" si="10"/>
        <v>298793.75176864467</v>
      </c>
      <c r="H98" s="285">
        <f t="shared" si="11"/>
        <v>385908.10968650255</v>
      </c>
      <c r="I98" s="285">
        <f t="shared" si="12"/>
        <v>44731948.407378837</v>
      </c>
      <c r="K98">
        <f t="shared" si="4"/>
        <v>77</v>
      </c>
      <c r="L98" s="1">
        <f t="shared" si="5"/>
        <v>40137619.532078624</v>
      </c>
      <c r="M98" s="1">
        <f t="shared" si="6"/>
        <v>267584.13021385751</v>
      </c>
      <c r="N98" s="1">
        <f t="shared" si="7"/>
        <v>345599.21438013314</v>
      </c>
      <c r="O98" s="1">
        <f t="shared" si="8"/>
        <v>40059604.44791235</v>
      </c>
    </row>
    <row r="99" spans="5:15" x14ac:dyDescent="0.25">
      <c r="E99" s="10">
        <v>78</v>
      </c>
      <c r="F99" s="285">
        <f t="shared" si="9"/>
        <v>44731948.407378837</v>
      </c>
      <c r="G99" s="285">
        <f t="shared" si="10"/>
        <v>298212.98938252561</v>
      </c>
      <c r="H99" s="285">
        <f t="shared" si="11"/>
        <v>385908.10968650255</v>
      </c>
      <c r="I99" s="285">
        <f t="shared" si="12"/>
        <v>44644253.287074864</v>
      </c>
      <c r="K99">
        <f t="shared" si="4"/>
        <v>78</v>
      </c>
      <c r="L99" s="1">
        <f t="shared" si="5"/>
        <v>40059604.44791235</v>
      </c>
      <c r="M99" s="1">
        <f t="shared" si="6"/>
        <v>267064.02965274901</v>
      </c>
      <c r="N99" s="1">
        <f t="shared" si="7"/>
        <v>345599.21438013314</v>
      </c>
      <c r="O99" s="1">
        <f t="shared" si="8"/>
        <v>39981069.263184972</v>
      </c>
    </row>
    <row r="100" spans="5:15" x14ac:dyDescent="0.25">
      <c r="E100" s="10">
        <v>79</v>
      </c>
      <c r="F100" s="285">
        <f t="shared" si="9"/>
        <v>44644253.287074864</v>
      </c>
      <c r="G100" s="285">
        <f t="shared" si="10"/>
        <v>297628.35524716577</v>
      </c>
      <c r="H100" s="285">
        <f t="shared" si="11"/>
        <v>385908.10968650255</v>
      </c>
      <c r="I100" s="285">
        <f t="shared" si="12"/>
        <v>44555973.532635525</v>
      </c>
      <c r="K100">
        <f t="shared" si="4"/>
        <v>79</v>
      </c>
      <c r="L100" s="1">
        <f t="shared" si="5"/>
        <v>39981069.263184972</v>
      </c>
      <c r="M100" s="1">
        <f t="shared" si="6"/>
        <v>266540.46175456652</v>
      </c>
      <c r="N100" s="1">
        <f t="shared" si="7"/>
        <v>345599.21438013314</v>
      </c>
      <c r="O100" s="1">
        <f t="shared" si="8"/>
        <v>39902010.51055941</v>
      </c>
    </row>
    <row r="101" spans="5:15" x14ac:dyDescent="0.25">
      <c r="E101" s="10">
        <v>80</v>
      </c>
      <c r="F101" s="285">
        <f t="shared" si="9"/>
        <v>44555973.532635525</v>
      </c>
      <c r="G101" s="285">
        <f t="shared" si="10"/>
        <v>297039.82355090353</v>
      </c>
      <c r="H101" s="285">
        <f t="shared" si="11"/>
        <v>385908.10968650255</v>
      </c>
      <c r="I101" s="285">
        <f t="shared" si="12"/>
        <v>44467105.246499926</v>
      </c>
      <c r="K101">
        <f t="shared" si="4"/>
        <v>80</v>
      </c>
      <c r="L101" s="1">
        <f t="shared" si="5"/>
        <v>39902010.51055941</v>
      </c>
      <c r="M101" s="1">
        <f t="shared" si="6"/>
        <v>266013.40340372943</v>
      </c>
      <c r="N101" s="1">
        <f t="shared" si="7"/>
        <v>345599.21438013314</v>
      </c>
      <c r="O101" s="1">
        <f t="shared" si="8"/>
        <v>39822424.699583009</v>
      </c>
    </row>
    <row r="102" spans="5:15" x14ac:dyDescent="0.25">
      <c r="E102" s="10">
        <v>81</v>
      </c>
      <c r="F102" s="285">
        <f t="shared" si="9"/>
        <v>44467105.246499926</v>
      </c>
      <c r="G102" s="285">
        <f t="shared" si="10"/>
        <v>296447.36830999953</v>
      </c>
      <c r="H102" s="285">
        <f t="shared" si="11"/>
        <v>385908.10968650255</v>
      </c>
      <c r="I102" s="285">
        <f t="shared" si="12"/>
        <v>44377644.505123422</v>
      </c>
      <c r="K102">
        <f t="shared" si="4"/>
        <v>81</v>
      </c>
      <c r="L102" s="1">
        <f t="shared" si="5"/>
        <v>39822424.699583009</v>
      </c>
      <c r="M102" s="1">
        <f t="shared" si="6"/>
        <v>265482.8313305534</v>
      </c>
      <c r="N102" s="1">
        <f t="shared" si="7"/>
        <v>345599.21438013314</v>
      </c>
      <c r="O102" s="1">
        <f t="shared" si="8"/>
        <v>39742308.316533431</v>
      </c>
    </row>
    <row r="103" spans="5:15" x14ac:dyDescent="0.25">
      <c r="E103" s="10">
        <v>82</v>
      </c>
      <c r="F103" s="285">
        <f t="shared" si="9"/>
        <v>44377644.505123422</v>
      </c>
      <c r="G103" s="285">
        <f t="shared" si="10"/>
        <v>295850.96336748952</v>
      </c>
      <c r="H103" s="285">
        <f t="shared" si="11"/>
        <v>385908.10968650255</v>
      </c>
      <c r="I103" s="285">
        <f t="shared" si="12"/>
        <v>44287587.358804412</v>
      </c>
      <c r="K103">
        <f t="shared" si="4"/>
        <v>82</v>
      </c>
      <c r="L103" s="1">
        <f t="shared" si="5"/>
        <v>39742308.316533431</v>
      </c>
      <c r="M103" s="1">
        <f t="shared" si="6"/>
        <v>264948.72211022291</v>
      </c>
      <c r="N103" s="1">
        <f t="shared" si="7"/>
        <v>345599.21438013314</v>
      </c>
      <c r="O103" s="1">
        <f t="shared" si="8"/>
        <v>39661657.824263521</v>
      </c>
    </row>
    <row r="104" spans="5:15" x14ac:dyDescent="0.25">
      <c r="E104" s="10">
        <v>83</v>
      </c>
      <c r="F104" s="285">
        <f t="shared" si="9"/>
        <v>44287587.358804412</v>
      </c>
      <c r="G104" s="285">
        <f t="shared" si="10"/>
        <v>295250.58239202941</v>
      </c>
      <c r="H104" s="285">
        <f t="shared" si="11"/>
        <v>385908.10968650255</v>
      </c>
      <c r="I104" s="285">
        <f t="shared" si="12"/>
        <v>44196929.83150994</v>
      </c>
      <c r="K104">
        <f t="shared" si="4"/>
        <v>83</v>
      </c>
      <c r="L104" s="1">
        <f t="shared" si="5"/>
        <v>39661657.824263521</v>
      </c>
      <c r="M104" s="1">
        <f t="shared" si="6"/>
        <v>264411.05216175684</v>
      </c>
      <c r="N104" s="1">
        <f t="shared" si="7"/>
        <v>345599.21438013314</v>
      </c>
      <c r="O104" s="1">
        <f t="shared" si="8"/>
        <v>39580469.662045144</v>
      </c>
    </row>
    <row r="105" spans="5:15" x14ac:dyDescent="0.25">
      <c r="E105" s="10">
        <v>84</v>
      </c>
      <c r="F105" s="285">
        <f t="shared" si="9"/>
        <v>44196929.83150994</v>
      </c>
      <c r="G105" s="285">
        <f t="shared" si="10"/>
        <v>294646.19887673296</v>
      </c>
      <c r="H105" s="285">
        <f t="shared" si="11"/>
        <v>385908.10968650255</v>
      </c>
      <c r="I105" s="285">
        <f t="shared" si="12"/>
        <v>44105667.92070017</v>
      </c>
      <c r="K105">
        <f t="shared" si="4"/>
        <v>84</v>
      </c>
      <c r="L105" s="1">
        <f t="shared" si="5"/>
        <v>39580469.662045144</v>
      </c>
      <c r="M105" s="1">
        <f t="shared" si="6"/>
        <v>263869.79774696764</v>
      </c>
      <c r="N105" s="1">
        <f t="shared" si="7"/>
        <v>345599.21438013314</v>
      </c>
      <c r="O105" s="1">
        <f t="shared" si="8"/>
        <v>39498740.245411985</v>
      </c>
    </row>
    <row r="106" spans="5:15" x14ac:dyDescent="0.25">
      <c r="E106" s="10">
        <v>85</v>
      </c>
      <c r="F106" s="285">
        <f t="shared" si="9"/>
        <v>44105667.92070017</v>
      </c>
      <c r="G106" s="285">
        <f t="shared" si="10"/>
        <v>294037.78613800113</v>
      </c>
      <c r="H106" s="285">
        <f t="shared" si="11"/>
        <v>385908.10968650255</v>
      </c>
      <c r="I106" s="285">
        <f t="shared" si="12"/>
        <v>44013797.597151667</v>
      </c>
      <c r="K106">
        <f t="shared" si="4"/>
        <v>85</v>
      </c>
      <c r="L106" s="1">
        <f t="shared" si="5"/>
        <v>39498740.245411985</v>
      </c>
      <c r="M106" s="1">
        <f t="shared" si="6"/>
        <v>263324.93496941327</v>
      </c>
      <c r="N106" s="1">
        <f t="shared" si="7"/>
        <v>345599.21438013314</v>
      </c>
      <c r="O106" s="1">
        <f t="shared" si="8"/>
        <v>39416465.966001265</v>
      </c>
    </row>
    <row r="107" spans="5:15" x14ac:dyDescent="0.25">
      <c r="E107" s="10">
        <v>86</v>
      </c>
      <c r="F107" s="285">
        <f t="shared" si="9"/>
        <v>44013797.597151667</v>
      </c>
      <c r="G107" s="285">
        <f t="shared" si="10"/>
        <v>293425.31731434446</v>
      </c>
      <c r="H107" s="285">
        <f t="shared" si="11"/>
        <v>385908.10968650255</v>
      </c>
      <c r="I107" s="285">
        <f t="shared" si="12"/>
        <v>43921314.804779507</v>
      </c>
      <c r="K107">
        <f t="shared" si="4"/>
        <v>86</v>
      </c>
      <c r="L107" s="1">
        <f t="shared" si="5"/>
        <v>39416465.966001265</v>
      </c>
      <c r="M107" s="1">
        <f t="shared" si="6"/>
        <v>262776.43977334176</v>
      </c>
      <c r="N107" s="1">
        <f t="shared" si="7"/>
        <v>345599.21438013314</v>
      </c>
      <c r="O107" s="1">
        <f t="shared" si="8"/>
        <v>39333643.191394478</v>
      </c>
    </row>
    <row r="108" spans="5:15" x14ac:dyDescent="0.25">
      <c r="E108" s="10">
        <v>87</v>
      </c>
      <c r="F108" s="285">
        <f t="shared" si="9"/>
        <v>43921314.804779507</v>
      </c>
      <c r="G108" s="285">
        <f t="shared" si="10"/>
        <v>292808.76536519674</v>
      </c>
      <c r="H108" s="285">
        <f t="shared" si="11"/>
        <v>385908.10968650255</v>
      </c>
      <c r="I108" s="285">
        <f t="shared" si="12"/>
        <v>43828215.460458204</v>
      </c>
      <c r="K108">
        <f t="shared" si="4"/>
        <v>87</v>
      </c>
      <c r="L108" s="1">
        <f t="shared" si="5"/>
        <v>39333643.191394478</v>
      </c>
      <c r="M108" s="1">
        <f t="shared" si="6"/>
        <v>262224.28794262989</v>
      </c>
      <c r="N108" s="1">
        <f t="shared" si="7"/>
        <v>345599.21438013314</v>
      </c>
      <c r="O108" s="1">
        <f t="shared" si="8"/>
        <v>39250268.264956981</v>
      </c>
    </row>
    <row r="109" spans="5:15" x14ac:dyDescent="0.25">
      <c r="E109" s="10">
        <v>88</v>
      </c>
      <c r="F109" s="285">
        <f t="shared" si="9"/>
        <v>43828215.460458204</v>
      </c>
      <c r="G109" s="285">
        <f t="shared" si="10"/>
        <v>292188.10306972137</v>
      </c>
      <c r="H109" s="285">
        <f t="shared" si="11"/>
        <v>385908.10968650255</v>
      </c>
      <c r="I109" s="285">
        <f t="shared" si="12"/>
        <v>43734495.453841425</v>
      </c>
      <c r="K109">
        <f t="shared" si="4"/>
        <v>88</v>
      </c>
      <c r="L109" s="1">
        <f t="shared" si="5"/>
        <v>39250268.264956981</v>
      </c>
      <c r="M109" s="1">
        <f t="shared" si="6"/>
        <v>261668.45509971323</v>
      </c>
      <c r="N109" s="1">
        <f t="shared" si="7"/>
        <v>345599.21438013314</v>
      </c>
      <c r="O109" s="1">
        <f t="shared" si="8"/>
        <v>39166337.505676568</v>
      </c>
    </row>
    <row r="110" spans="5:15" x14ac:dyDescent="0.25">
      <c r="E110" s="10">
        <v>89</v>
      </c>
      <c r="F110" s="285">
        <f t="shared" si="9"/>
        <v>43734495.453841425</v>
      </c>
      <c r="G110" s="285">
        <f t="shared" si="10"/>
        <v>291563.30302560952</v>
      </c>
      <c r="H110" s="285">
        <f t="shared" si="11"/>
        <v>385908.10968650255</v>
      </c>
      <c r="I110" s="285">
        <f t="shared" si="12"/>
        <v>43640150.647180535</v>
      </c>
      <c r="K110">
        <f t="shared" si="4"/>
        <v>89</v>
      </c>
      <c r="L110" s="1">
        <f t="shared" si="5"/>
        <v>39166337.505676568</v>
      </c>
      <c r="M110" s="1">
        <f t="shared" si="6"/>
        <v>261108.91670451046</v>
      </c>
      <c r="N110" s="1">
        <f t="shared" si="7"/>
        <v>345599.21438013314</v>
      </c>
      <c r="O110" s="1">
        <f t="shared" si="8"/>
        <v>39081847.208000951</v>
      </c>
    </row>
    <row r="111" spans="5:15" x14ac:dyDescent="0.25">
      <c r="E111" s="10">
        <v>90</v>
      </c>
      <c r="F111" s="285">
        <f t="shared" si="9"/>
        <v>43640150.647180535</v>
      </c>
      <c r="G111" s="285">
        <f t="shared" si="10"/>
        <v>290934.33764787024</v>
      </c>
      <c r="H111" s="285">
        <f t="shared" si="11"/>
        <v>385908.10968650255</v>
      </c>
      <c r="I111" s="285">
        <f t="shared" si="12"/>
        <v>43545176.875141904</v>
      </c>
      <c r="K111">
        <f t="shared" si="4"/>
        <v>90</v>
      </c>
      <c r="L111" s="1">
        <f t="shared" si="5"/>
        <v>39081847.208000951</v>
      </c>
      <c r="M111" s="1">
        <f t="shared" si="6"/>
        <v>260545.64805333968</v>
      </c>
      <c r="N111" s="1">
        <f t="shared" si="7"/>
        <v>345599.21438013314</v>
      </c>
      <c r="O111" s="1">
        <f t="shared" si="8"/>
        <v>38996793.641674161</v>
      </c>
    </row>
    <row r="112" spans="5:15" x14ac:dyDescent="0.25">
      <c r="E112" s="10">
        <v>91</v>
      </c>
      <c r="F112" s="285">
        <f t="shared" si="9"/>
        <v>43545176.875141904</v>
      </c>
      <c r="G112" s="285">
        <f t="shared" si="10"/>
        <v>290301.17916761269</v>
      </c>
      <c r="H112" s="285">
        <f t="shared" si="11"/>
        <v>385908.10968650255</v>
      </c>
      <c r="I112" s="285">
        <f t="shared" si="12"/>
        <v>43449569.944623016</v>
      </c>
      <c r="K112">
        <f t="shared" si="4"/>
        <v>91</v>
      </c>
      <c r="L112" s="1">
        <f t="shared" si="5"/>
        <v>38996793.641674161</v>
      </c>
      <c r="M112" s="1">
        <f t="shared" si="6"/>
        <v>259978.62427782777</v>
      </c>
      <c r="N112" s="1">
        <f t="shared" si="7"/>
        <v>345599.21438013314</v>
      </c>
      <c r="O112" s="1">
        <f t="shared" si="8"/>
        <v>38911173.051571861</v>
      </c>
    </row>
    <row r="113" spans="5:15" x14ac:dyDescent="0.25">
      <c r="E113" s="10">
        <v>92</v>
      </c>
      <c r="F113" s="285">
        <f t="shared" si="9"/>
        <v>43449569.944623016</v>
      </c>
      <c r="G113" s="285">
        <f t="shared" si="10"/>
        <v>289663.79963082011</v>
      </c>
      <c r="H113" s="285">
        <f t="shared" si="11"/>
        <v>385908.10968650255</v>
      </c>
      <c r="I113" s="285">
        <f t="shared" si="12"/>
        <v>43353325.634567335</v>
      </c>
      <c r="K113">
        <f t="shared" si="4"/>
        <v>92</v>
      </c>
      <c r="L113" s="1">
        <f t="shared" si="5"/>
        <v>38911173.051571861</v>
      </c>
      <c r="M113" s="1">
        <f t="shared" si="6"/>
        <v>259407.82034381243</v>
      </c>
      <c r="N113" s="1">
        <f t="shared" si="7"/>
        <v>345599.21438013314</v>
      </c>
      <c r="O113" s="1">
        <f t="shared" si="8"/>
        <v>38824981.657535546</v>
      </c>
    </row>
    <row r="114" spans="5:15" x14ac:dyDescent="0.25">
      <c r="E114" s="10">
        <v>93</v>
      </c>
      <c r="F114" s="285">
        <f t="shared" si="9"/>
        <v>43353325.634567335</v>
      </c>
      <c r="G114" s="285">
        <f t="shared" si="10"/>
        <v>289022.1708971156</v>
      </c>
      <c r="H114" s="285">
        <f t="shared" si="11"/>
        <v>385908.10968650255</v>
      </c>
      <c r="I114" s="285">
        <f t="shared" si="12"/>
        <v>43256439.695777953</v>
      </c>
      <c r="K114">
        <f t="shared" si="4"/>
        <v>93</v>
      </c>
      <c r="L114" s="1">
        <f t="shared" si="5"/>
        <v>38824981.657535546</v>
      </c>
      <c r="M114" s="1">
        <f t="shared" si="6"/>
        <v>258833.21105023698</v>
      </c>
      <c r="N114" s="1">
        <f t="shared" si="7"/>
        <v>345599.21438013314</v>
      </c>
      <c r="O114" s="1">
        <f t="shared" si="8"/>
        <v>38738215.65420565</v>
      </c>
    </row>
    <row r="115" spans="5:15" x14ac:dyDescent="0.25">
      <c r="E115" s="10">
        <v>94</v>
      </c>
      <c r="F115" s="285">
        <f t="shared" si="9"/>
        <v>43256439.695777953</v>
      </c>
      <c r="G115" s="285">
        <f t="shared" si="10"/>
        <v>288376.26463851973</v>
      </c>
      <c r="H115" s="285">
        <f t="shared" si="11"/>
        <v>385908.10968650255</v>
      </c>
      <c r="I115" s="285">
        <f t="shared" si="12"/>
        <v>43158907.850729972</v>
      </c>
      <c r="K115">
        <f t="shared" si="4"/>
        <v>94</v>
      </c>
      <c r="L115" s="1">
        <f t="shared" si="5"/>
        <v>38738215.65420565</v>
      </c>
      <c r="M115" s="1">
        <f t="shared" si="6"/>
        <v>258254.77102803768</v>
      </c>
      <c r="N115" s="1">
        <f t="shared" si="7"/>
        <v>345599.21438013314</v>
      </c>
      <c r="O115" s="1">
        <f t="shared" si="8"/>
        <v>38650871.210853554</v>
      </c>
    </row>
    <row r="116" spans="5:15" x14ac:dyDescent="0.25">
      <c r="E116" s="10">
        <v>95</v>
      </c>
      <c r="F116" s="285">
        <f t="shared" si="9"/>
        <v>43158907.850729972</v>
      </c>
      <c r="G116" s="285">
        <f t="shared" si="10"/>
        <v>287726.05233819981</v>
      </c>
      <c r="H116" s="285">
        <f t="shared" si="11"/>
        <v>385908.10968650255</v>
      </c>
      <c r="I116" s="285">
        <f t="shared" si="12"/>
        <v>43060725.793381669</v>
      </c>
      <c r="K116">
        <f t="shared" si="4"/>
        <v>95</v>
      </c>
      <c r="L116" s="1">
        <f t="shared" si="5"/>
        <v>38650871.210853554</v>
      </c>
      <c r="M116" s="1">
        <f t="shared" si="6"/>
        <v>257672.47473902372</v>
      </c>
      <c r="N116" s="1">
        <f t="shared" si="7"/>
        <v>345599.21438013314</v>
      </c>
      <c r="O116" s="1">
        <f t="shared" si="8"/>
        <v>38562944.471212447</v>
      </c>
    </row>
    <row r="117" spans="5:15" x14ac:dyDescent="0.25">
      <c r="E117" s="10">
        <v>96</v>
      </c>
      <c r="F117" s="285">
        <f t="shared" si="9"/>
        <v>43060725.793381669</v>
      </c>
      <c r="G117" s="285">
        <f t="shared" si="10"/>
        <v>287071.50528921117</v>
      </c>
      <c r="H117" s="285">
        <f t="shared" si="11"/>
        <v>385908.10968650255</v>
      </c>
      <c r="I117" s="285">
        <f t="shared" si="12"/>
        <v>42961889.188984379</v>
      </c>
      <c r="K117">
        <f t="shared" si="4"/>
        <v>96</v>
      </c>
      <c r="L117" s="1">
        <f t="shared" si="5"/>
        <v>38562944.471212447</v>
      </c>
      <c r="M117" s="1">
        <f t="shared" si="6"/>
        <v>257086.29647474966</v>
      </c>
      <c r="N117" s="1">
        <f t="shared" si="7"/>
        <v>345599.21438013314</v>
      </c>
      <c r="O117" s="1">
        <f t="shared" si="8"/>
        <v>38474431.553307064</v>
      </c>
    </row>
    <row r="118" spans="5:15" x14ac:dyDescent="0.25">
      <c r="E118" s="10">
        <v>97</v>
      </c>
      <c r="F118" s="285">
        <f t="shared" si="9"/>
        <v>42961889.188984379</v>
      </c>
      <c r="G118" s="285">
        <f t="shared" si="10"/>
        <v>286412.59459322924</v>
      </c>
      <c r="H118" s="285">
        <f t="shared" si="11"/>
        <v>385908.10968650255</v>
      </c>
      <c r="I118" s="285">
        <f t="shared" si="12"/>
        <v>42862393.673891105</v>
      </c>
      <c r="K118">
        <f t="shared" si="4"/>
        <v>97</v>
      </c>
      <c r="L118" s="1">
        <f t="shared" si="5"/>
        <v>38474431.553307064</v>
      </c>
      <c r="M118" s="1">
        <f t="shared" si="6"/>
        <v>256496.21035538043</v>
      </c>
      <c r="N118" s="1">
        <f t="shared" si="7"/>
        <v>345599.21438013314</v>
      </c>
      <c r="O118" s="1">
        <f t="shared" si="8"/>
        <v>38385328.549282312</v>
      </c>
    </row>
    <row r="119" spans="5:15" x14ac:dyDescent="0.25">
      <c r="E119" s="10">
        <v>98</v>
      </c>
      <c r="F119" s="285">
        <f t="shared" si="9"/>
        <v>42862393.673891105</v>
      </c>
      <c r="G119" s="285">
        <f t="shared" si="10"/>
        <v>285749.29115927406</v>
      </c>
      <c r="H119" s="285">
        <f t="shared" si="11"/>
        <v>385908.10968650255</v>
      </c>
      <c r="I119" s="285">
        <f t="shared" si="12"/>
        <v>42762234.855363876</v>
      </c>
      <c r="K119">
        <f t="shared" si="4"/>
        <v>98</v>
      </c>
      <c r="L119" s="1">
        <f t="shared" si="5"/>
        <v>38385328.549282312</v>
      </c>
      <c r="M119" s="1">
        <f t="shared" si="6"/>
        <v>255902.19032854878</v>
      </c>
      <c r="N119" s="1">
        <f t="shared" si="7"/>
        <v>345599.21438013314</v>
      </c>
      <c r="O119" s="1">
        <f t="shared" si="8"/>
        <v>38295631.525230728</v>
      </c>
    </row>
    <row r="120" spans="5:15" x14ac:dyDescent="0.25">
      <c r="E120" s="10">
        <v>99</v>
      </c>
      <c r="F120" s="285">
        <f t="shared" si="9"/>
        <v>42762234.855363876</v>
      </c>
      <c r="G120" s="285">
        <f t="shared" si="10"/>
        <v>285081.56570242584</v>
      </c>
      <c r="H120" s="285">
        <f t="shared" si="11"/>
        <v>385908.10968650255</v>
      </c>
      <c r="I120" s="285">
        <f t="shared" si="12"/>
        <v>42661408.311379798</v>
      </c>
      <c r="K120">
        <f t="shared" si="4"/>
        <v>99</v>
      </c>
      <c r="L120" s="1">
        <f t="shared" si="5"/>
        <v>38295631.525230728</v>
      </c>
      <c r="M120" s="1">
        <f t="shared" si="6"/>
        <v>255304.21016820488</v>
      </c>
      <c r="N120" s="1">
        <f t="shared" si="7"/>
        <v>345599.21438013314</v>
      </c>
      <c r="O120" s="1">
        <f t="shared" si="8"/>
        <v>38205336.521018803</v>
      </c>
    </row>
    <row r="121" spans="5:15" x14ac:dyDescent="0.25">
      <c r="E121" s="10">
        <v>100</v>
      </c>
      <c r="F121" s="285">
        <f t="shared" si="9"/>
        <v>42661408.311379798</v>
      </c>
      <c r="G121" s="285">
        <f t="shared" si="10"/>
        <v>284409.388742532</v>
      </c>
      <c r="H121" s="285">
        <f t="shared" si="11"/>
        <v>385908.10968650255</v>
      </c>
      <c r="I121" s="285">
        <f t="shared" si="12"/>
        <v>42559909.590435825</v>
      </c>
      <c r="K121">
        <f t="shared" si="4"/>
        <v>100</v>
      </c>
      <c r="L121" s="1">
        <f t="shared" si="5"/>
        <v>38205336.521018803</v>
      </c>
      <c r="M121" s="1">
        <f t="shared" si="6"/>
        <v>254702.24347345872</v>
      </c>
      <c r="N121" s="1">
        <f t="shared" si="7"/>
        <v>345599.21438013314</v>
      </c>
      <c r="O121" s="1">
        <f t="shared" si="8"/>
        <v>38114439.550112128</v>
      </c>
    </row>
    <row r="122" spans="5:15" x14ac:dyDescent="0.25">
      <c r="E122" s="10">
        <v>101</v>
      </c>
      <c r="F122" s="285">
        <f t="shared" si="9"/>
        <v>42559909.590435825</v>
      </c>
      <c r="G122" s="285">
        <f t="shared" si="10"/>
        <v>283732.7306029055</v>
      </c>
      <c r="H122" s="285">
        <f t="shared" si="11"/>
        <v>385908.10968650255</v>
      </c>
      <c r="I122" s="285">
        <f t="shared" si="12"/>
        <v>42457734.211352229</v>
      </c>
      <c r="K122">
        <f t="shared" si="4"/>
        <v>101</v>
      </c>
      <c r="L122" s="1">
        <f t="shared" si="5"/>
        <v>38114439.550112128</v>
      </c>
      <c r="M122" s="1">
        <f t="shared" si="6"/>
        <v>254096.2636674142</v>
      </c>
      <c r="N122" s="1">
        <f t="shared" si="7"/>
        <v>345599.21438013314</v>
      </c>
      <c r="O122" s="1">
        <f t="shared" si="8"/>
        <v>38022936.59939941</v>
      </c>
    </row>
    <row r="123" spans="5:15" x14ac:dyDescent="0.25">
      <c r="E123" s="10">
        <v>102</v>
      </c>
      <c r="F123" s="285">
        <f t="shared" si="9"/>
        <v>42457734.211352229</v>
      </c>
      <c r="G123" s="285">
        <f t="shared" si="10"/>
        <v>283051.56140901486</v>
      </c>
      <c r="H123" s="285">
        <f t="shared" si="11"/>
        <v>385908.10968650255</v>
      </c>
      <c r="I123" s="285">
        <f t="shared" si="12"/>
        <v>42354877.663074739</v>
      </c>
      <c r="K123">
        <f t="shared" si="4"/>
        <v>102</v>
      </c>
      <c r="L123" s="1">
        <f t="shared" si="5"/>
        <v>38022936.59939941</v>
      </c>
      <c r="M123" s="1">
        <f t="shared" si="6"/>
        <v>253486.24399599608</v>
      </c>
      <c r="N123" s="1">
        <f t="shared" si="7"/>
        <v>345599.21438013314</v>
      </c>
      <c r="O123" s="1">
        <f t="shared" si="8"/>
        <v>37930823.629015274</v>
      </c>
    </row>
    <row r="124" spans="5:15" x14ac:dyDescent="0.25">
      <c r="E124" s="10">
        <v>103</v>
      </c>
      <c r="F124" s="285">
        <f t="shared" si="9"/>
        <v>42354877.663074739</v>
      </c>
      <c r="G124" s="285">
        <f t="shared" si="10"/>
        <v>282365.85108716495</v>
      </c>
      <c r="H124" s="285">
        <f t="shared" si="11"/>
        <v>385908.10968650255</v>
      </c>
      <c r="I124" s="285">
        <f t="shared" si="12"/>
        <v>42251335.404475406</v>
      </c>
      <c r="K124">
        <f t="shared" ref="K124:K187" si="13">E124</f>
        <v>103</v>
      </c>
      <c r="L124" s="1">
        <f t="shared" ref="L124:L187" si="14">O123</f>
        <v>37930823.629015274</v>
      </c>
      <c r="M124" s="1">
        <f t="shared" ref="M124:M187" si="15">L124*$K$13</f>
        <v>252872.15752676851</v>
      </c>
      <c r="N124" s="1">
        <f t="shared" ref="N124:N187" si="16">ABS($O$57)</f>
        <v>345599.21438013314</v>
      </c>
      <c r="O124" s="1">
        <f t="shared" ref="O124:O187" si="17">L124+M124-N124</f>
        <v>37838096.572161913</v>
      </c>
    </row>
    <row r="125" spans="5:15" x14ac:dyDescent="0.25">
      <c r="E125" s="10">
        <v>104</v>
      </c>
      <c r="F125" s="285">
        <f t="shared" si="9"/>
        <v>42251335.404475406</v>
      </c>
      <c r="G125" s="285">
        <f t="shared" si="10"/>
        <v>281675.56936316937</v>
      </c>
      <c r="H125" s="285">
        <f t="shared" si="11"/>
        <v>385908.10968650255</v>
      </c>
      <c r="I125" s="285">
        <f t="shared" si="12"/>
        <v>42147102.864152074</v>
      </c>
      <c r="K125">
        <f t="shared" si="13"/>
        <v>104</v>
      </c>
      <c r="L125" s="1">
        <f t="shared" si="14"/>
        <v>37838096.572161913</v>
      </c>
      <c r="M125" s="1">
        <f t="shared" si="15"/>
        <v>252253.9771477461</v>
      </c>
      <c r="N125" s="1">
        <f t="shared" si="16"/>
        <v>345599.21438013314</v>
      </c>
      <c r="O125" s="1">
        <f t="shared" si="17"/>
        <v>37744751.334929526</v>
      </c>
    </row>
    <row r="126" spans="5:15" x14ac:dyDescent="0.25">
      <c r="E126" s="10">
        <v>105</v>
      </c>
      <c r="F126" s="285">
        <f t="shared" si="9"/>
        <v>42147102.864152074</v>
      </c>
      <c r="G126" s="285">
        <f t="shared" si="10"/>
        <v>280980.68576101382</v>
      </c>
      <c r="H126" s="285">
        <f t="shared" si="11"/>
        <v>385908.10968650255</v>
      </c>
      <c r="I126" s="285">
        <f t="shared" si="12"/>
        <v>42042175.440226585</v>
      </c>
      <c r="K126">
        <f t="shared" si="13"/>
        <v>105</v>
      </c>
      <c r="L126" s="1">
        <f t="shared" si="14"/>
        <v>37744751.334929526</v>
      </c>
      <c r="M126" s="1">
        <f t="shared" si="15"/>
        <v>251631.67556619685</v>
      </c>
      <c r="N126" s="1">
        <f t="shared" si="16"/>
        <v>345599.21438013314</v>
      </c>
      <c r="O126" s="1">
        <f t="shared" si="17"/>
        <v>37650783.796115592</v>
      </c>
    </row>
    <row r="127" spans="5:15" x14ac:dyDescent="0.25">
      <c r="E127" s="10">
        <v>106</v>
      </c>
      <c r="F127" s="285">
        <f t="shared" si="9"/>
        <v>42042175.440226585</v>
      </c>
      <c r="G127" s="285">
        <f t="shared" si="10"/>
        <v>280281.16960151057</v>
      </c>
      <c r="H127" s="285">
        <f t="shared" si="11"/>
        <v>385908.10968650255</v>
      </c>
      <c r="I127" s="285">
        <f t="shared" si="12"/>
        <v>41936548.500141591</v>
      </c>
      <c r="K127">
        <f t="shared" si="13"/>
        <v>106</v>
      </c>
      <c r="L127" s="1">
        <f t="shared" si="14"/>
        <v>37650783.796115592</v>
      </c>
      <c r="M127" s="1">
        <f t="shared" si="15"/>
        <v>251005.2253074373</v>
      </c>
      <c r="N127" s="1">
        <f t="shared" si="16"/>
        <v>345599.21438013314</v>
      </c>
      <c r="O127" s="1">
        <f t="shared" si="17"/>
        <v>37556189.807042897</v>
      </c>
    </row>
    <row r="128" spans="5:15" x14ac:dyDescent="0.25">
      <c r="E128" s="10">
        <v>107</v>
      </c>
      <c r="F128" s="285">
        <f t="shared" si="9"/>
        <v>41936548.500141591</v>
      </c>
      <c r="G128" s="285">
        <f t="shared" si="10"/>
        <v>279576.99000094394</v>
      </c>
      <c r="H128" s="285">
        <f t="shared" si="11"/>
        <v>385908.10968650255</v>
      </c>
      <c r="I128" s="285">
        <f t="shared" si="12"/>
        <v>41830217.38045603</v>
      </c>
      <c r="K128">
        <f t="shared" si="13"/>
        <v>107</v>
      </c>
      <c r="L128" s="1">
        <f t="shared" si="14"/>
        <v>37556189.807042897</v>
      </c>
      <c r="M128" s="1">
        <f t="shared" si="15"/>
        <v>250374.59871361931</v>
      </c>
      <c r="N128" s="1">
        <f t="shared" si="16"/>
        <v>345599.21438013314</v>
      </c>
      <c r="O128" s="1">
        <f t="shared" si="17"/>
        <v>37460965.191376388</v>
      </c>
    </row>
    <row r="129" spans="5:15" x14ac:dyDescent="0.25">
      <c r="E129" s="10">
        <v>108</v>
      </c>
      <c r="F129" s="285">
        <f t="shared" si="9"/>
        <v>41830217.38045603</v>
      </c>
      <c r="G129" s="285">
        <f t="shared" si="10"/>
        <v>278868.1158697069</v>
      </c>
      <c r="H129" s="285">
        <f t="shared" si="11"/>
        <v>385908.10968650255</v>
      </c>
      <c r="I129" s="285">
        <f t="shared" si="12"/>
        <v>41723177.386639237</v>
      </c>
      <c r="K129">
        <f t="shared" si="13"/>
        <v>108</v>
      </c>
      <c r="L129" s="1">
        <f t="shared" si="14"/>
        <v>37460965.191376388</v>
      </c>
      <c r="M129" s="1">
        <f t="shared" si="15"/>
        <v>249739.76794250926</v>
      </c>
      <c r="N129" s="1">
        <f t="shared" si="16"/>
        <v>345599.21438013314</v>
      </c>
      <c r="O129" s="1">
        <f t="shared" si="17"/>
        <v>37365105.744938768</v>
      </c>
    </row>
    <row r="130" spans="5:15" x14ac:dyDescent="0.25">
      <c r="E130" s="10">
        <v>109</v>
      </c>
      <c r="F130" s="285">
        <f t="shared" si="9"/>
        <v>41723177.386639237</v>
      </c>
      <c r="G130" s="285">
        <f t="shared" si="10"/>
        <v>278154.51591092825</v>
      </c>
      <c r="H130" s="285">
        <f t="shared" si="11"/>
        <v>385908.10968650255</v>
      </c>
      <c r="I130" s="285">
        <f t="shared" si="12"/>
        <v>41615423.792863667</v>
      </c>
      <c r="K130">
        <f t="shared" si="13"/>
        <v>109</v>
      </c>
      <c r="L130" s="1">
        <f t="shared" si="14"/>
        <v>37365105.744938768</v>
      </c>
      <c r="M130" s="1">
        <f t="shared" si="15"/>
        <v>249100.70496625846</v>
      </c>
      <c r="N130" s="1">
        <f t="shared" si="16"/>
        <v>345599.21438013314</v>
      </c>
      <c r="O130" s="1">
        <f t="shared" si="17"/>
        <v>37268607.2355249</v>
      </c>
    </row>
    <row r="131" spans="5:15" x14ac:dyDescent="0.25">
      <c r="E131" s="10">
        <v>110</v>
      </c>
      <c r="F131" s="285">
        <f t="shared" si="9"/>
        <v>41615423.792863667</v>
      </c>
      <c r="G131" s="285">
        <f t="shared" si="10"/>
        <v>277436.15861909115</v>
      </c>
      <c r="H131" s="285">
        <f t="shared" si="11"/>
        <v>385908.10968650255</v>
      </c>
      <c r="I131" s="285">
        <f t="shared" si="12"/>
        <v>41506951.841796257</v>
      </c>
      <c r="K131">
        <f t="shared" si="13"/>
        <v>110</v>
      </c>
      <c r="L131" s="1">
        <f t="shared" si="14"/>
        <v>37268607.2355249</v>
      </c>
      <c r="M131" s="1">
        <f t="shared" si="15"/>
        <v>248457.38157016601</v>
      </c>
      <c r="N131" s="1">
        <f t="shared" si="16"/>
        <v>345599.21438013314</v>
      </c>
      <c r="O131" s="1">
        <f t="shared" si="17"/>
        <v>37171465.402714938</v>
      </c>
    </row>
    <row r="132" spans="5:15" x14ac:dyDescent="0.25">
      <c r="E132" s="10">
        <v>111</v>
      </c>
      <c r="F132" s="285">
        <f t="shared" si="9"/>
        <v>41506951.841796257</v>
      </c>
      <c r="G132" s="285">
        <f t="shared" si="10"/>
        <v>276713.01227864175</v>
      </c>
      <c r="H132" s="285">
        <f t="shared" si="11"/>
        <v>385908.10968650255</v>
      </c>
      <c r="I132" s="285">
        <f t="shared" si="12"/>
        <v>41397756.744388394</v>
      </c>
      <c r="K132">
        <f t="shared" si="13"/>
        <v>111</v>
      </c>
      <c r="L132" s="1">
        <f t="shared" si="14"/>
        <v>37171465.402714938</v>
      </c>
      <c r="M132" s="1">
        <f t="shared" si="15"/>
        <v>247809.76935143294</v>
      </c>
      <c r="N132" s="1">
        <f t="shared" si="16"/>
        <v>345599.21438013314</v>
      </c>
      <c r="O132" s="1">
        <f t="shared" si="17"/>
        <v>37073675.957686238</v>
      </c>
    </row>
    <row r="133" spans="5:15" x14ac:dyDescent="0.25">
      <c r="E133" s="10">
        <v>112</v>
      </c>
      <c r="F133" s="285">
        <f t="shared" si="9"/>
        <v>41397756.744388394</v>
      </c>
      <c r="G133" s="285">
        <f t="shared" si="10"/>
        <v>275985.04496258934</v>
      </c>
      <c r="H133" s="285">
        <f t="shared" si="11"/>
        <v>385908.10968650255</v>
      </c>
      <c r="I133" s="285">
        <f t="shared" si="12"/>
        <v>41287833.679664485</v>
      </c>
      <c r="K133">
        <f t="shared" si="13"/>
        <v>112</v>
      </c>
      <c r="L133" s="1">
        <f t="shared" si="14"/>
        <v>37073675.957686238</v>
      </c>
      <c r="M133" s="1">
        <f t="shared" si="15"/>
        <v>247157.83971790827</v>
      </c>
      <c r="N133" s="1">
        <f t="shared" si="16"/>
        <v>345599.21438013314</v>
      </c>
      <c r="O133" s="1">
        <f t="shared" si="17"/>
        <v>36975234.583024018</v>
      </c>
    </row>
    <row r="134" spans="5:15" x14ac:dyDescent="0.25">
      <c r="E134" s="10">
        <v>113</v>
      </c>
      <c r="F134" s="285">
        <f t="shared" si="9"/>
        <v>41287833.679664485</v>
      </c>
      <c r="G134" s="285">
        <f t="shared" si="10"/>
        <v>275252.22453109658</v>
      </c>
      <c r="H134" s="285">
        <f t="shared" si="11"/>
        <v>385908.10968650255</v>
      </c>
      <c r="I134" s="285">
        <f t="shared" si="12"/>
        <v>41177177.794509083</v>
      </c>
      <c r="K134">
        <f t="shared" si="13"/>
        <v>113</v>
      </c>
      <c r="L134" s="1">
        <f t="shared" si="14"/>
        <v>36975234.583024018</v>
      </c>
      <c r="M134" s="1">
        <f t="shared" si="15"/>
        <v>246501.5638868268</v>
      </c>
      <c r="N134" s="1">
        <f t="shared" si="16"/>
        <v>345599.21438013314</v>
      </c>
      <c r="O134" s="1">
        <f t="shared" si="17"/>
        <v>36876136.932530716</v>
      </c>
    </row>
    <row r="135" spans="5:15" x14ac:dyDescent="0.25">
      <c r="E135" s="10">
        <v>114</v>
      </c>
      <c r="F135" s="285">
        <f t="shared" si="9"/>
        <v>41177177.794509083</v>
      </c>
      <c r="G135" s="285">
        <f t="shared" si="10"/>
        <v>274514.5186300606</v>
      </c>
      <c r="H135" s="285">
        <f t="shared" si="11"/>
        <v>385908.10968650255</v>
      </c>
      <c r="I135" s="285">
        <f t="shared" si="12"/>
        <v>41065784.203452639</v>
      </c>
      <c r="K135">
        <f t="shared" si="13"/>
        <v>114</v>
      </c>
      <c r="L135" s="1">
        <f t="shared" si="14"/>
        <v>36876136.932530716</v>
      </c>
      <c r="M135" s="1">
        <f t="shared" si="15"/>
        <v>245840.91288353811</v>
      </c>
      <c r="N135" s="1">
        <f t="shared" si="16"/>
        <v>345599.21438013314</v>
      </c>
      <c r="O135" s="1">
        <f t="shared" si="17"/>
        <v>36776378.631034121</v>
      </c>
    </row>
    <row r="136" spans="5:15" x14ac:dyDescent="0.25">
      <c r="E136" s="10">
        <v>115</v>
      </c>
      <c r="F136" s="285">
        <f t="shared" si="9"/>
        <v>41065784.203452639</v>
      </c>
      <c r="G136" s="285">
        <f t="shared" si="10"/>
        <v>273771.89468968427</v>
      </c>
      <c r="H136" s="285">
        <f t="shared" si="11"/>
        <v>385908.10968650255</v>
      </c>
      <c r="I136" s="285">
        <f t="shared" si="12"/>
        <v>40953647.988455825</v>
      </c>
      <c r="K136">
        <f t="shared" si="13"/>
        <v>115</v>
      </c>
      <c r="L136" s="1">
        <f t="shared" si="14"/>
        <v>36776378.631034121</v>
      </c>
      <c r="M136" s="1">
        <f t="shared" si="15"/>
        <v>245175.8575402275</v>
      </c>
      <c r="N136" s="1">
        <f t="shared" si="16"/>
        <v>345599.21438013314</v>
      </c>
      <c r="O136" s="1">
        <f t="shared" si="17"/>
        <v>36675955.274194218</v>
      </c>
    </row>
    <row r="137" spans="5:15" x14ac:dyDescent="0.25">
      <c r="E137" s="10">
        <v>116</v>
      </c>
      <c r="F137" s="285">
        <f t="shared" si="9"/>
        <v>40953647.988455825</v>
      </c>
      <c r="G137" s="285">
        <f t="shared" si="10"/>
        <v>273024.31992303883</v>
      </c>
      <c r="H137" s="285">
        <f t="shared" si="11"/>
        <v>385908.10968650255</v>
      </c>
      <c r="I137" s="285">
        <f t="shared" si="12"/>
        <v>40840764.198692359</v>
      </c>
      <c r="K137">
        <f t="shared" si="13"/>
        <v>116</v>
      </c>
      <c r="L137" s="1">
        <f t="shared" si="14"/>
        <v>36675955.274194218</v>
      </c>
      <c r="M137" s="1">
        <f t="shared" si="15"/>
        <v>244506.36849462814</v>
      </c>
      <c r="N137" s="1">
        <f t="shared" si="16"/>
        <v>345599.21438013314</v>
      </c>
      <c r="O137" s="1">
        <f t="shared" si="17"/>
        <v>36574862.428308718</v>
      </c>
    </row>
    <row r="138" spans="5:15" x14ac:dyDescent="0.25">
      <c r="E138" s="10">
        <v>117</v>
      </c>
      <c r="F138" s="285">
        <f t="shared" si="9"/>
        <v>40840764.198692359</v>
      </c>
      <c r="G138" s="285">
        <f t="shared" si="10"/>
        <v>272271.76132461574</v>
      </c>
      <c r="H138" s="285">
        <f t="shared" si="11"/>
        <v>385908.10968650255</v>
      </c>
      <c r="I138" s="285">
        <f t="shared" si="12"/>
        <v>40727127.850330472</v>
      </c>
      <c r="K138">
        <f t="shared" si="13"/>
        <v>117</v>
      </c>
      <c r="L138" s="1">
        <f t="shared" si="14"/>
        <v>36574862.428308718</v>
      </c>
      <c r="M138" s="1">
        <f t="shared" si="15"/>
        <v>243832.4161887248</v>
      </c>
      <c r="N138" s="1">
        <f t="shared" si="16"/>
        <v>345599.21438013314</v>
      </c>
      <c r="O138" s="1">
        <f t="shared" si="17"/>
        <v>36473095.630117312</v>
      </c>
    </row>
    <row r="139" spans="5:15" x14ac:dyDescent="0.25">
      <c r="E139" s="10">
        <v>118</v>
      </c>
      <c r="F139" s="285">
        <f t="shared" si="9"/>
        <v>40727127.850330472</v>
      </c>
      <c r="G139" s="285">
        <f t="shared" si="10"/>
        <v>271514.18566886982</v>
      </c>
      <c r="H139" s="285">
        <f t="shared" si="11"/>
        <v>385908.10968650255</v>
      </c>
      <c r="I139" s="285">
        <f t="shared" si="12"/>
        <v>40612733.926312841</v>
      </c>
      <c r="K139">
        <f t="shared" si="13"/>
        <v>118</v>
      </c>
      <c r="L139" s="1">
        <f t="shared" si="14"/>
        <v>36473095.630117312</v>
      </c>
      <c r="M139" s="1">
        <f t="shared" si="15"/>
        <v>243153.97086744875</v>
      </c>
      <c r="N139" s="1">
        <f t="shared" si="16"/>
        <v>345599.21438013314</v>
      </c>
      <c r="O139" s="1">
        <f t="shared" si="17"/>
        <v>36370650.386604629</v>
      </c>
    </row>
    <row r="140" spans="5:15" x14ac:dyDescent="0.25">
      <c r="E140" s="10">
        <v>119</v>
      </c>
      <c r="F140" s="285">
        <f t="shared" si="9"/>
        <v>40612733.926312841</v>
      </c>
      <c r="G140" s="285">
        <f t="shared" si="10"/>
        <v>270751.55950875231</v>
      </c>
      <c r="H140" s="285">
        <f t="shared" si="11"/>
        <v>385908.10968650255</v>
      </c>
      <c r="I140" s="285">
        <f t="shared" si="12"/>
        <v>40497577.376135096</v>
      </c>
      <c r="K140">
        <f t="shared" si="13"/>
        <v>119</v>
      </c>
      <c r="L140" s="1">
        <f t="shared" si="14"/>
        <v>36370650.386604629</v>
      </c>
      <c r="M140" s="1">
        <f t="shared" si="15"/>
        <v>242471.00257736421</v>
      </c>
      <c r="N140" s="1">
        <f t="shared" si="16"/>
        <v>345599.21438013314</v>
      </c>
      <c r="O140" s="1">
        <f t="shared" si="17"/>
        <v>36267522.174801864</v>
      </c>
    </row>
    <row r="141" spans="5:15" x14ac:dyDescent="0.25">
      <c r="E141" s="10">
        <v>120</v>
      </c>
      <c r="F141" s="285">
        <f t="shared" si="9"/>
        <v>40497577.376135096</v>
      </c>
      <c r="G141" s="285">
        <f t="shared" si="10"/>
        <v>269983.84917423397</v>
      </c>
      <c r="H141" s="285">
        <f t="shared" si="11"/>
        <v>385908.10968650255</v>
      </c>
      <c r="I141" s="285">
        <f t="shared" si="12"/>
        <v>40381653.115622826</v>
      </c>
      <c r="K141">
        <f t="shared" si="13"/>
        <v>120</v>
      </c>
      <c r="L141" s="1">
        <f t="shared" si="14"/>
        <v>36267522.174801864</v>
      </c>
      <c r="M141" s="1">
        <f t="shared" si="15"/>
        <v>241783.48116534579</v>
      </c>
      <c r="N141" s="1">
        <f t="shared" si="16"/>
        <v>345599.21438013314</v>
      </c>
      <c r="O141" s="1">
        <f t="shared" si="17"/>
        <v>36163706.441587083</v>
      </c>
    </row>
    <row r="142" spans="5:15" x14ac:dyDescent="0.25">
      <c r="E142" s="10">
        <v>121</v>
      </c>
      <c r="F142" s="285">
        <f t="shared" si="9"/>
        <v>40381653.115622826</v>
      </c>
      <c r="G142" s="285">
        <f t="shared" si="10"/>
        <v>269211.02077081887</v>
      </c>
      <c r="H142" s="285">
        <f t="shared" si="11"/>
        <v>385908.10968650255</v>
      </c>
      <c r="I142" s="285">
        <f t="shared" si="12"/>
        <v>40264956.026707143</v>
      </c>
      <c r="K142">
        <f t="shared" si="13"/>
        <v>121</v>
      </c>
      <c r="L142" s="1">
        <f t="shared" si="14"/>
        <v>36163706.441587083</v>
      </c>
      <c r="M142" s="1">
        <f t="shared" si="15"/>
        <v>241091.37627724724</v>
      </c>
      <c r="N142" s="1">
        <f t="shared" si="16"/>
        <v>345599.21438013314</v>
      </c>
      <c r="O142" s="1">
        <f t="shared" si="17"/>
        <v>36059198.603484198</v>
      </c>
    </row>
    <row r="143" spans="5:15" x14ac:dyDescent="0.25">
      <c r="E143" s="10">
        <v>122</v>
      </c>
      <c r="F143" s="285">
        <f t="shared" si="9"/>
        <v>40264956.026707143</v>
      </c>
      <c r="G143" s="285">
        <f t="shared" si="10"/>
        <v>268433.04017804761</v>
      </c>
      <c r="H143" s="285">
        <f t="shared" si="11"/>
        <v>385908.10968650255</v>
      </c>
      <c r="I143" s="285">
        <f t="shared" si="12"/>
        <v>40147480.957198687</v>
      </c>
      <c r="K143">
        <f t="shared" si="13"/>
        <v>122</v>
      </c>
      <c r="L143" s="1">
        <f t="shared" si="14"/>
        <v>36059198.603484198</v>
      </c>
      <c r="M143" s="1">
        <f t="shared" si="15"/>
        <v>240394.65735656134</v>
      </c>
      <c r="N143" s="1">
        <f t="shared" si="16"/>
        <v>345599.21438013314</v>
      </c>
      <c r="O143" s="1">
        <f t="shared" si="17"/>
        <v>35953994.046460629</v>
      </c>
    </row>
    <row r="144" spans="5:15" x14ac:dyDescent="0.25">
      <c r="E144" s="10">
        <v>123</v>
      </c>
      <c r="F144" s="285">
        <f t="shared" si="9"/>
        <v>40147480.957198687</v>
      </c>
      <c r="G144" s="285">
        <f t="shared" si="10"/>
        <v>267649.87304799125</v>
      </c>
      <c r="H144" s="285">
        <f t="shared" si="11"/>
        <v>385908.10968650255</v>
      </c>
      <c r="I144" s="285">
        <f t="shared" si="12"/>
        <v>40029222.720560178</v>
      </c>
      <c r="K144">
        <f t="shared" si="13"/>
        <v>123</v>
      </c>
      <c r="L144" s="1">
        <f t="shared" si="14"/>
        <v>35953994.046460629</v>
      </c>
      <c r="M144" s="1">
        <f t="shared" si="15"/>
        <v>239693.29364307088</v>
      </c>
      <c r="N144" s="1">
        <f t="shared" si="16"/>
        <v>345599.21438013314</v>
      </c>
      <c r="O144" s="1">
        <f t="shared" si="17"/>
        <v>35848088.125723571</v>
      </c>
    </row>
    <row r="145" spans="5:15" x14ac:dyDescent="0.25">
      <c r="E145" s="10">
        <v>124</v>
      </c>
      <c r="F145" s="285">
        <f t="shared" si="9"/>
        <v>40029222.720560178</v>
      </c>
      <c r="G145" s="285">
        <f t="shared" si="10"/>
        <v>266861.48480373452</v>
      </c>
      <c r="H145" s="285">
        <f t="shared" si="11"/>
        <v>385908.10968650255</v>
      </c>
      <c r="I145" s="285">
        <f t="shared" si="12"/>
        <v>39910176.095677413</v>
      </c>
      <c r="K145">
        <f t="shared" si="13"/>
        <v>124</v>
      </c>
      <c r="L145" s="1">
        <f t="shared" si="14"/>
        <v>35848088.125723571</v>
      </c>
      <c r="M145" s="1">
        <f t="shared" si="15"/>
        <v>238987.25417149049</v>
      </c>
      <c r="N145" s="1">
        <f t="shared" si="16"/>
        <v>345599.21438013314</v>
      </c>
      <c r="O145" s="1">
        <f t="shared" si="17"/>
        <v>35741476.165514931</v>
      </c>
    </row>
    <row r="146" spans="5:15" x14ac:dyDescent="0.25">
      <c r="E146" s="10">
        <v>125</v>
      </c>
      <c r="F146" s="285">
        <f t="shared" si="9"/>
        <v>39910176.095677413</v>
      </c>
      <c r="G146" s="285">
        <f t="shared" si="10"/>
        <v>266067.84063784941</v>
      </c>
      <c r="H146" s="285">
        <f t="shared" si="11"/>
        <v>385908.10968650255</v>
      </c>
      <c r="I146" s="285">
        <f t="shared" si="12"/>
        <v>39790335.82662876</v>
      </c>
      <c r="K146">
        <f t="shared" si="13"/>
        <v>125</v>
      </c>
      <c r="L146" s="1">
        <f t="shared" si="14"/>
        <v>35741476.165514931</v>
      </c>
      <c r="M146" s="1">
        <f t="shared" si="15"/>
        <v>238276.50777009956</v>
      </c>
      <c r="N146" s="1">
        <f t="shared" si="16"/>
        <v>345599.21438013314</v>
      </c>
      <c r="O146" s="1">
        <f t="shared" si="17"/>
        <v>35634153.4589049</v>
      </c>
    </row>
    <row r="147" spans="5:15" x14ac:dyDescent="0.25">
      <c r="E147" s="10">
        <v>126</v>
      </c>
      <c r="F147" s="285">
        <f t="shared" si="9"/>
        <v>39790335.82662876</v>
      </c>
      <c r="G147" s="285">
        <f t="shared" si="10"/>
        <v>265268.9055108584</v>
      </c>
      <c r="H147" s="285">
        <f t="shared" si="11"/>
        <v>385908.10968650255</v>
      </c>
      <c r="I147" s="285">
        <f t="shared" si="12"/>
        <v>39669696.622453116</v>
      </c>
      <c r="K147">
        <f t="shared" si="13"/>
        <v>126</v>
      </c>
      <c r="L147" s="1">
        <f t="shared" si="14"/>
        <v>35634153.4589049</v>
      </c>
      <c r="M147" s="1">
        <f t="shared" si="15"/>
        <v>237561.02305936601</v>
      </c>
      <c r="N147" s="1">
        <f t="shared" si="16"/>
        <v>345599.21438013314</v>
      </c>
      <c r="O147" s="1">
        <f t="shared" si="17"/>
        <v>35526115.267584138</v>
      </c>
    </row>
    <row r="148" spans="5:15" x14ac:dyDescent="0.25">
      <c r="E148" s="10">
        <v>127</v>
      </c>
      <c r="F148" s="285">
        <f t="shared" si="9"/>
        <v>39669696.622453116</v>
      </c>
      <c r="G148" s="285">
        <f t="shared" si="10"/>
        <v>264464.64414968743</v>
      </c>
      <c r="H148" s="285">
        <f t="shared" si="11"/>
        <v>385908.10968650255</v>
      </c>
      <c r="I148" s="285">
        <f t="shared" si="12"/>
        <v>39548253.156916305</v>
      </c>
      <c r="K148">
        <f t="shared" si="13"/>
        <v>127</v>
      </c>
      <c r="L148" s="1">
        <f t="shared" si="14"/>
        <v>35526115.267584138</v>
      </c>
      <c r="M148" s="1">
        <f t="shared" si="15"/>
        <v>236840.76845056092</v>
      </c>
      <c r="N148" s="1">
        <f t="shared" si="16"/>
        <v>345599.21438013314</v>
      </c>
      <c r="O148" s="1">
        <f t="shared" si="17"/>
        <v>35417356.821654566</v>
      </c>
    </row>
    <row r="149" spans="5:15" x14ac:dyDescent="0.25">
      <c r="E149" s="10">
        <v>128</v>
      </c>
      <c r="F149" s="285">
        <f t="shared" si="9"/>
        <v>39548253.156916305</v>
      </c>
      <c r="G149" s="285">
        <f t="shared" si="10"/>
        <v>263655.02104610874</v>
      </c>
      <c r="H149" s="285">
        <f t="shared" si="11"/>
        <v>385908.10968650255</v>
      </c>
      <c r="I149" s="285">
        <f t="shared" si="12"/>
        <v>39426000.068275914</v>
      </c>
      <c r="K149">
        <f t="shared" si="13"/>
        <v>128</v>
      </c>
      <c r="L149" s="1">
        <f t="shared" si="14"/>
        <v>35417356.821654566</v>
      </c>
      <c r="M149" s="1">
        <f t="shared" si="15"/>
        <v>236115.71214436379</v>
      </c>
      <c r="N149" s="1">
        <f t="shared" si="16"/>
        <v>345599.21438013314</v>
      </c>
      <c r="O149" s="1">
        <f t="shared" si="17"/>
        <v>35307873.319418803</v>
      </c>
    </row>
    <row r="150" spans="5:15" x14ac:dyDescent="0.25">
      <c r="E150" s="10">
        <v>129</v>
      </c>
      <c r="F150" s="285">
        <f t="shared" si="9"/>
        <v>39426000.068275914</v>
      </c>
      <c r="G150" s="285">
        <f t="shared" si="10"/>
        <v>262840.00045517279</v>
      </c>
      <c r="H150" s="285">
        <f t="shared" si="11"/>
        <v>385908.10968650255</v>
      </c>
      <c r="I150" s="285">
        <f t="shared" si="12"/>
        <v>39302931.959044583</v>
      </c>
      <c r="K150">
        <f t="shared" si="13"/>
        <v>129</v>
      </c>
      <c r="L150" s="1">
        <f t="shared" si="14"/>
        <v>35307873.319418803</v>
      </c>
      <c r="M150" s="1">
        <f t="shared" si="15"/>
        <v>235385.82212945871</v>
      </c>
      <c r="N150" s="1">
        <f t="shared" si="16"/>
        <v>345599.21438013314</v>
      </c>
      <c r="O150" s="1">
        <f t="shared" si="17"/>
        <v>35197659.927168131</v>
      </c>
    </row>
    <row r="151" spans="5:15" x14ac:dyDescent="0.25">
      <c r="E151" s="10">
        <v>130</v>
      </c>
      <c r="F151" s="285">
        <f t="shared" si="9"/>
        <v>39302931.959044583</v>
      </c>
      <c r="G151" s="285">
        <f t="shared" si="10"/>
        <v>262019.54639363056</v>
      </c>
      <c r="H151" s="285">
        <f t="shared" si="11"/>
        <v>385908.10968650255</v>
      </c>
      <c r="I151" s="285">
        <f t="shared" si="12"/>
        <v>39179043.395751715</v>
      </c>
      <c r="K151">
        <f t="shared" si="13"/>
        <v>130</v>
      </c>
      <c r="L151" s="1">
        <f t="shared" si="14"/>
        <v>35197659.927168131</v>
      </c>
      <c r="M151" s="1">
        <f t="shared" si="15"/>
        <v>234651.0661811209</v>
      </c>
      <c r="N151" s="1">
        <f t="shared" si="16"/>
        <v>345599.21438013314</v>
      </c>
      <c r="O151" s="1">
        <f t="shared" si="17"/>
        <v>35086711.778969124</v>
      </c>
    </row>
    <row r="152" spans="5:15" x14ac:dyDescent="0.25">
      <c r="E152" s="10">
        <v>131</v>
      </c>
      <c r="F152" s="285">
        <f t="shared" ref="F152:F215" si="18">I151</f>
        <v>39179043.395751715</v>
      </c>
      <c r="G152" s="285">
        <f t="shared" ref="G152:G215" si="19">F152*$K$13</f>
        <v>261193.62263834479</v>
      </c>
      <c r="H152" s="285">
        <f t="shared" ref="H152:H215" si="20">$G$17</f>
        <v>385908.10968650255</v>
      </c>
      <c r="I152" s="285">
        <f t="shared" ref="I152:I215" si="21">F152+G152-H152</f>
        <v>39054328.908703558</v>
      </c>
      <c r="K152">
        <f t="shared" si="13"/>
        <v>131</v>
      </c>
      <c r="L152" s="1">
        <f t="shared" si="14"/>
        <v>35086711.778969124</v>
      </c>
      <c r="M152" s="1">
        <f t="shared" si="15"/>
        <v>233911.41185979417</v>
      </c>
      <c r="N152" s="1">
        <f t="shared" si="16"/>
        <v>345599.21438013314</v>
      </c>
      <c r="O152" s="1">
        <f t="shared" si="17"/>
        <v>34975023.976448789</v>
      </c>
    </row>
    <row r="153" spans="5:15" x14ac:dyDescent="0.25">
      <c r="E153" s="10">
        <v>132</v>
      </c>
      <c r="F153" s="285">
        <f t="shared" si="18"/>
        <v>39054328.908703558</v>
      </c>
      <c r="G153" s="285">
        <f t="shared" si="19"/>
        <v>260362.19272469039</v>
      </c>
      <c r="H153" s="285">
        <f t="shared" si="20"/>
        <v>385908.10968650255</v>
      </c>
      <c r="I153" s="285">
        <f t="shared" si="21"/>
        <v>38928782.991741747</v>
      </c>
      <c r="K153">
        <f t="shared" si="13"/>
        <v>132</v>
      </c>
      <c r="L153" s="1">
        <f t="shared" si="14"/>
        <v>34975023.976448789</v>
      </c>
      <c r="M153" s="1">
        <f t="shared" si="15"/>
        <v>233166.8265096586</v>
      </c>
      <c r="N153" s="1">
        <f t="shared" si="16"/>
        <v>345599.21438013314</v>
      </c>
      <c r="O153" s="1">
        <f t="shared" si="17"/>
        <v>34862591.588578321</v>
      </c>
    </row>
    <row r="154" spans="5:15" x14ac:dyDescent="0.25">
      <c r="E154" s="10">
        <v>133</v>
      </c>
      <c r="F154" s="285">
        <f t="shared" si="18"/>
        <v>38928782.991741747</v>
      </c>
      <c r="G154" s="285">
        <f t="shared" si="19"/>
        <v>259525.21994494498</v>
      </c>
      <c r="H154" s="285">
        <f t="shared" si="20"/>
        <v>385908.10968650255</v>
      </c>
      <c r="I154" s="285">
        <f t="shared" si="21"/>
        <v>38802400.102000192</v>
      </c>
      <c r="K154">
        <f t="shared" si="13"/>
        <v>133</v>
      </c>
      <c r="L154" s="1">
        <f t="shared" si="14"/>
        <v>34862591.588578321</v>
      </c>
      <c r="M154" s="1">
        <f t="shared" si="15"/>
        <v>232417.27725718883</v>
      </c>
      <c r="N154" s="1">
        <f t="shared" si="16"/>
        <v>345599.21438013314</v>
      </c>
      <c r="O154" s="1">
        <f t="shared" si="17"/>
        <v>34749409.65145538</v>
      </c>
    </row>
    <row r="155" spans="5:15" x14ac:dyDescent="0.25">
      <c r="E155" s="10">
        <v>134</v>
      </c>
      <c r="F155" s="285">
        <f t="shared" si="18"/>
        <v>38802400.102000192</v>
      </c>
      <c r="G155" s="285">
        <f t="shared" si="19"/>
        <v>258682.66734666796</v>
      </c>
      <c r="H155" s="285">
        <f t="shared" si="20"/>
        <v>385908.10968650255</v>
      </c>
      <c r="I155" s="285">
        <f t="shared" si="21"/>
        <v>38675174.659660362</v>
      </c>
      <c r="K155">
        <f t="shared" si="13"/>
        <v>134</v>
      </c>
      <c r="L155" s="1">
        <f t="shared" si="14"/>
        <v>34749409.65145538</v>
      </c>
      <c r="M155" s="1">
        <f t="shared" si="15"/>
        <v>231662.73100970255</v>
      </c>
      <c r="N155" s="1">
        <f t="shared" si="16"/>
        <v>345599.21438013314</v>
      </c>
      <c r="O155" s="1">
        <f t="shared" si="17"/>
        <v>34635473.168084949</v>
      </c>
    </row>
    <row r="156" spans="5:15" x14ac:dyDescent="0.25">
      <c r="E156" s="10">
        <v>135</v>
      </c>
      <c r="F156" s="285">
        <f t="shared" si="18"/>
        <v>38675174.659660362</v>
      </c>
      <c r="G156" s="285">
        <f t="shared" si="19"/>
        <v>257834.4977310691</v>
      </c>
      <c r="H156" s="285">
        <f t="shared" si="20"/>
        <v>385908.10968650255</v>
      </c>
      <c r="I156" s="285">
        <f t="shared" si="21"/>
        <v>38547101.047704928</v>
      </c>
      <c r="K156">
        <f t="shared" si="13"/>
        <v>135</v>
      </c>
      <c r="L156" s="1">
        <f t="shared" si="14"/>
        <v>34635473.168084949</v>
      </c>
      <c r="M156" s="1">
        <f t="shared" si="15"/>
        <v>230903.15445389968</v>
      </c>
      <c r="N156" s="1">
        <f t="shared" si="16"/>
        <v>345599.21438013314</v>
      </c>
      <c r="O156" s="1">
        <f t="shared" si="17"/>
        <v>34520777.108158715</v>
      </c>
    </row>
    <row r="157" spans="5:15" x14ac:dyDescent="0.25">
      <c r="E157" s="10">
        <v>136</v>
      </c>
      <c r="F157" s="285">
        <f t="shared" si="18"/>
        <v>38547101.047704928</v>
      </c>
      <c r="G157" s="285">
        <f t="shared" si="19"/>
        <v>256980.6736513662</v>
      </c>
      <c r="H157" s="285">
        <f t="shared" si="20"/>
        <v>385908.10968650255</v>
      </c>
      <c r="I157" s="285">
        <f t="shared" si="21"/>
        <v>38418173.611669794</v>
      </c>
      <c r="K157">
        <f t="shared" si="13"/>
        <v>136</v>
      </c>
      <c r="L157" s="1">
        <f t="shared" si="14"/>
        <v>34520777.108158715</v>
      </c>
      <c r="M157" s="1">
        <f t="shared" si="15"/>
        <v>230138.51405439145</v>
      </c>
      <c r="N157" s="1">
        <f t="shared" si="16"/>
        <v>345599.21438013314</v>
      </c>
      <c r="O157" s="1">
        <f t="shared" si="17"/>
        <v>34405316.407832973</v>
      </c>
    </row>
    <row r="158" spans="5:15" x14ac:dyDescent="0.25">
      <c r="E158" s="10">
        <v>137</v>
      </c>
      <c r="F158" s="285">
        <f t="shared" si="18"/>
        <v>38418173.611669794</v>
      </c>
      <c r="G158" s="285">
        <f t="shared" si="19"/>
        <v>256121.15741113198</v>
      </c>
      <c r="H158" s="285">
        <f t="shared" si="20"/>
        <v>385908.10968650255</v>
      </c>
      <c r="I158" s="285">
        <f t="shared" si="21"/>
        <v>38288386.659394421</v>
      </c>
      <c r="K158">
        <f t="shared" si="13"/>
        <v>137</v>
      </c>
      <c r="L158" s="1">
        <f t="shared" si="14"/>
        <v>34405316.407832973</v>
      </c>
      <c r="M158" s="1">
        <f t="shared" si="15"/>
        <v>229368.77605221982</v>
      </c>
      <c r="N158" s="1">
        <f t="shared" si="16"/>
        <v>345599.21438013314</v>
      </c>
      <c r="O158" s="1">
        <f t="shared" si="17"/>
        <v>34289085.969505064</v>
      </c>
    </row>
    <row r="159" spans="5:15" x14ac:dyDescent="0.25">
      <c r="E159" s="10">
        <v>138</v>
      </c>
      <c r="F159" s="285">
        <f t="shared" si="18"/>
        <v>38288386.659394421</v>
      </c>
      <c r="G159" s="285">
        <f t="shared" si="19"/>
        <v>255255.91106262949</v>
      </c>
      <c r="H159" s="285">
        <f t="shared" si="20"/>
        <v>385908.10968650255</v>
      </c>
      <c r="I159" s="285">
        <f t="shared" si="21"/>
        <v>38157734.460770547</v>
      </c>
      <c r="K159">
        <f t="shared" si="13"/>
        <v>138</v>
      </c>
      <c r="L159" s="1">
        <f t="shared" si="14"/>
        <v>34289085.969505064</v>
      </c>
      <c r="M159" s="1">
        <f t="shared" si="15"/>
        <v>228593.90646336711</v>
      </c>
      <c r="N159" s="1">
        <f t="shared" si="16"/>
        <v>345599.21438013314</v>
      </c>
      <c r="O159" s="1">
        <f t="shared" si="17"/>
        <v>34172080.661588304</v>
      </c>
    </row>
    <row r="160" spans="5:15" x14ac:dyDescent="0.25">
      <c r="E160" s="10">
        <v>139</v>
      </c>
      <c r="F160" s="285">
        <f t="shared" si="18"/>
        <v>38157734.460770547</v>
      </c>
      <c r="G160" s="285">
        <f t="shared" si="19"/>
        <v>254384.896405137</v>
      </c>
      <c r="H160" s="285">
        <f t="shared" si="20"/>
        <v>385908.10968650255</v>
      </c>
      <c r="I160" s="285">
        <f t="shared" si="21"/>
        <v>38026211.247489184</v>
      </c>
      <c r="K160">
        <f t="shared" si="13"/>
        <v>139</v>
      </c>
      <c r="L160" s="1">
        <f t="shared" si="14"/>
        <v>34172080.661588304</v>
      </c>
      <c r="M160" s="1">
        <f t="shared" si="15"/>
        <v>227813.87107725537</v>
      </c>
      <c r="N160" s="1">
        <f t="shared" si="16"/>
        <v>345599.21438013314</v>
      </c>
      <c r="O160" s="1">
        <f t="shared" si="17"/>
        <v>34054295.318285428</v>
      </c>
    </row>
    <row r="161" spans="5:15" x14ac:dyDescent="0.25">
      <c r="E161" s="10">
        <v>140</v>
      </c>
      <c r="F161" s="285">
        <f t="shared" si="18"/>
        <v>38026211.247489184</v>
      </c>
      <c r="G161" s="285">
        <f t="shared" si="19"/>
        <v>253508.07498326123</v>
      </c>
      <c r="H161" s="285">
        <f t="shared" si="20"/>
        <v>385908.10968650255</v>
      </c>
      <c r="I161" s="285">
        <f t="shared" si="21"/>
        <v>37893811.212785944</v>
      </c>
      <c r="K161">
        <f t="shared" si="13"/>
        <v>140</v>
      </c>
      <c r="L161" s="1">
        <f t="shared" si="14"/>
        <v>34054295.318285428</v>
      </c>
      <c r="M161" s="1">
        <f t="shared" si="15"/>
        <v>227028.63545523619</v>
      </c>
      <c r="N161" s="1">
        <f t="shared" si="16"/>
        <v>345599.21438013314</v>
      </c>
      <c r="O161" s="1">
        <f t="shared" si="17"/>
        <v>33935724.739360534</v>
      </c>
    </row>
    <row r="162" spans="5:15" x14ac:dyDescent="0.25">
      <c r="E162" s="10">
        <v>141</v>
      </c>
      <c r="F162" s="285">
        <f t="shared" si="18"/>
        <v>37893811.212785944</v>
      </c>
      <c r="G162" s="285">
        <f t="shared" si="19"/>
        <v>252625.40808523964</v>
      </c>
      <c r="H162" s="285">
        <f t="shared" si="20"/>
        <v>385908.10968650255</v>
      </c>
      <c r="I162" s="285">
        <f t="shared" si="21"/>
        <v>37760528.511184685</v>
      </c>
      <c r="K162">
        <f t="shared" si="13"/>
        <v>141</v>
      </c>
      <c r="L162" s="1">
        <f t="shared" si="14"/>
        <v>33935724.739360534</v>
      </c>
      <c r="M162" s="1">
        <f t="shared" si="15"/>
        <v>226238.16492907025</v>
      </c>
      <c r="N162" s="1">
        <f t="shared" si="16"/>
        <v>345599.21438013314</v>
      </c>
      <c r="O162" s="1">
        <f t="shared" si="17"/>
        <v>33816363.689909473</v>
      </c>
    </row>
    <row r="163" spans="5:15" x14ac:dyDescent="0.25">
      <c r="E163" s="10">
        <v>142</v>
      </c>
      <c r="F163" s="285">
        <f t="shared" si="18"/>
        <v>37760528.511184685</v>
      </c>
      <c r="G163" s="285">
        <f t="shared" si="19"/>
        <v>251736.85674123126</v>
      </c>
      <c r="H163" s="285">
        <f t="shared" si="20"/>
        <v>385908.10968650255</v>
      </c>
      <c r="I163" s="285">
        <f t="shared" si="21"/>
        <v>37626357.258239418</v>
      </c>
      <c r="K163">
        <f t="shared" si="13"/>
        <v>142</v>
      </c>
      <c r="L163" s="1">
        <f t="shared" si="14"/>
        <v>33816363.689909473</v>
      </c>
      <c r="M163" s="1">
        <f t="shared" si="15"/>
        <v>225442.4245993965</v>
      </c>
      <c r="N163" s="1">
        <f t="shared" si="16"/>
        <v>345599.21438013314</v>
      </c>
      <c r="O163" s="1">
        <f t="shared" si="17"/>
        <v>33696206.900128737</v>
      </c>
    </row>
    <row r="164" spans="5:15" x14ac:dyDescent="0.25">
      <c r="E164" s="10">
        <v>143</v>
      </c>
      <c r="F164" s="285">
        <f t="shared" si="18"/>
        <v>37626357.258239418</v>
      </c>
      <c r="G164" s="285">
        <f t="shared" si="19"/>
        <v>250842.38172159615</v>
      </c>
      <c r="H164" s="285">
        <f t="shared" si="20"/>
        <v>385908.10968650255</v>
      </c>
      <c r="I164" s="285">
        <f t="shared" si="21"/>
        <v>37491291.53027451</v>
      </c>
      <c r="K164">
        <f t="shared" si="13"/>
        <v>143</v>
      </c>
      <c r="L164" s="1">
        <f t="shared" si="14"/>
        <v>33696206.900128737</v>
      </c>
      <c r="M164" s="1">
        <f t="shared" si="15"/>
        <v>224641.37933419159</v>
      </c>
      <c r="N164" s="1">
        <f t="shared" si="16"/>
        <v>345599.21438013314</v>
      </c>
      <c r="O164" s="1">
        <f t="shared" si="17"/>
        <v>33575249.065082796</v>
      </c>
    </row>
    <row r="165" spans="5:15" x14ac:dyDescent="0.25">
      <c r="E165" s="10">
        <v>144</v>
      </c>
      <c r="F165" s="285">
        <f t="shared" si="18"/>
        <v>37491291.53027451</v>
      </c>
      <c r="G165" s="285">
        <f t="shared" si="19"/>
        <v>249941.94353516342</v>
      </c>
      <c r="H165" s="285">
        <f t="shared" si="20"/>
        <v>385908.10968650255</v>
      </c>
      <c r="I165" s="285">
        <f t="shared" si="21"/>
        <v>37355325.364123173</v>
      </c>
      <c r="K165">
        <f t="shared" si="13"/>
        <v>144</v>
      </c>
      <c r="L165" s="1">
        <f t="shared" si="14"/>
        <v>33575249.065082796</v>
      </c>
      <c r="M165" s="1">
        <f t="shared" si="15"/>
        <v>223834.99376721866</v>
      </c>
      <c r="N165" s="1">
        <f t="shared" si="16"/>
        <v>345599.21438013314</v>
      </c>
      <c r="O165" s="1">
        <f t="shared" si="17"/>
        <v>33453484.844469879</v>
      </c>
    </row>
    <row r="166" spans="5:15" x14ac:dyDescent="0.25">
      <c r="E166" s="10">
        <v>145</v>
      </c>
      <c r="F166" s="285">
        <f t="shared" si="18"/>
        <v>37355325.364123173</v>
      </c>
      <c r="G166" s="285">
        <f t="shared" si="19"/>
        <v>249035.50242748784</v>
      </c>
      <c r="H166" s="285">
        <f t="shared" si="20"/>
        <v>385908.10968650255</v>
      </c>
      <c r="I166" s="285">
        <f t="shared" si="21"/>
        <v>37218452.75686416</v>
      </c>
      <c r="K166">
        <f t="shared" si="13"/>
        <v>145</v>
      </c>
      <c r="L166" s="1">
        <f t="shared" si="14"/>
        <v>33453484.844469879</v>
      </c>
      <c r="M166" s="1">
        <f t="shared" si="15"/>
        <v>223023.23229646587</v>
      </c>
      <c r="N166" s="1">
        <f t="shared" si="16"/>
        <v>345599.21438013314</v>
      </c>
      <c r="O166" s="1">
        <f t="shared" si="17"/>
        <v>33330908.862386208</v>
      </c>
    </row>
    <row r="167" spans="5:15" x14ac:dyDescent="0.25">
      <c r="E167" s="10">
        <v>146</v>
      </c>
      <c r="F167" s="285">
        <f t="shared" si="18"/>
        <v>37218452.75686416</v>
      </c>
      <c r="G167" s="285">
        <f t="shared" si="19"/>
        <v>248123.01837909443</v>
      </c>
      <c r="H167" s="285">
        <f t="shared" si="20"/>
        <v>385908.10968650255</v>
      </c>
      <c r="I167" s="285">
        <f t="shared" si="21"/>
        <v>37080667.665556751</v>
      </c>
      <c r="K167">
        <f t="shared" si="13"/>
        <v>146</v>
      </c>
      <c r="L167" s="1">
        <f t="shared" si="14"/>
        <v>33330908.862386208</v>
      </c>
      <c r="M167" s="1">
        <f t="shared" si="15"/>
        <v>222206.05908257473</v>
      </c>
      <c r="N167" s="1">
        <f t="shared" si="16"/>
        <v>345599.21438013314</v>
      </c>
      <c r="O167" s="1">
        <f t="shared" si="17"/>
        <v>33207515.707088649</v>
      </c>
    </row>
    <row r="168" spans="5:15" x14ac:dyDescent="0.25">
      <c r="E168" s="10">
        <v>147</v>
      </c>
      <c r="F168" s="285">
        <f t="shared" si="18"/>
        <v>37080667.665556751</v>
      </c>
      <c r="G168" s="285">
        <f t="shared" si="19"/>
        <v>247204.4511037117</v>
      </c>
      <c r="H168" s="285">
        <f t="shared" si="20"/>
        <v>385908.10968650255</v>
      </c>
      <c r="I168" s="285">
        <f t="shared" si="21"/>
        <v>36941964.00697396</v>
      </c>
      <c r="K168">
        <f t="shared" si="13"/>
        <v>147</v>
      </c>
      <c r="L168" s="1">
        <f t="shared" si="14"/>
        <v>33207515.707088649</v>
      </c>
      <c r="M168" s="1">
        <f t="shared" si="15"/>
        <v>221383.43804725769</v>
      </c>
      <c r="N168" s="1">
        <f t="shared" si="16"/>
        <v>345599.21438013314</v>
      </c>
      <c r="O168" s="1">
        <f t="shared" si="17"/>
        <v>33083299.930755772</v>
      </c>
    </row>
    <row r="169" spans="5:15" x14ac:dyDescent="0.25">
      <c r="E169" s="10">
        <v>148</v>
      </c>
      <c r="F169" s="285">
        <f t="shared" si="18"/>
        <v>36941964.00697396</v>
      </c>
      <c r="G169" s="285">
        <f t="shared" si="19"/>
        <v>246279.76004649309</v>
      </c>
      <c r="H169" s="285">
        <f t="shared" si="20"/>
        <v>385908.10968650255</v>
      </c>
      <c r="I169" s="285">
        <f t="shared" si="21"/>
        <v>36802335.657333948</v>
      </c>
      <c r="K169">
        <f t="shared" si="13"/>
        <v>148</v>
      </c>
      <c r="L169" s="1">
        <f t="shared" si="14"/>
        <v>33083299.930755772</v>
      </c>
      <c r="M169" s="1">
        <f t="shared" si="15"/>
        <v>220555.33287170515</v>
      </c>
      <c r="N169" s="1">
        <f t="shared" si="16"/>
        <v>345599.21438013314</v>
      </c>
      <c r="O169" s="1">
        <f t="shared" si="17"/>
        <v>32958256.049247343</v>
      </c>
    </row>
    <row r="170" spans="5:15" x14ac:dyDescent="0.25">
      <c r="E170" s="10">
        <v>149</v>
      </c>
      <c r="F170" s="285">
        <f t="shared" si="18"/>
        <v>36802335.657333948</v>
      </c>
      <c r="G170" s="285">
        <f t="shared" si="19"/>
        <v>245348.90438222635</v>
      </c>
      <c r="H170" s="285">
        <f t="shared" si="20"/>
        <v>385908.10968650255</v>
      </c>
      <c r="I170" s="285">
        <f t="shared" si="21"/>
        <v>36661776.452029675</v>
      </c>
      <c r="K170">
        <f t="shared" si="13"/>
        <v>149</v>
      </c>
      <c r="L170" s="1">
        <f t="shared" si="14"/>
        <v>32958256.049247343</v>
      </c>
      <c r="M170" s="1">
        <f t="shared" si="15"/>
        <v>219721.70699498229</v>
      </c>
      <c r="N170" s="1">
        <f t="shared" si="16"/>
        <v>345599.21438013314</v>
      </c>
      <c r="O170" s="1">
        <f t="shared" si="17"/>
        <v>32832378.54186219</v>
      </c>
    </row>
    <row r="171" spans="5:15" x14ac:dyDescent="0.25">
      <c r="E171" s="10">
        <v>150</v>
      </c>
      <c r="F171" s="285">
        <f t="shared" si="18"/>
        <v>36661776.452029675</v>
      </c>
      <c r="G171" s="285">
        <f t="shared" si="19"/>
        <v>244411.84301353118</v>
      </c>
      <c r="H171" s="285">
        <f t="shared" si="20"/>
        <v>385908.10968650255</v>
      </c>
      <c r="I171" s="285">
        <f t="shared" si="21"/>
        <v>36520280.185356706</v>
      </c>
      <c r="K171">
        <f t="shared" si="13"/>
        <v>150</v>
      </c>
      <c r="L171" s="1">
        <f t="shared" si="14"/>
        <v>32832378.54186219</v>
      </c>
      <c r="M171" s="1">
        <f t="shared" si="15"/>
        <v>218882.5236124146</v>
      </c>
      <c r="N171" s="1">
        <f t="shared" si="16"/>
        <v>345599.21438013314</v>
      </c>
      <c r="O171" s="1">
        <f t="shared" si="17"/>
        <v>32705661.851094469</v>
      </c>
    </row>
    <row r="172" spans="5:15" x14ac:dyDescent="0.25">
      <c r="E172" s="10">
        <v>151</v>
      </c>
      <c r="F172" s="285">
        <f t="shared" si="18"/>
        <v>36520280.185356706</v>
      </c>
      <c r="G172" s="285">
        <f t="shared" si="19"/>
        <v>243468.53456904471</v>
      </c>
      <c r="H172" s="285">
        <f t="shared" si="20"/>
        <v>385908.10968650255</v>
      </c>
      <c r="I172" s="285">
        <f t="shared" si="21"/>
        <v>36377840.610239252</v>
      </c>
      <c r="K172">
        <f t="shared" si="13"/>
        <v>151</v>
      </c>
      <c r="L172" s="1">
        <f t="shared" si="14"/>
        <v>32705661.851094469</v>
      </c>
      <c r="M172" s="1">
        <f t="shared" si="15"/>
        <v>218037.74567396313</v>
      </c>
      <c r="N172" s="1">
        <f t="shared" si="16"/>
        <v>345599.21438013314</v>
      </c>
      <c r="O172" s="1">
        <f t="shared" si="17"/>
        <v>32578100.382388297</v>
      </c>
    </row>
    <row r="173" spans="5:15" x14ac:dyDescent="0.25">
      <c r="E173" s="10">
        <v>152</v>
      </c>
      <c r="F173" s="285">
        <f t="shared" si="18"/>
        <v>36377840.610239252</v>
      </c>
      <c r="G173" s="285">
        <f t="shared" si="19"/>
        <v>242518.93740159503</v>
      </c>
      <c r="H173" s="285">
        <f t="shared" si="20"/>
        <v>385908.10968650255</v>
      </c>
      <c r="I173" s="285">
        <f t="shared" si="21"/>
        <v>36234451.437954344</v>
      </c>
      <c r="K173">
        <f t="shared" si="13"/>
        <v>152</v>
      </c>
      <c r="L173" s="1">
        <f t="shared" si="14"/>
        <v>32578100.382388297</v>
      </c>
      <c r="M173" s="1">
        <f t="shared" si="15"/>
        <v>217187.33588258867</v>
      </c>
      <c r="N173" s="1">
        <f t="shared" si="16"/>
        <v>345599.21438013314</v>
      </c>
      <c r="O173" s="1">
        <f t="shared" si="17"/>
        <v>32449688.503890753</v>
      </c>
    </row>
    <row r="174" spans="5:15" x14ac:dyDescent="0.25">
      <c r="E174" s="10">
        <v>153</v>
      </c>
      <c r="F174" s="285">
        <f t="shared" si="18"/>
        <v>36234451.437954344</v>
      </c>
      <c r="G174" s="285">
        <f t="shared" si="19"/>
        <v>241563.00958636231</v>
      </c>
      <c r="H174" s="285">
        <f t="shared" si="20"/>
        <v>385908.10968650255</v>
      </c>
      <c r="I174" s="285">
        <f t="shared" si="21"/>
        <v>36090106.337854207</v>
      </c>
      <c r="K174">
        <f t="shared" si="13"/>
        <v>153</v>
      </c>
      <c r="L174" s="1">
        <f t="shared" si="14"/>
        <v>32449688.503890753</v>
      </c>
      <c r="M174" s="1">
        <f t="shared" si="15"/>
        <v>216331.25669260503</v>
      </c>
      <c r="N174" s="1">
        <f t="shared" si="16"/>
        <v>345599.21438013314</v>
      </c>
      <c r="O174" s="1">
        <f t="shared" si="17"/>
        <v>32320420.546203222</v>
      </c>
    </row>
    <row r="175" spans="5:15" x14ac:dyDescent="0.25">
      <c r="E175" s="10">
        <v>154</v>
      </c>
      <c r="F175" s="285">
        <f t="shared" si="18"/>
        <v>36090106.337854207</v>
      </c>
      <c r="G175" s="285">
        <f t="shared" si="19"/>
        <v>240600.70891902805</v>
      </c>
      <c r="H175" s="285">
        <f t="shared" si="20"/>
        <v>385908.10968650255</v>
      </c>
      <c r="I175" s="285">
        <f t="shared" si="21"/>
        <v>35944798.937086731</v>
      </c>
      <c r="K175">
        <f t="shared" si="13"/>
        <v>154</v>
      </c>
      <c r="L175" s="1">
        <f t="shared" si="14"/>
        <v>32320420.546203222</v>
      </c>
      <c r="M175" s="1">
        <f t="shared" si="15"/>
        <v>215469.4703080215</v>
      </c>
      <c r="N175" s="1">
        <f t="shared" si="16"/>
        <v>345599.21438013314</v>
      </c>
      <c r="O175" s="1">
        <f t="shared" si="17"/>
        <v>32190290.802131109</v>
      </c>
    </row>
    <row r="176" spans="5:15" x14ac:dyDescent="0.25">
      <c r="E176" s="10">
        <v>155</v>
      </c>
      <c r="F176" s="285">
        <f t="shared" si="18"/>
        <v>35944798.937086731</v>
      </c>
      <c r="G176" s="285">
        <f t="shared" si="19"/>
        <v>239631.99291391156</v>
      </c>
      <c r="H176" s="285">
        <f t="shared" si="20"/>
        <v>385908.10968650255</v>
      </c>
      <c r="I176" s="285">
        <f t="shared" si="21"/>
        <v>35798522.820314139</v>
      </c>
      <c r="K176">
        <f t="shared" si="13"/>
        <v>155</v>
      </c>
      <c r="L176" s="1">
        <f t="shared" si="14"/>
        <v>32190290.802131109</v>
      </c>
      <c r="M176" s="1">
        <f t="shared" si="15"/>
        <v>214601.93868087407</v>
      </c>
      <c r="N176" s="1">
        <f t="shared" si="16"/>
        <v>345599.21438013314</v>
      </c>
      <c r="O176" s="1">
        <f t="shared" si="17"/>
        <v>32059293.526431847</v>
      </c>
    </row>
    <row r="177" spans="5:15" x14ac:dyDescent="0.25">
      <c r="E177" s="10">
        <v>156</v>
      </c>
      <c r="F177" s="285">
        <f t="shared" si="18"/>
        <v>35798522.820314139</v>
      </c>
      <c r="G177" s="285">
        <f t="shared" si="19"/>
        <v>238656.81880209426</v>
      </c>
      <c r="H177" s="285">
        <f t="shared" si="20"/>
        <v>385908.10968650255</v>
      </c>
      <c r="I177" s="285">
        <f t="shared" si="21"/>
        <v>35651271.529429734</v>
      </c>
      <c r="K177">
        <f t="shared" si="13"/>
        <v>156</v>
      </c>
      <c r="L177" s="1">
        <f t="shared" si="14"/>
        <v>32059293.526431847</v>
      </c>
      <c r="M177" s="1">
        <f t="shared" si="15"/>
        <v>213728.62350954567</v>
      </c>
      <c r="N177" s="1">
        <f t="shared" si="16"/>
        <v>345599.21438013314</v>
      </c>
      <c r="O177" s="1">
        <f t="shared" si="17"/>
        <v>31927422.935561258</v>
      </c>
    </row>
    <row r="178" spans="5:15" x14ac:dyDescent="0.25">
      <c r="E178" s="10">
        <v>157</v>
      </c>
      <c r="F178" s="285">
        <f t="shared" si="18"/>
        <v>35651271.529429734</v>
      </c>
      <c r="G178" s="285">
        <f t="shared" si="19"/>
        <v>237675.14352953158</v>
      </c>
      <c r="H178" s="285">
        <f t="shared" si="20"/>
        <v>385908.10968650255</v>
      </c>
      <c r="I178" s="285">
        <f t="shared" si="21"/>
        <v>35503038.563272767</v>
      </c>
      <c r="K178">
        <f t="shared" si="13"/>
        <v>157</v>
      </c>
      <c r="L178" s="1">
        <f t="shared" si="14"/>
        <v>31927422.935561258</v>
      </c>
      <c r="M178" s="1">
        <f t="shared" si="15"/>
        <v>212849.48623707506</v>
      </c>
      <c r="N178" s="1">
        <f t="shared" si="16"/>
        <v>345599.21438013314</v>
      </c>
      <c r="O178" s="1">
        <f t="shared" si="17"/>
        <v>31794673.2074182</v>
      </c>
    </row>
    <row r="179" spans="5:15" x14ac:dyDescent="0.25">
      <c r="E179" s="10">
        <v>158</v>
      </c>
      <c r="F179" s="285">
        <f t="shared" si="18"/>
        <v>35503038.563272767</v>
      </c>
      <c r="G179" s="285">
        <f t="shared" si="19"/>
        <v>236686.9237551518</v>
      </c>
      <c r="H179" s="285">
        <f t="shared" si="20"/>
        <v>385908.10968650255</v>
      </c>
      <c r="I179" s="285">
        <f t="shared" si="21"/>
        <v>35353817.377341419</v>
      </c>
      <c r="K179">
        <f t="shared" si="13"/>
        <v>158</v>
      </c>
      <c r="L179" s="1">
        <f t="shared" si="14"/>
        <v>31794673.2074182</v>
      </c>
      <c r="M179" s="1">
        <f t="shared" si="15"/>
        <v>211964.48804945467</v>
      </c>
      <c r="N179" s="1">
        <f t="shared" si="16"/>
        <v>345599.21438013314</v>
      </c>
      <c r="O179" s="1">
        <f t="shared" si="17"/>
        <v>31661038.481087521</v>
      </c>
    </row>
    <row r="180" spans="5:15" x14ac:dyDescent="0.25">
      <c r="E180" s="10">
        <v>159</v>
      </c>
      <c r="F180" s="285">
        <f t="shared" si="18"/>
        <v>35353817.377341419</v>
      </c>
      <c r="G180" s="285">
        <f t="shared" si="19"/>
        <v>235692.11584894281</v>
      </c>
      <c r="H180" s="285">
        <f t="shared" si="20"/>
        <v>385908.10968650255</v>
      </c>
      <c r="I180" s="285">
        <f t="shared" si="21"/>
        <v>35203601.383503862</v>
      </c>
      <c r="K180">
        <f t="shared" si="13"/>
        <v>159</v>
      </c>
      <c r="L180" s="1">
        <f t="shared" si="14"/>
        <v>31661038.481087521</v>
      </c>
      <c r="M180" s="1">
        <f t="shared" si="15"/>
        <v>211073.58987391682</v>
      </c>
      <c r="N180" s="1">
        <f t="shared" si="16"/>
        <v>345599.21438013314</v>
      </c>
      <c r="O180" s="1">
        <f t="shared" si="17"/>
        <v>31526512.856581304</v>
      </c>
    </row>
    <row r="181" spans="5:15" x14ac:dyDescent="0.25">
      <c r="E181" s="10">
        <v>160</v>
      </c>
      <c r="F181" s="285">
        <f t="shared" si="18"/>
        <v>35203601.383503862</v>
      </c>
      <c r="G181" s="285">
        <f t="shared" si="19"/>
        <v>234690.67589002577</v>
      </c>
      <c r="H181" s="285">
        <f t="shared" si="20"/>
        <v>385908.10968650255</v>
      </c>
      <c r="I181" s="285">
        <f t="shared" si="21"/>
        <v>35052383.949707389</v>
      </c>
      <c r="K181">
        <f t="shared" si="13"/>
        <v>160</v>
      </c>
      <c r="L181" s="1">
        <f t="shared" si="14"/>
        <v>31526512.856581304</v>
      </c>
      <c r="M181" s="1">
        <f t="shared" si="15"/>
        <v>210176.7523772087</v>
      </c>
      <c r="N181" s="1">
        <f t="shared" si="16"/>
        <v>345599.21438013314</v>
      </c>
      <c r="O181" s="1">
        <f t="shared" si="17"/>
        <v>31391090.394578379</v>
      </c>
    </row>
    <row r="182" spans="5:15" x14ac:dyDescent="0.25">
      <c r="E182" s="10">
        <v>161</v>
      </c>
      <c r="F182" s="285">
        <f t="shared" si="18"/>
        <v>35052383.949707389</v>
      </c>
      <c r="G182" s="285">
        <f t="shared" si="19"/>
        <v>233682.55966471595</v>
      </c>
      <c r="H182" s="285">
        <f t="shared" si="20"/>
        <v>385908.10968650255</v>
      </c>
      <c r="I182" s="285">
        <f t="shared" si="21"/>
        <v>34900158.399685606</v>
      </c>
      <c r="K182">
        <f t="shared" si="13"/>
        <v>161</v>
      </c>
      <c r="L182" s="1">
        <f t="shared" si="14"/>
        <v>31391090.394578379</v>
      </c>
      <c r="M182" s="1">
        <f t="shared" si="15"/>
        <v>209273.93596385588</v>
      </c>
      <c r="N182" s="1">
        <f t="shared" si="16"/>
        <v>345599.21438013314</v>
      </c>
      <c r="O182" s="1">
        <f t="shared" si="17"/>
        <v>31254765.116162099</v>
      </c>
    </row>
    <row r="183" spans="5:15" x14ac:dyDescent="0.25">
      <c r="E183" s="10">
        <v>162</v>
      </c>
      <c r="F183" s="285">
        <f t="shared" si="18"/>
        <v>34900158.399685606</v>
      </c>
      <c r="G183" s="285">
        <f t="shared" si="19"/>
        <v>232667.72266457073</v>
      </c>
      <c r="H183" s="285">
        <f t="shared" si="20"/>
        <v>385908.10968650255</v>
      </c>
      <c r="I183" s="285">
        <f t="shared" si="21"/>
        <v>34746918.012663677</v>
      </c>
      <c r="K183">
        <f t="shared" si="13"/>
        <v>162</v>
      </c>
      <c r="L183" s="1">
        <f t="shared" si="14"/>
        <v>31254765.116162099</v>
      </c>
      <c r="M183" s="1">
        <f t="shared" si="15"/>
        <v>208365.10077441399</v>
      </c>
      <c r="N183" s="1">
        <f t="shared" si="16"/>
        <v>345599.21438013314</v>
      </c>
      <c r="O183" s="1">
        <f t="shared" si="17"/>
        <v>31117531.00255638</v>
      </c>
    </row>
    <row r="184" spans="5:15" x14ac:dyDescent="0.25">
      <c r="E184" s="10">
        <v>163</v>
      </c>
      <c r="F184" s="285">
        <f t="shared" si="18"/>
        <v>34746918.012663677</v>
      </c>
      <c r="G184" s="285">
        <f t="shared" si="19"/>
        <v>231646.12008442453</v>
      </c>
      <c r="H184" s="285">
        <f t="shared" si="20"/>
        <v>385908.10968650255</v>
      </c>
      <c r="I184" s="285">
        <f t="shared" si="21"/>
        <v>34592656.023061603</v>
      </c>
      <c r="K184">
        <f t="shared" si="13"/>
        <v>163</v>
      </c>
      <c r="L184" s="1">
        <f t="shared" si="14"/>
        <v>31117531.00255638</v>
      </c>
      <c r="M184" s="1">
        <f t="shared" si="15"/>
        <v>207450.2066837092</v>
      </c>
      <c r="N184" s="1">
        <f t="shared" si="16"/>
        <v>345599.21438013314</v>
      </c>
      <c r="O184" s="1">
        <f t="shared" si="17"/>
        <v>30979381.994859956</v>
      </c>
    </row>
    <row r="185" spans="5:15" x14ac:dyDescent="0.25">
      <c r="E185" s="10">
        <v>164</v>
      </c>
      <c r="F185" s="285">
        <f t="shared" si="18"/>
        <v>34592656.023061603</v>
      </c>
      <c r="G185" s="285">
        <f t="shared" si="19"/>
        <v>230617.70682041071</v>
      </c>
      <c r="H185" s="285">
        <f t="shared" si="20"/>
        <v>385908.10968650255</v>
      </c>
      <c r="I185" s="285">
        <f t="shared" si="21"/>
        <v>34437365.620195515</v>
      </c>
      <c r="K185">
        <f t="shared" si="13"/>
        <v>164</v>
      </c>
      <c r="L185" s="1">
        <f t="shared" si="14"/>
        <v>30979381.994859956</v>
      </c>
      <c r="M185" s="1">
        <f t="shared" si="15"/>
        <v>206529.21329906638</v>
      </c>
      <c r="N185" s="1">
        <f t="shared" si="16"/>
        <v>345599.21438013314</v>
      </c>
      <c r="O185" s="1">
        <f t="shared" si="17"/>
        <v>30840311.993778888</v>
      </c>
    </row>
    <row r="186" spans="5:15" x14ac:dyDescent="0.25">
      <c r="E186" s="10">
        <v>165</v>
      </c>
      <c r="F186" s="285">
        <f t="shared" si="18"/>
        <v>34437365.620195515</v>
      </c>
      <c r="G186" s="285">
        <f t="shared" si="19"/>
        <v>229582.43746797013</v>
      </c>
      <c r="H186" s="285">
        <f t="shared" si="20"/>
        <v>385908.10968650255</v>
      </c>
      <c r="I186" s="285">
        <f t="shared" si="21"/>
        <v>34281039.947976984</v>
      </c>
      <c r="K186">
        <f t="shared" si="13"/>
        <v>165</v>
      </c>
      <c r="L186" s="1">
        <f t="shared" si="14"/>
        <v>30840311.993778888</v>
      </c>
      <c r="M186" s="1">
        <f t="shared" si="15"/>
        <v>205602.07995852592</v>
      </c>
      <c r="N186" s="1">
        <f t="shared" si="16"/>
        <v>345599.21438013314</v>
      </c>
      <c r="O186" s="1">
        <f t="shared" si="17"/>
        <v>30700314.859357279</v>
      </c>
    </row>
    <row r="187" spans="5:15" x14ac:dyDescent="0.25">
      <c r="E187" s="10">
        <v>166</v>
      </c>
      <c r="F187" s="285">
        <f t="shared" si="18"/>
        <v>34281039.947976984</v>
      </c>
      <c r="G187" s="285">
        <f t="shared" si="19"/>
        <v>228540.26631984659</v>
      </c>
      <c r="H187" s="285">
        <f t="shared" si="20"/>
        <v>385908.10968650255</v>
      </c>
      <c r="I187" s="285">
        <f t="shared" si="21"/>
        <v>34123672.104610331</v>
      </c>
      <c r="K187">
        <f t="shared" si="13"/>
        <v>166</v>
      </c>
      <c r="L187" s="1">
        <f t="shared" si="14"/>
        <v>30700314.859357279</v>
      </c>
      <c r="M187" s="1">
        <f t="shared" si="15"/>
        <v>204668.76572904855</v>
      </c>
      <c r="N187" s="1">
        <f t="shared" si="16"/>
        <v>345599.21438013314</v>
      </c>
      <c r="O187" s="1">
        <f t="shared" si="17"/>
        <v>30559384.410706192</v>
      </c>
    </row>
    <row r="188" spans="5:15" x14ac:dyDescent="0.25">
      <c r="E188" s="10">
        <v>167</v>
      </c>
      <c r="F188" s="285">
        <f t="shared" si="18"/>
        <v>34123672.104610331</v>
      </c>
      <c r="G188" s="285">
        <f t="shared" si="19"/>
        <v>227491.14736406889</v>
      </c>
      <c r="H188" s="285">
        <f t="shared" si="20"/>
        <v>385908.10968650255</v>
      </c>
      <c r="I188" s="285">
        <f t="shared" si="21"/>
        <v>33965255.142287903</v>
      </c>
      <c r="K188">
        <f t="shared" ref="K188:K251" si="22">E188</f>
        <v>167</v>
      </c>
      <c r="L188" s="1">
        <f t="shared" ref="L188:L251" si="23">O187</f>
        <v>30559384.410706192</v>
      </c>
      <c r="M188" s="1">
        <f t="shared" ref="M188:M251" si="24">L188*$K$13</f>
        <v>203729.22940470796</v>
      </c>
      <c r="N188" s="1">
        <f t="shared" ref="N188:N251" si="25">ABS($O$57)</f>
        <v>345599.21438013314</v>
      </c>
      <c r="O188" s="1">
        <f t="shared" ref="O188:O251" si="26">L188+M188-N188</f>
        <v>30417514.425730765</v>
      </c>
    </row>
    <row r="189" spans="5:15" x14ac:dyDescent="0.25">
      <c r="E189" s="10">
        <v>168</v>
      </c>
      <c r="F189" s="285">
        <f t="shared" si="18"/>
        <v>33965255.142287903</v>
      </c>
      <c r="G189" s="285">
        <f t="shared" si="19"/>
        <v>226435.03428191936</v>
      </c>
      <c r="H189" s="285">
        <f t="shared" si="20"/>
        <v>385908.10968650255</v>
      </c>
      <c r="I189" s="285">
        <f t="shared" si="21"/>
        <v>33805782.066883318</v>
      </c>
      <c r="K189">
        <f t="shared" si="22"/>
        <v>168</v>
      </c>
      <c r="L189" s="1">
        <f t="shared" si="23"/>
        <v>30417514.425730765</v>
      </c>
      <c r="M189" s="1">
        <f t="shared" si="24"/>
        <v>202783.42950487178</v>
      </c>
      <c r="N189" s="1">
        <f t="shared" si="25"/>
        <v>345599.21438013314</v>
      </c>
      <c r="O189" s="1">
        <f t="shared" si="26"/>
        <v>30274698.640855502</v>
      </c>
    </row>
    <row r="190" spans="5:15" x14ac:dyDescent="0.25">
      <c r="E190" s="10">
        <v>169</v>
      </c>
      <c r="F190" s="285">
        <f t="shared" si="18"/>
        <v>33805782.066883318</v>
      </c>
      <c r="G190" s="285">
        <f t="shared" si="19"/>
        <v>225371.88044588879</v>
      </c>
      <c r="H190" s="285">
        <f t="shared" si="20"/>
        <v>385908.10968650255</v>
      </c>
      <c r="I190" s="285">
        <f t="shared" si="21"/>
        <v>33645245.837642707</v>
      </c>
      <c r="K190">
        <f t="shared" si="22"/>
        <v>169</v>
      </c>
      <c r="L190" s="1">
        <f t="shared" si="23"/>
        <v>30274698.640855502</v>
      </c>
      <c r="M190" s="1">
        <f t="shared" si="24"/>
        <v>201831.32427237002</v>
      </c>
      <c r="N190" s="1">
        <f t="shared" si="25"/>
        <v>345599.21438013314</v>
      </c>
      <c r="O190" s="1">
        <f t="shared" si="26"/>
        <v>30130930.75074774</v>
      </c>
    </row>
    <row r="191" spans="5:15" x14ac:dyDescent="0.25">
      <c r="E191" s="10">
        <v>170</v>
      </c>
      <c r="F191" s="285">
        <f t="shared" si="18"/>
        <v>33645245.837642707</v>
      </c>
      <c r="G191" s="285">
        <f t="shared" si="19"/>
        <v>224301.63891761805</v>
      </c>
      <c r="H191" s="285">
        <f t="shared" si="20"/>
        <v>385908.10968650255</v>
      </c>
      <c r="I191" s="285">
        <f t="shared" si="21"/>
        <v>33483639.366873823</v>
      </c>
      <c r="K191">
        <f t="shared" si="22"/>
        <v>170</v>
      </c>
      <c r="L191" s="1">
        <f t="shared" si="23"/>
        <v>30130930.75074774</v>
      </c>
      <c r="M191" s="1">
        <f t="shared" si="24"/>
        <v>200872.87167165161</v>
      </c>
      <c r="N191" s="1">
        <f t="shared" si="25"/>
        <v>345599.21438013314</v>
      </c>
      <c r="O191" s="1">
        <f t="shared" si="26"/>
        <v>29986204.408039257</v>
      </c>
    </row>
    <row r="192" spans="5:15" x14ac:dyDescent="0.25">
      <c r="E192" s="10">
        <v>171</v>
      </c>
      <c r="F192" s="285">
        <f t="shared" si="18"/>
        <v>33483639.366873823</v>
      </c>
      <c r="G192" s="285">
        <f t="shared" si="19"/>
        <v>223224.2624458255</v>
      </c>
      <c r="H192" s="285">
        <f t="shared" si="20"/>
        <v>385908.10968650255</v>
      </c>
      <c r="I192" s="285">
        <f t="shared" si="21"/>
        <v>33320955.519633144</v>
      </c>
      <c r="K192">
        <f t="shared" si="22"/>
        <v>171</v>
      </c>
      <c r="L192" s="1">
        <f t="shared" si="23"/>
        <v>29986204.408039257</v>
      </c>
      <c r="M192" s="1">
        <f t="shared" si="24"/>
        <v>199908.02938692839</v>
      </c>
      <c r="N192" s="1">
        <f t="shared" si="25"/>
        <v>345599.21438013314</v>
      </c>
      <c r="O192" s="1">
        <f t="shared" si="26"/>
        <v>29840513.223046053</v>
      </c>
    </row>
    <row r="193" spans="5:15" x14ac:dyDescent="0.25">
      <c r="E193" s="10">
        <v>172</v>
      </c>
      <c r="F193" s="285">
        <f t="shared" si="18"/>
        <v>33320955.519633144</v>
      </c>
      <c r="G193" s="285">
        <f t="shared" si="19"/>
        <v>222139.70346422098</v>
      </c>
      <c r="H193" s="285">
        <f t="shared" si="20"/>
        <v>385908.10968650255</v>
      </c>
      <c r="I193" s="285">
        <f t="shared" si="21"/>
        <v>33157187.113410864</v>
      </c>
      <c r="K193">
        <f t="shared" si="22"/>
        <v>172</v>
      </c>
      <c r="L193" s="1">
        <f t="shared" si="23"/>
        <v>29840513.223046053</v>
      </c>
      <c r="M193" s="1">
        <f t="shared" si="24"/>
        <v>198936.75482030705</v>
      </c>
      <c r="N193" s="1">
        <f t="shared" si="25"/>
        <v>345599.21438013314</v>
      </c>
      <c r="O193" s="1">
        <f t="shared" si="26"/>
        <v>29693850.763486225</v>
      </c>
    </row>
    <row r="194" spans="5:15" x14ac:dyDescent="0.25">
      <c r="E194" s="10">
        <v>173</v>
      </c>
      <c r="F194" s="285">
        <f t="shared" si="18"/>
        <v>33157187.113410864</v>
      </c>
      <c r="G194" s="285">
        <f t="shared" si="19"/>
        <v>221047.91408940576</v>
      </c>
      <c r="H194" s="285">
        <f t="shared" si="20"/>
        <v>385908.10968650255</v>
      </c>
      <c r="I194" s="285">
        <f t="shared" si="21"/>
        <v>32992326.917813767</v>
      </c>
      <c r="K194">
        <f t="shared" si="22"/>
        <v>173</v>
      </c>
      <c r="L194" s="1">
        <f t="shared" si="23"/>
        <v>29693850.763486225</v>
      </c>
      <c r="M194" s="1">
        <f t="shared" si="24"/>
        <v>197959.00508990817</v>
      </c>
      <c r="N194" s="1">
        <f t="shared" si="25"/>
        <v>345599.21438013314</v>
      </c>
      <c r="O194" s="1">
        <f t="shared" si="26"/>
        <v>29546210.554196</v>
      </c>
    </row>
    <row r="195" spans="5:15" x14ac:dyDescent="0.25">
      <c r="E195" s="10">
        <v>174</v>
      </c>
      <c r="F195" s="285">
        <f t="shared" si="18"/>
        <v>32992326.917813767</v>
      </c>
      <c r="G195" s="285">
        <f t="shared" si="19"/>
        <v>219948.84611875846</v>
      </c>
      <c r="H195" s="285">
        <f t="shared" si="20"/>
        <v>385908.10968650255</v>
      </c>
      <c r="I195" s="285">
        <f t="shared" si="21"/>
        <v>32826367.654246025</v>
      </c>
      <c r="K195">
        <f t="shared" si="22"/>
        <v>174</v>
      </c>
      <c r="L195" s="1">
        <f t="shared" si="23"/>
        <v>29546210.554196</v>
      </c>
      <c r="M195" s="1">
        <f t="shared" si="24"/>
        <v>196974.73702797334</v>
      </c>
      <c r="N195" s="1">
        <f t="shared" si="25"/>
        <v>345599.21438013314</v>
      </c>
      <c r="O195" s="1">
        <f t="shared" si="26"/>
        <v>29397586.076843839</v>
      </c>
    </row>
    <row r="196" spans="5:15" x14ac:dyDescent="0.25">
      <c r="E196" s="10">
        <v>175</v>
      </c>
      <c r="F196" s="285">
        <f t="shared" si="18"/>
        <v>32826367.654246025</v>
      </c>
      <c r="G196" s="285">
        <f t="shared" si="19"/>
        <v>218842.45102830685</v>
      </c>
      <c r="H196" s="285">
        <f t="shared" si="20"/>
        <v>385908.10968650255</v>
      </c>
      <c r="I196" s="285">
        <f t="shared" si="21"/>
        <v>32659301.99558783</v>
      </c>
      <c r="K196">
        <f t="shared" si="22"/>
        <v>175</v>
      </c>
      <c r="L196" s="1">
        <f t="shared" si="23"/>
        <v>29397586.076843839</v>
      </c>
      <c r="M196" s="1">
        <f t="shared" si="24"/>
        <v>195983.90717895894</v>
      </c>
      <c r="N196" s="1">
        <f t="shared" si="25"/>
        <v>345599.21438013314</v>
      </c>
      <c r="O196" s="1">
        <f t="shared" si="26"/>
        <v>29247970.769642666</v>
      </c>
    </row>
    <row r="197" spans="5:15" x14ac:dyDescent="0.25">
      <c r="E197" s="10">
        <v>176</v>
      </c>
      <c r="F197" s="285">
        <f t="shared" si="18"/>
        <v>32659301.99558783</v>
      </c>
      <c r="G197" s="285">
        <f t="shared" si="19"/>
        <v>217728.67997058554</v>
      </c>
      <c r="H197" s="285">
        <f t="shared" si="20"/>
        <v>385908.10968650255</v>
      </c>
      <c r="I197" s="285">
        <f t="shared" si="21"/>
        <v>32491122.565871913</v>
      </c>
      <c r="K197">
        <f t="shared" si="22"/>
        <v>176</v>
      </c>
      <c r="L197" s="1">
        <f t="shared" si="23"/>
        <v>29247970.769642666</v>
      </c>
      <c r="M197" s="1">
        <f t="shared" si="24"/>
        <v>194986.47179761779</v>
      </c>
      <c r="N197" s="1">
        <f t="shared" si="25"/>
        <v>345599.21438013314</v>
      </c>
      <c r="O197" s="1">
        <f t="shared" si="26"/>
        <v>29097358.027060151</v>
      </c>
    </row>
    <row r="198" spans="5:15" x14ac:dyDescent="0.25">
      <c r="E198" s="10">
        <v>177</v>
      </c>
      <c r="F198" s="285">
        <f t="shared" si="18"/>
        <v>32491122.565871913</v>
      </c>
      <c r="G198" s="285">
        <f t="shared" si="19"/>
        <v>216607.48377247943</v>
      </c>
      <c r="H198" s="285">
        <f t="shared" si="20"/>
        <v>385908.10968650255</v>
      </c>
      <c r="I198" s="285">
        <f t="shared" si="21"/>
        <v>32321821.939957891</v>
      </c>
      <c r="K198">
        <f t="shared" si="22"/>
        <v>177</v>
      </c>
      <c r="L198" s="1">
        <f t="shared" si="23"/>
        <v>29097358.027060151</v>
      </c>
      <c r="M198" s="1">
        <f t="shared" si="24"/>
        <v>193982.38684706768</v>
      </c>
      <c r="N198" s="1">
        <f t="shared" si="25"/>
        <v>345599.21438013314</v>
      </c>
      <c r="O198" s="1">
        <f t="shared" si="26"/>
        <v>28945741.199527085</v>
      </c>
    </row>
    <row r="199" spans="5:15" x14ac:dyDescent="0.25">
      <c r="E199" s="10">
        <v>178</v>
      </c>
      <c r="F199" s="285">
        <f t="shared" si="18"/>
        <v>32321821.939957891</v>
      </c>
      <c r="G199" s="285">
        <f t="shared" si="19"/>
        <v>215478.81293305263</v>
      </c>
      <c r="H199" s="285">
        <f t="shared" si="20"/>
        <v>385908.10968650255</v>
      </c>
      <c r="I199" s="285">
        <f t="shared" si="21"/>
        <v>32151392.643204443</v>
      </c>
      <c r="K199">
        <f t="shared" si="22"/>
        <v>178</v>
      </c>
      <c r="L199" s="1">
        <f t="shared" si="23"/>
        <v>28945741.199527085</v>
      </c>
      <c r="M199" s="1">
        <f t="shared" si="24"/>
        <v>192971.60799684725</v>
      </c>
      <c r="N199" s="1">
        <f t="shared" si="25"/>
        <v>345599.21438013314</v>
      </c>
      <c r="O199" s="1">
        <f t="shared" si="26"/>
        <v>28793113.593143798</v>
      </c>
    </row>
    <row r="200" spans="5:15" x14ac:dyDescent="0.25">
      <c r="E200" s="10">
        <v>179</v>
      </c>
      <c r="F200" s="285">
        <f t="shared" si="18"/>
        <v>32151392.643204443</v>
      </c>
      <c r="G200" s="285">
        <f t="shared" si="19"/>
        <v>214342.61762136297</v>
      </c>
      <c r="H200" s="285">
        <f t="shared" si="20"/>
        <v>385908.10968650255</v>
      </c>
      <c r="I200" s="285">
        <f t="shared" si="21"/>
        <v>31979827.151139304</v>
      </c>
      <c r="K200">
        <f t="shared" si="22"/>
        <v>179</v>
      </c>
      <c r="L200" s="1">
        <f t="shared" si="23"/>
        <v>28793113.593143798</v>
      </c>
      <c r="M200" s="1">
        <f t="shared" si="24"/>
        <v>191954.09062095868</v>
      </c>
      <c r="N200" s="1">
        <f t="shared" si="25"/>
        <v>345599.21438013314</v>
      </c>
      <c r="O200" s="1">
        <f t="shared" si="26"/>
        <v>28639468.469384622</v>
      </c>
    </row>
    <row r="201" spans="5:15" x14ac:dyDescent="0.25">
      <c r="E201" s="10">
        <v>180</v>
      </c>
      <c r="F201" s="285">
        <f t="shared" si="18"/>
        <v>31979827.151139304</v>
      </c>
      <c r="G201" s="285">
        <f t="shared" si="19"/>
        <v>213198.84767426204</v>
      </c>
      <c r="H201" s="285">
        <f t="shared" si="20"/>
        <v>385908.10968650255</v>
      </c>
      <c r="I201" s="285">
        <f t="shared" si="21"/>
        <v>31807117.889127064</v>
      </c>
      <c r="K201">
        <f t="shared" si="22"/>
        <v>180</v>
      </c>
      <c r="L201" s="1">
        <f t="shared" si="23"/>
        <v>28639468.469384622</v>
      </c>
      <c r="M201" s="1">
        <f t="shared" si="24"/>
        <v>190929.78979589749</v>
      </c>
      <c r="N201" s="1">
        <f t="shared" si="25"/>
        <v>345599.21438013314</v>
      </c>
      <c r="O201" s="1">
        <f t="shared" si="26"/>
        <v>28484799.044800386</v>
      </c>
    </row>
    <row r="202" spans="5:15" x14ac:dyDescent="0.25">
      <c r="E202" s="10">
        <v>181</v>
      </c>
      <c r="F202" s="285">
        <f t="shared" si="18"/>
        <v>31807117.889127064</v>
      </c>
      <c r="G202" s="285">
        <f t="shared" si="19"/>
        <v>212047.45259418045</v>
      </c>
      <c r="H202" s="285">
        <f t="shared" si="20"/>
        <v>385908.10968650255</v>
      </c>
      <c r="I202" s="285">
        <f t="shared" si="21"/>
        <v>31633257.232034743</v>
      </c>
      <c r="K202">
        <f t="shared" si="22"/>
        <v>181</v>
      </c>
      <c r="L202" s="1">
        <f t="shared" si="23"/>
        <v>28484799.044800386</v>
      </c>
      <c r="M202" s="1">
        <f t="shared" si="24"/>
        <v>189898.66029866925</v>
      </c>
      <c r="N202" s="1">
        <f t="shared" si="25"/>
        <v>345599.21438013314</v>
      </c>
      <c r="O202" s="1">
        <f t="shared" si="26"/>
        <v>28329098.49071892</v>
      </c>
    </row>
    <row r="203" spans="5:15" x14ac:dyDescent="0.25">
      <c r="E203" s="10">
        <v>182</v>
      </c>
      <c r="F203" s="285">
        <f t="shared" si="18"/>
        <v>31633257.232034743</v>
      </c>
      <c r="G203" s="285">
        <f t="shared" si="19"/>
        <v>210888.38154689831</v>
      </c>
      <c r="H203" s="285">
        <f t="shared" si="20"/>
        <v>385908.10968650255</v>
      </c>
      <c r="I203" s="285">
        <f t="shared" si="21"/>
        <v>31458237.503895141</v>
      </c>
      <c r="K203">
        <f t="shared" si="22"/>
        <v>182</v>
      </c>
      <c r="L203" s="1">
        <f t="shared" si="23"/>
        <v>28329098.49071892</v>
      </c>
      <c r="M203" s="1">
        <f t="shared" si="24"/>
        <v>188860.65660479281</v>
      </c>
      <c r="N203" s="1">
        <f t="shared" si="25"/>
        <v>345599.21438013314</v>
      </c>
      <c r="O203" s="1">
        <f t="shared" si="26"/>
        <v>28172359.932943579</v>
      </c>
    </row>
    <row r="204" spans="5:15" x14ac:dyDescent="0.25">
      <c r="E204" s="10">
        <v>183</v>
      </c>
      <c r="F204" s="285">
        <f t="shared" si="18"/>
        <v>31458237.503895141</v>
      </c>
      <c r="G204" s="285">
        <f t="shared" si="19"/>
        <v>209721.58335930094</v>
      </c>
      <c r="H204" s="285">
        <f t="shared" si="20"/>
        <v>385908.10968650255</v>
      </c>
      <c r="I204" s="285">
        <f t="shared" si="21"/>
        <v>31282050.977567941</v>
      </c>
      <c r="K204">
        <f t="shared" si="22"/>
        <v>183</v>
      </c>
      <c r="L204" s="1">
        <f t="shared" si="23"/>
        <v>28172359.932943579</v>
      </c>
      <c r="M204" s="1">
        <f t="shared" si="24"/>
        <v>187815.73288629053</v>
      </c>
      <c r="N204" s="1">
        <f t="shared" si="25"/>
        <v>345599.21438013314</v>
      </c>
      <c r="O204" s="1">
        <f t="shared" si="26"/>
        <v>28014576.451449737</v>
      </c>
    </row>
    <row r="205" spans="5:15" x14ac:dyDescent="0.25">
      <c r="E205" s="10">
        <v>184</v>
      </c>
      <c r="F205" s="285">
        <f t="shared" si="18"/>
        <v>31282050.977567941</v>
      </c>
      <c r="G205" s="285">
        <f t="shared" si="19"/>
        <v>208547.00651711962</v>
      </c>
      <c r="H205" s="285">
        <f t="shared" si="20"/>
        <v>385908.10968650255</v>
      </c>
      <c r="I205" s="285">
        <f t="shared" si="21"/>
        <v>31104689.874398559</v>
      </c>
      <c r="K205">
        <f t="shared" si="22"/>
        <v>184</v>
      </c>
      <c r="L205" s="1">
        <f t="shared" si="23"/>
        <v>28014576.451449737</v>
      </c>
      <c r="M205" s="1">
        <f t="shared" si="24"/>
        <v>186763.84300966494</v>
      </c>
      <c r="N205" s="1">
        <f t="shared" si="25"/>
        <v>345599.21438013314</v>
      </c>
      <c r="O205" s="1">
        <f t="shared" si="26"/>
        <v>27855741.080079269</v>
      </c>
    </row>
    <row r="206" spans="5:15" x14ac:dyDescent="0.25">
      <c r="E206" s="10">
        <v>185</v>
      </c>
      <c r="F206" s="285">
        <f t="shared" si="18"/>
        <v>31104689.874398559</v>
      </c>
      <c r="G206" s="285">
        <f t="shared" si="19"/>
        <v>207364.59916265708</v>
      </c>
      <c r="H206" s="285">
        <f t="shared" si="20"/>
        <v>385908.10968650255</v>
      </c>
      <c r="I206" s="285">
        <f t="shared" si="21"/>
        <v>30926146.363874715</v>
      </c>
      <c r="K206">
        <f t="shared" si="22"/>
        <v>185</v>
      </c>
      <c r="L206" s="1">
        <f t="shared" si="23"/>
        <v>27855741.080079269</v>
      </c>
      <c r="M206" s="1">
        <f t="shared" si="24"/>
        <v>185704.94053386181</v>
      </c>
      <c r="N206" s="1">
        <f t="shared" si="25"/>
        <v>345599.21438013314</v>
      </c>
      <c r="O206" s="1">
        <f t="shared" si="26"/>
        <v>27695846.806232996</v>
      </c>
    </row>
    <row r="207" spans="5:15" x14ac:dyDescent="0.25">
      <c r="E207" s="10">
        <v>186</v>
      </c>
      <c r="F207" s="285">
        <f t="shared" si="18"/>
        <v>30926146.363874715</v>
      </c>
      <c r="G207" s="285">
        <f t="shared" si="19"/>
        <v>206174.30909249812</v>
      </c>
      <c r="H207" s="285">
        <f t="shared" si="20"/>
        <v>385908.10968650255</v>
      </c>
      <c r="I207" s="285">
        <f t="shared" si="21"/>
        <v>30746412.563280713</v>
      </c>
      <c r="K207">
        <f t="shared" si="22"/>
        <v>186</v>
      </c>
      <c r="L207" s="1">
        <f t="shared" si="23"/>
        <v>27695846.806232996</v>
      </c>
      <c r="M207" s="1">
        <f t="shared" si="24"/>
        <v>184638.97870821998</v>
      </c>
      <c r="N207" s="1">
        <f t="shared" si="25"/>
        <v>345599.21438013314</v>
      </c>
      <c r="O207" s="1">
        <f t="shared" si="26"/>
        <v>27534886.570561081</v>
      </c>
    </row>
    <row r="208" spans="5:15" x14ac:dyDescent="0.25">
      <c r="E208" s="10">
        <v>187</v>
      </c>
      <c r="F208" s="285">
        <f t="shared" si="18"/>
        <v>30746412.563280713</v>
      </c>
      <c r="G208" s="285">
        <f t="shared" si="19"/>
        <v>204976.08375520477</v>
      </c>
      <c r="H208" s="285">
        <f t="shared" si="20"/>
        <v>385908.10968650255</v>
      </c>
      <c r="I208" s="285">
        <f t="shared" si="21"/>
        <v>30565480.537349418</v>
      </c>
      <c r="K208">
        <f t="shared" si="22"/>
        <v>187</v>
      </c>
      <c r="L208" s="1">
        <f t="shared" si="23"/>
        <v>27534886.570561081</v>
      </c>
      <c r="M208" s="1">
        <f t="shared" si="24"/>
        <v>183565.91047040722</v>
      </c>
      <c r="N208" s="1">
        <f t="shared" si="25"/>
        <v>345599.21438013314</v>
      </c>
      <c r="O208" s="1">
        <f t="shared" si="26"/>
        <v>27372853.266651355</v>
      </c>
    </row>
    <row r="209" spans="5:15" x14ac:dyDescent="0.25">
      <c r="E209" s="10">
        <v>188</v>
      </c>
      <c r="F209" s="285">
        <f t="shared" si="18"/>
        <v>30565480.537349418</v>
      </c>
      <c r="G209" s="285">
        <f t="shared" si="19"/>
        <v>203769.87024899613</v>
      </c>
      <c r="H209" s="285">
        <f t="shared" si="20"/>
        <v>385908.10968650255</v>
      </c>
      <c r="I209" s="285">
        <f t="shared" si="21"/>
        <v>30383342.297911912</v>
      </c>
      <c r="K209">
        <f t="shared" si="22"/>
        <v>188</v>
      </c>
      <c r="L209" s="1">
        <f t="shared" si="23"/>
        <v>27372853.266651355</v>
      </c>
      <c r="M209" s="1">
        <f t="shared" si="24"/>
        <v>182485.68844434238</v>
      </c>
      <c r="N209" s="1">
        <f t="shared" si="25"/>
        <v>345599.21438013314</v>
      </c>
      <c r="O209" s="1">
        <f t="shared" si="26"/>
        <v>27209739.740715563</v>
      </c>
    </row>
    <row r="210" spans="5:15" x14ac:dyDescent="0.25">
      <c r="E210" s="10">
        <v>189</v>
      </c>
      <c r="F210" s="285">
        <f t="shared" si="18"/>
        <v>30383342.297911912</v>
      </c>
      <c r="G210" s="285">
        <f t="shared" si="19"/>
        <v>202555.61531941275</v>
      </c>
      <c r="H210" s="285">
        <f t="shared" si="20"/>
        <v>385908.10968650255</v>
      </c>
      <c r="I210" s="285">
        <f t="shared" si="21"/>
        <v>30199989.803544823</v>
      </c>
      <c r="K210">
        <f t="shared" si="22"/>
        <v>189</v>
      </c>
      <c r="L210" s="1">
        <f t="shared" si="23"/>
        <v>27209739.740715563</v>
      </c>
      <c r="M210" s="1">
        <f t="shared" si="24"/>
        <v>181398.26493810376</v>
      </c>
      <c r="N210" s="1">
        <f t="shared" si="25"/>
        <v>345599.21438013314</v>
      </c>
      <c r="O210" s="1">
        <f t="shared" si="26"/>
        <v>27045538.791273534</v>
      </c>
    </row>
    <row r="211" spans="5:15" x14ac:dyDescent="0.25">
      <c r="E211" s="10">
        <v>190</v>
      </c>
      <c r="F211" s="285">
        <f t="shared" si="18"/>
        <v>30199989.803544823</v>
      </c>
      <c r="G211" s="285">
        <f t="shared" si="19"/>
        <v>201333.26535696551</v>
      </c>
      <c r="H211" s="285">
        <f t="shared" si="20"/>
        <v>385908.10968650255</v>
      </c>
      <c r="I211" s="285">
        <f t="shared" si="21"/>
        <v>30015414.959215287</v>
      </c>
      <c r="K211">
        <f t="shared" si="22"/>
        <v>190</v>
      </c>
      <c r="L211" s="1">
        <f t="shared" si="23"/>
        <v>27045538.791273534</v>
      </c>
      <c r="M211" s="1">
        <f t="shared" si="24"/>
        <v>180303.59194182357</v>
      </c>
      <c r="N211" s="1">
        <f t="shared" si="25"/>
        <v>345599.21438013314</v>
      </c>
      <c r="O211" s="1">
        <f t="shared" si="26"/>
        <v>26880243.168835223</v>
      </c>
    </row>
    <row r="212" spans="5:15" x14ac:dyDescent="0.25">
      <c r="E212" s="10">
        <v>191</v>
      </c>
      <c r="F212" s="285">
        <f t="shared" si="18"/>
        <v>30015414.959215287</v>
      </c>
      <c r="G212" s="285">
        <f t="shared" si="19"/>
        <v>200102.76639476858</v>
      </c>
      <c r="H212" s="285">
        <f t="shared" si="20"/>
        <v>385908.10968650255</v>
      </c>
      <c r="I212" s="285">
        <f t="shared" si="21"/>
        <v>29829609.615923554</v>
      </c>
      <c r="K212">
        <f t="shared" si="22"/>
        <v>191</v>
      </c>
      <c r="L212" s="1">
        <f t="shared" si="23"/>
        <v>26880243.168835223</v>
      </c>
      <c r="M212" s="1">
        <f t="shared" si="24"/>
        <v>179201.62112556817</v>
      </c>
      <c r="N212" s="1">
        <f t="shared" si="25"/>
        <v>345599.21438013314</v>
      </c>
      <c r="O212" s="1">
        <f t="shared" si="26"/>
        <v>26713845.575580657</v>
      </c>
    </row>
    <row r="213" spans="5:15" x14ac:dyDescent="0.25">
      <c r="E213" s="10">
        <v>192</v>
      </c>
      <c r="F213" s="285">
        <f t="shared" si="18"/>
        <v>29829609.615923554</v>
      </c>
      <c r="G213" s="285">
        <f t="shared" si="19"/>
        <v>198864.06410615705</v>
      </c>
      <c r="H213" s="285">
        <f t="shared" si="20"/>
        <v>385908.10968650255</v>
      </c>
      <c r="I213" s="285">
        <f t="shared" si="21"/>
        <v>29642565.570343211</v>
      </c>
      <c r="K213">
        <f t="shared" si="22"/>
        <v>192</v>
      </c>
      <c r="L213" s="1">
        <f t="shared" si="23"/>
        <v>26713845.575580657</v>
      </c>
      <c r="M213" s="1">
        <f t="shared" si="24"/>
        <v>178092.30383720438</v>
      </c>
      <c r="N213" s="1">
        <f t="shared" si="25"/>
        <v>345599.21438013314</v>
      </c>
      <c r="O213" s="1">
        <f t="shared" si="26"/>
        <v>26546338.665037729</v>
      </c>
    </row>
    <row r="214" spans="5:15" x14ac:dyDescent="0.25">
      <c r="E214" s="10">
        <v>193</v>
      </c>
      <c r="F214" s="285">
        <f t="shared" si="18"/>
        <v>29642565.570343211</v>
      </c>
      <c r="G214" s="285">
        <f t="shared" si="19"/>
        <v>197617.1038022881</v>
      </c>
      <c r="H214" s="285">
        <f t="shared" si="20"/>
        <v>385908.10968650255</v>
      </c>
      <c r="I214" s="285">
        <f t="shared" si="21"/>
        <v>29454274.564459</v>
      </c>
      <c r="K214">
        <f t="shared" si="22"/>
        <v>193</v>
      </c>
      <c r="L214" s="1">
        <f t="shared" si="23"/>
        <v>26546338.665037729</v>
      </c>
      <c r="M214" s="1">
        <f t="shared" si="24"/>
        <v>176975.59110025153</v>
      </c>
      <c r="N214" s="1">
        <f t="shared" si="25"/>
        <v>345599.21438013314</v>
      </c>
      <c r="O214" s="1">
        <f t="shared" si="26"/>
        <v>26377715.041757848</v>
      </c>
    </row>
    <row r="215" spans="5:15" x14ac:dyDescent="0.25">
      <c r="E215" s="10">
        <v>194</v>
      </c>
      <c r="F215" s="285">
        <f t="shared" si="18"/>
        <v>29454274.564459</v>
      </c>
      <c r="G215" s="285">
        <f t="shared" si="19"/>
        <v>196361.83042972669</v>
      </c>
      <c r="H215" s="285">
        <f t="shared" si="20"/>
        <v>385908.10968650255</v>
      </c>
      <c r="I215" s="285">
        <f t="shared" si="21"/>
        <v>29264728.285202224</v>
      </c>
      <c r="K215">
        <f t="shared" si="22"/>
        <v>194</v>
      </c>
      <c r="L215" s="1">
        <f t="shared" si="23"/>
        <v>26377715.041757848</v>
      </c>
      <c r="M215" s="1">
        <f t="shared" si="24"/>
        <v>175851.433611719</v>
      </c>
      <c r="N215" s="1">
        <f t="shared" si="25"/>
        <v>345599.21438013314</v>
      </c>
      <c r="O215" s="1">
        <f t="shared" si="26"/>
        <v>26207967.260989435</v>
      </c>
    </row>
    <row r="216" spans="5:15" x14ac:dyDescent="0.25">
      <c r="E216" s="10">
        <v>195</v>
      </c>
      <c r="F216" s="285">
        <f t="shared" ref="F216:F279" si="27">I215</f>
        <v>29264728.285202224</v>
      </c>
      <c r="G216" s="285">
        <f t="shared" ref="G216:G279" si="28">F216*$K$13</f>
        <v>195098.18856801483</v>
      </c>
      <c r="H216" s="285">
        <f t="shared" ref="H216:H279" si="29">$G$17</f>
        <v>385908.10968650255</v>
      </c>
      <c r="I216" s="285">
        <f t="shared" ref="I216:I279" si="30">F216+G216-H216</f>
        <v>29073918.364083737</v>
      </c>
      <c r="K216">
        <f t="shared" si="22"/>
        <v>195</v>
      </c>
      <c r="L216" s="1">
        <f t="shared" si="23"/>
        <v>26207967.260989435</v>
      </c>
      <c r="M216" s="1">
        <f t="shared" si="24"/>
        <v>174719.78173992957</v>
      </c>
      <c r="N216" s="1">
        <f t="shared" si="25"/>
        <v>345599.21438013314</v>
      </c>
      <c r="O216" s="1">
        <f t="shared" si="26"/>
        <v>26037087.828349229</v>
      </c>
    </row>
    <row r="217" spans="5:15" x14ac:dyDescent="0.25">
      <c r="E217" s="10">
        <v>196</v>
      </c>
      <c r="F217" s="285">
        <f t="shared" si="27"/>
        <v>29073918.364083737</v>
      </c>
      <c r="G217" s="285">
        <f t="shared" si="28"/>
        <v>193826.12242722494</v>
      </c>
      <c r="H217" s="285">
        <f t="shared" si="29"/>
        <v>385908.10968650255</v>
      </c>
      <c r="I217" s="285">
        <f t="shared" si="30"/>
        <v>28881836.376824461</v>
      </c>
      <c r="K217">
        <f t="shared" si="22"/>
        <v>196</v>
      </c>
      <c r="L217" s="1">
        <f t="shared" si="23"/>
        <v>26037087.828349229</v>
      </c>
      <c r="M217" s="1">
        <f t="shared" si="24"/>
        <v>173580.58552232821</v>
      </c>
      <c r="N217" s="1">
        <f t="shared" si="25"/>
        <v>345599.21438013314</v>
      </c>
      <c r="O217" s="1">
        <f t="shared" si="26"/>
        <v>25865069.199491423</v>
      </c>
    </row>
    <row r="218" spans="5:15" x14ac:dyDescent="0.25">
      <c r="E218" s="10">
        <v>197</v>
      </c>
      <c r="F218" s="285">
        <f t="shared" si="27"/>
        <v>28881836.376824461</v>
      </c>
      <c r="G218" s="285">
        <f t="shared" si="28"/>
        <v>192545.57584549641</v>
      </c>
      <c r="H218" s="285">
        <f t="shared" si="29"/>
        <v>385908.10968650255</v>
      </c>
      <c r="I218" s="285">
        <f t="shared" si="30"/>
        <v>28688473.842983454</v>
      </c>
      <c r="K218">
        <f t="shared" si="22"/>
        <v>197</v>
      </c>
      <c r="L218" s="1">
        <f t="shared" si="23"/>
        <v>25865069.199491423</v>
      </c>
      <c r="M218" s="1">
        <f t="shared" si="24"/>
        <v>172433.79466327617</v>
      </c>
      <c r="N218" s="1">
        <f t="shared" si="25"/>
        <v>345599.21438013314</v>
      </c>
      <c r="O218" s="1">
        <f t="shared" si="26"/>
        <v>25691903.779774565</v>
      </c>
    </row>
    <row r="219" spans="5:15" x14ac:dyDescent="0.25">
      <c r="E219" s="10">
        <v>198</v>
      </c>
      <c r="F219" s="285">
        <f t="shared" si="27"/>
        <v>28688473.842983454</v>
      </c>
      <c r="G219" s="285">
        <f t="shared" si="28"/>
        <v>191256.49228655637</v>
      </c>
      <c r="H219" s="285">
        <f t="shared" si="29"/>
        <v>385908.10968650255</v>
      </c>
      <c r="I219" s="285">
        <f t="shared" si="30"/>
        <v>28493822.225583509</v>
      </c>
      <c r="K219">
        <f t="shared" si="22"/>
        <v>198</v>
      </c>
      <c r="L219" s="1">
        <f t="shared" si="23"/>
        <v>25691903.779774565</v>
      </c>
      <c r="M219" s="1">
        <f t="shared" si="24"/>
        <v>171279.35853183045</v>
      </c>
      <c r="N219" s="1">
        <f t="shared" si="25"/>
        <v>345599.21438013314</v>
      </c>
      <c r="O219" s="1">
        <f t="shared" si="26"/>
        <v>25517583.92392626</v>
      </c>
    </row>
    <row r="220" spans="5:15" x14ac:dyDescent="0.25">
      <c r="E220" s="10">
        <v>199</v>
      </c>
      <c r="F220" s="285">
        <f t="shared" si="27"/>
        <v>28493822.225583509</v>
      </c>
      <c r="G220" s="285">
        <f t="shared" si="28"/>
        <v>189958.81483722341</v>
      </c>
      <c r="H220" s="285">
        <f t="shared" si="29"/>
        <v>385908.10968650255</v>
      </c>
      <c r="I220" s="285">
        <f t="shared" si="30"/>
        <v>28297872.930734232</v>
      </c>
      <c r="K220">
        <f t="shared" si="22"/>
        <v>199</v>
      </c>
      <c r="L220" s="1">
        <f t="shared" si="23"/>
        <v>25517583.92392626</v>
      </c>
      <c r="M220" s="1">
        <f t="shared" si="24"/>
        <v>170117.22615950843</v>
      </c>
      <c r="N220" s="1">
        <f t="shared" si="25"/>
        <v>345599.21438013314</v>
      </c>
      <c r="O220" s="1">
        <f t="shared" si="26"/>
        <v>25342101.935705636</v>
      </c>
    </row>
    <row r="221" spans="5:15" x14ac:dyDescent="0.25">
      <c r="E221" s="10">
        <v>200</v>
      </c>
      <c r="F221" s="285">
        <f t="shared" si="27"/>
        <v>28297872.930734232</v>
      </c>
      <c r="G221" s="285">
        <f t="shared" si="28"/>
        <v>188652.4862048949</v>
      </c>
      <c r="H221" s="285">
        <f t="shared" si="29"/>
        <v>385908.10968650255</v>
      </c>
      <c r="I221" s="285">
        <f t="shared" si="30"/>
        <v>28100617.307252627</v>
      </c>
      <c r="K221">
        <f t="shared" si="22"/>
        <v>200</v>
      </c>
      <c r="L221" s="1">
        <f t="shared" si="23"/>
        <v>25342101.935705636</v>
      </c>
      <c r="M221" s="1">
        <f t="shared" si="24"/>
        <v>168947.34623803757</v>
      </c>
      <c r="N221" s="1">
        <f t="shared" si="25"/>
        <v>345599.21438013314</v>
      </c>
      <c r="O221" s="1">
        <f t="shared" si="26"/>
        <v>25165450.067563538</v>
      </c>
    </row>
    <row r="222" spans="5:15" x14ac:dyDescent="0.25">
      <c r="E222" s="10">
        <v>201</v>
      </c>
      <c r="F222" s="285">
        <f t="shared" si="27"/>
        <v>28100617.307252627</v>
      </c>
      <c r="G222" s="285">
        <f t="shared" si="28"/>
        <v>187337.44871501753</v>
      </c>
      <c r="H222" s="285">
        <f t="shared" si="29"/>
        <v>385908.10968650255</v>
      </c>
      <c r="I222" s="285">
        <f t="shared" si="30"/>
        <v>27902046.646281142</v>
      </c>
      <c r="K222">
        <f t="shared" si="22"/>
        <v>201</v>
      </c>
      <c r="L222" s="1">
        <f t="shared" si="23"/>
        <v>25165450.067563538</v>
      </c>
      <c r="M222" s="1">
        <f t="shared" si="24"/>
        <v>167769.66711709026</v>
      </c>
      <c r="N222" s="1">
        <f t="shared" si="25"/>
        <v>345599.21438013314</v>
      </c>
      <c r="O222" s="1">
        <f t="shared" si="26"/>
        <v>24987620.520300493</v>
      </c>
    </row>
    <row r="223" spans="5:15" x14ac:dyDescent="0.25">
      <c r="E223" s="10">
        <v>202</v>
      </c>
      <c r="F223" s="285">
        <f t="shared" si="27"/>
        <v>27902046.646281142</v>
      </c>
      <c r="G223" s="285">
        <f t="shared" si="28"/>
        <v>186013.64430854097</v>
      </c>
      <c r="H223" s="285">
        <f t="shared" si="29"/>
        <v>385908.10968650255</v>
      </c>
      <c r="I223" s="285">
        <f t="shared" si="30"/>
        <v>27702152.180903181</v>
      </c>
      <c r="K223">
        <f t="shared" si="22"/>
        <v>202</v>
      </c>
      <c r="L223" s="1">
        <f t="shared" si="23"/>
        <v>24987620.520300493</v>
      </c>
      <c r="M223" s="1">
        <f t="shared" si="24"/>
        <v>166584.13680200328</v>
      </c>
      <c r="N223" s="1">
        <f t="shared" si="25"/>
        <v>345599.21438013314</v>
      </c>
      <c r="O223" s="1">
        <f t="shared" si="26"/>
        <v>24808605.442722362</v>
      </c>
    </row>
    <row r="224" spans="5:15" x14ac:dyDescent="0.25">
      <c r="E224" s="10">
        <v>203</v>
      </c>
      <c r="F224" s="285">
        <f t="shared" si="27"/>
        <v>27702152.180903181</v>
      </c>
      <c r="G224" s="285">
        <f t="shared" si="28"/>
        <v>184681.01453935457</v>
      </c>
      <c r="H224" s="285">
        <f t="shared" si="29"/>
        <v>385908.10968650255</v>
      </c>
      <c r="I224" s="285">
        <f t="shared" si="30"/>
        <v>27500925.085756034</v>
      </c>
      <c r="K224">
        <f t="shared" si="22"/>
        <v>203</v>
      </c>
      <c r="L224" s="1">
        <f t="shared" si="23"/>
        <v>24808605.442722362</v>
      </c>
      <c r="M224" s="1">
        <f t="shared" si="24"/>
        <v>165390.70295148241</v>
      </c>
      <c r="N224" s="1">
        <f t="shared" si="25"/>
        <v>345599.21438013314</v>
      </c>
      <c r="O224" s="1">
        <f t="shared" si="26"/>
        <v>24628396.931293711</v>
      </c>
    </row>
    <row r="225" spans="5:15" x14ac:dyDescent="0.25">
      <c r="E225" s="10">
        <v>204</v>
      </c>
      <c r="F225" s="285">
        <f t="shared" si="27"/>
        <v>27500925.085756034</v>
      </c>
      <c r="G225" s="285">
        <f t="shared" si="28"/>
        <v>183339.50057170691</v>
      </c>
      <c r="H225" s="285">
        <f t="shared" si="29"/>
        <v>385908.10968650255</v>
      </c>
      <c r="I225" s="285">
        <f t="shared" si="30"/>
        <v>27298356.476641238</v>
      </c>
      <c r="K225">
        <f t="shared" si="22"/>
        <v>204</v>
      </c>
      <c r="L225" s="1">
        <f t="shared" si="23"/>
        <v>24628396.931293711</v>
      </c>
      <c r="M225" s="1">
        <f t="shared" si="24"/>
        <v>164189.31287529142</v>
      </c>
      <c r="N225" s="1">
        <f t="shared" si="25"/>
        <v>345599.21438013314</v>
      </c>
      <c r="O225" s="1">
        <f t="shared" si="26"/>
        <v>24446987.02978887</v>
      </c>
    </row>
    <row r="226" spans="5:15" x14ac:dyDescent="0.25">
      <c r="E226" s="10">
        <v>205</v>
      </c>
      <c r="F226" s="285">
        <f t="shared" si="27"/>
        <v>27298356.476641238</v>
      </c>
      <c r="G226" s="285">
        <f t="shared" si="28"/>
        <v>181989.04317760826</v>
      </c>
      <c r="H226" s="285">
        <f t="shared" si="29"/>
        <v>385908.10968650255</v>
      </c>
      <c r="I226" s="285">
        <f t="shared" si="30"/>
        <v>27094437.410132345</v>
      </c>
      <c r="K226">
        <f t="shared" si="22"/>
        <v>205</v>
      </c>
      <c r="L226" s="1">
        <f t="shared" si="23"/>
        <v>24446987.02978887</v>
      </c>
      <c r="M226" s="1">
        <f t="shared" si="24"/>
        <v>162979.91353192582</v>
      </c>
      <c r="N226" s="1">
        <f t="shared" si="25"/>
        <v>345599.21438013314</v>
      </c>
      <c r="O226" s="1">
        <f t="shared" si="26"/>
        <v>24264367.728940662</v>
      </c>
    </row>
    <row r="227" spans="5:15" x14ac:dyDescent="0.25">
      <c r="E227" s="10">
        <v>206</v>
      </c>
      <c r="F227" s="285">
        <f t="shared" si="27"/>
        <v>27094437.410132345</v>
      </c>
      <c r="G227" s="285">
        <f t="shared" si="28"/>
        <v>180629.58273421566</v>
      </c>
      <c r="H227" s="285">
        <f t="shared" si="29"/>
        <v>385908.10968650255</v>
      </c>
      <c r="I227" s="285">
        <f t="shared" si="30"/>
        <v>26889158.883180059</v>
      </c>
      <c r="K227">
        <f t="shared" si="22"/>
        <v>206</v>
      </c>
      <c r="L227" s="1">
        <f t="shared" si="23"/>
        <v>24264367.728940662</v>
      </c>
      <c r="M227" s="1">
        <f t="shared" si="24"/>
        <v>161762.45152627109</v>
      </c>
      <c r="N227" s="1">
        <f t="shared" si="25"/>
        <v>345599.21438013314</v>
      </c>
      <c r="O227" s="1">
        <f t="shared" si="26"/>
        <v>24080530.966086797</v>
      </c>
    </row>
    <row r="228" spans="5:15" x14ac:dyDescent="0.25">
      <c r="E228" s="10">
        <v>207</v>
      </c>
      <c r="F228" s="285">
        <f t="shared" si="27"/>
        <v>26889158.883180059</v>
      </c>
      <c r="G228" s="285">
        <f t="shared" si="28"/>
        <v>179261.05922120041</v>
      </c>
      <c r="H228" s="285">
        <f t="shared" si="29"/>
        <v>385908.10968650255</v>
      </c>
      <c r="I228" s="285">
        <f t="shared" si="30"/>
        <v>26682511.832714759</v>
      </c>
      <c r="K228">
        <f t="shared" si="22"/>
        <v>207</v>
      </c>
      <c r="L228" s="1">
        <f t="shared" si="23"/>
        <v>24080530.966086797</v>
      </c>
      <c r="M228" s="1">
        <f t="shared" si="24"/>
        <v>160536.87310724534</v>
      </c>
      <c r="N228" s="1">
        <f t="shared" si="25"/>
        <v>345599.21438013314</v>
      </c>
      <c r="O228" s="1">
        <f t="shared" si="26"/>
        <v>23895468.624813911</v>
      </c>
    </row>
    <row r="229" spans="5:15" x14ac:dyDescent="0.25">
      <c r="E229" s="10">
        <v>208</v>
      </c>
      <c r="F229" s="285">
        <f t="shared" si="27"/>
        <v>26682511.832714759</v>
      </c>
      <c r="G229" s="285">
        <f t="shared" si="28"/>
        <v>177883.41221809841</v>
      </c>
      <c r="H229" s="285">
        <f t="shared" si="29"/>
        <v>385908.10968650255</v>
      </c>
      <c r="I229" s="285">
        <f t="shared" si="30"/>
        <v>26474487.135246355</v>
      </c>
      <c r="K229">
        <f t="shared" si="22"/>
        <v>208</v>
      </c>
      <c r="L229" s="1">
        <f t="shared" si="23"/>
        <v>23895468.624813911</v>
      </c>
      <c r="M229" s="1">
        <f t="shared" si="24"/>
        <v>159303.12416542607</v>
      </c>
      <c r="N229" s="1">
        <f t="shared" si="25"/>
        <v>345599.21438013314</v>
      </c>
      <c r="O229" s="1">
        <f t="shared" si="26"/>
        <v>23709172.534599204</v>
      </c>
    </row>
    <row r="230" spans="5:15" x14ac:dyDescent="0.25">
      <c r="E230" s="10">
        <v>209</v>
      </c>
      <c r="F230" s="285">
        <f t="shared" si="27"/>
        <v>26474487.135246355</v>
      </c>
      <c r="G230" s="285">
        <f t="shared" si="28"/>
        <v>176496.58090164239</v>
      </c>
      <c r="H230" s="285">
        <f t="shared" si="29"/>
        <v>385908.10968650255</v>
      </c>
      <c r="I230" s="285">
        <f t="shared" si="30"/>
        <v>26265075.606461495</v>
      </c>
      <c r="K230">
        <f t="shared" si="22"/>
        <v>209</v>
      </c>
      <c r="L230" s="1">
        <f t="shared" si="23"/>
        <v>23709172.534599204</v>
      </c>
      <c r="M230" s="1">
        <f t="shared" si="24"/>
        <v>158061.15023066135</v>
      </c>
      <c r="N230" s="1">
        <f t="shared" si="25"/>
        <v>345599.21438013314</v>
      </c>
      <c r="O230" s="1">
        <f t="shared" si="26"/>
        <v>23521634.470449731</v>
      </c>
    </row>
    <row r="231" spans="5:15" x14ac:dyDescent="0.25">
      <c r="E231" s="10">
        <v>210</v>
      </c>
      <c r="F231" s="285">
        <f t="shared" si="27"/>
        <v>26265075.606461495</v>
      </c>
      <c r="G231" s="285">
        <f t="shared" si="28"/>
        <v>175100.50404307665</v>
      </c>
      <c r="H231" s="285">
        <f t="shared" si="29"/>
        <v>385908.10968650255</v>
      </c>
      <c r="I231" s="285">
        <f t="shared" si="30"/>
        <v>26054268.00081807</v>
      </c>
      <c r="K231">
        <f t="shared" si="22"/>
        <v>210</v>
      </c>
      <c r="L231" s="1">
        <f t="shared" si="23"/>
        <v>23521634.470449731</v>
      </c>
      <c r="M231" s="1">
        <f t="shared" si="24"/>
        <v>156810.89646966488</v>
      </c>
      <c r="N231" s="1">
        <f t="shared" si="25"/>
        <v>345599.21438013314</v>
      </c>
      <c r="O231" s="1">
        <f t="shared" si="26"/>
        <v>23332846.152539261</v>
      </c>
    </row>
    <row r="232" spans="5:15" x14ac:dyDescent="0.25">
      <c r="E232" s="10">
        <v>211</v>
      </c>
      <c r="F232" s="285">
        <f t="shared" si="27"/>
        <v>26054268.00081807</v>
      </c>
      <c r="G232" s="285">
        <f t="shared" si="28"/>
        <v>173695.12000545382</v>
      </c>
      <c r="H232" s="285">
        <f t="shared" si="29"/>
        <v>385908.10968650255</v>
      </c>
      <c r="I232" s="285">
        <f t="shared" si="30"/>
        <v>25842055.011137024</v>
      </c>
      <c r="K232">
        <f t="shared" si="22"/>
        <v>211</v>
      </c>
      <c r="L232" s="1">
        <f t="shared" si="23"/>
        <v>23332846.152539261</v>
      </c>
      <c r="M232" s="1">
        <f t="shared" si="24"/>
        <v>155552.30768359508</v>
      </c>
      <c r="N232" s="1">
        <f t="shared" si="25"/>
        <v>345599.21438013314</v>
      </c>
      <c r="O232" s="1">
        <f t="shared" si="26"/>
        <v>23142799.245842721</v>
      </c>
    </row>
    <row r="233" spans="5:15" x14ac:dyDescent="0.25">
      <c r="E233" s="10">
        <v>212</v>
      </c>
      <c r="F233" s="285">
        <f t="shared" si="27"/>
        <v>25842055.011137024</v>
      </c>
      <c r="G233" s="285">
        <f t="shared" si="28"/>
        <v>172280.36674091351</v>
      </c>
      <c r="H233" s="285">
        <f t="shared" si="29"/>
        <v>385908.10968650255</v>
      </c>
      <c r="I233" s="285">
        <f t="shared" si="30"/>
        <v>25628427.268191434</v>
      </c>
      <c r="K233">
        <f t="shared" si="22"/>
        <v>212</v>
      </c>
      <c r="L233" s="1">
        <f t="shared" si="23"/>
        <v>23142799.245842721</v>
      </c>
      <c r="M233" s="1">
        <f t="shared" si="24"/>
        <v>154285.32830561814</v>
      </c>
      <c r="N233" s="1">
        <f t="shared" si="25"/>
        <v>345599.21438013314</v>
      </c>
      <c r="O233" s="1">
        <f t="shared" si="26"/>
        <v>22951485.359768204</v>
      </c>
    </row>
    <row r="234" spans="5:15" x14ac:dyDescent="0.25">
      <c r="E234" s="10">
        <v>213</v>
      </c>
      <c r="F234" s="285">
        <f t="shared" si="27"/>
        <v>25628427.268191434</v>
      </c>
      <c r="G234" s="285">
        <f t="shared" si="28"/>
        <v>170856.18178794291</v>
      </c>
      <c r="H234" s="285">
        <f t="shared" si="29"/>
        <v>385908.10968650255</v>
      </c>
      <c r="I234" s="285">
        <f t="shared" si="30"/>
        <v>25413375.340292875</v>
      </c>
      <c r="K234">
        <f t="shared" si="22"/>
        <v>213</v>
      </c>
      <c r="L234" s="1">
        <f t="shared" si="23"/>
        <v>22951485.359768204</v>
      </c>
      <c r="M234" s="1">
        <f t="shared" si="24"/>
        <v>153009.90239845469</v>
      </c>
      <c r="N234" s="1">
        <f t="shared" si="25"/>
        <v>345599.21438013314</v>
      </c>
      <c r="O234" s="1">
        <f t="shared" si="26"/>
        <v>22758896.047786526</v>
      </c>
    </row>
    <row r="235" spans="5:15" x14ac:dyDescent="0.25">
      <c r="E235" s="10">
        <v>214</v>
      </c>
      <c r="F235" s="285">
        <f t="shared" si="27"/>
        <v>25413375.340292875</v>
      </c>
      <c r="G235" s="285">
        <f t="shared" si="28"/>
        <v>169422.50226861917</v>
      </c>
      <c r="H235" s="285">
        <f t="shared" si="29"/>
        <v>385908.10968650255</v>
      </c>
      <c r="I235" s="285">
        <f t="shared" si="30"/>
        <v>25196889.732874993</v>
      </c>
      <c r="K235">
        <f t="shared" si="22"/>
        <v>214</v>
      </c>
      <c r="L235" s="1">
        <f t="shared" si="23"/>
        <v>22758896.047786526</v>
      </c>
      <c r="M235" s="1">
        <f t="shared" si="24"/>
        <v>151725.97365191017</v>
      </c>
      <c r="N235" s="1">
        <f t="shared" si="25"/>
        <v>345599.21438013314</v>
      </c>
      <c r="O235" s="1">
        <f t="shared" si="26"/>
        <v>22565022.807058301</v>
      </c>
    </row>
    <row r="236" spans="5:15" x14ac:dyDescent="0.25">
      <c r="E236" s="10">
        <v>215</v>
      </c>
      <c r="F236" s="285">
        <f t="shared" si="27"/>
        <v>25196889.732874993</v>
      </c>
      <c r="G236" s="285">
        <f t="shared" si="28"/>
        <v>167979.26488583331</v>
      </c>
      <c r="H236" s="285">
        <f t="shared" si="29"/>
        <v>385908.10968650255</v>
      </c>
      <c r="I236" s="285">
        <f t="shared" si="30"/>
        <v>24978960.888074324</v>
      </c>
      <c r="K236">
        <f t="shared" si="22"/>
        <v>215</v>
      </c>
      <c r="L236" s="1">
        <f t="shared" si="23"/>
        <v>22565022.807058301</v>
      </c>
      <c r="M236" s="1">
        <f t="shared" si="24"/>
        <v>150433.48538038868</v>
      </c>
      <c r="N236" s="1">
        <f t="shared" si="25"/>
        <v>345599.21438013314</v>
      </c>
      <c r="O236" s="1">
        <f t="shared" si="26"/>
        <v>22369857.078058556</v>
      </c>
    </row>
    <row r="237" spans="5:15" x14ac:dyDescent="0.25">
      <c r="E237" s="10">
        <v>216</v>
      </c>
      <c r="F237" s="285">
        <f t="shared" si="27"/>
        <v>24978960.888074324</v>
      </c>
      <c r="G237" s="285">
        <f t="shared" si="28"/>
        <v>166526.40592049551</v>
      </c>
      <c r="H237" s="285">
        <f t="shared" si="29"/>
        <v>385908.10968650255</v>
      </c>
      <c r="I237" s="285">
        <f t="shared" si="30"/>
        <v>24759579.184308317</v>
      </c>
      <c r="K237">
        <f t="shared" si="22"/>
        <v>216</v>
      </c>
      <c r="L237" s="1">
        <f t="shared" si="23"/>
        <v>22369857.078058556</v>
      </c>
      <c r="M237" s="1">
        <f t="shared" si="24"/>
        <v>149132.38052039038</v>
      </c>
      <c r="N237" s="1">
        <f t="shared" si="25"/>
        <v>345599.21438013314</v>
      </c>
      <c r="O237" s="1">
        <f t="shared" si="26"/>
        <v>22173390.244198814</v>
      </c>
    </row>
    <row r="238" spans="5:15" x14ac:dyDescent="0.25">
      <c r="E238" s="10">
        <v>217</v>
      </c>
      <c r="F238" s="285">
        <f t="shared" si="27"/>
        <v>24759579.184308317</v>
      </c>
      <c r="G238" s="285">
        <f t="shared" si="28"/>
        <v>165063.86122872212</v>
      </c>
      <c r="H238" s="285">
        <f t="shared" si="29"/>
        <v>385908.10968650255</v>
      </c>
      <c r="I238" s="285">
        <f t="shared" si="30"/>
        <v>24538734.935850538</v>
      </c>
      <c r="K238">
        <f t="shared" si="22"/>
        <v>217</v>
      </c>
      <c r="L238" s="1">
        <f t="shared" si="23"/>
        <v>22173390.244198814</v>
      </c>
      <c r="M238" s="1">
        <f t="shared" si="24"/>
        <v>147822.60162799212</v>
      </c>
      <c r="N238" s="1">
        <f t="shared" si="25"/>
        <v>345599.21438013314</v>
      </c>
      <c r="O238" s="1">
        <f t="shared" si="26"/>
        <v>21975613.631446671</v>
      </c>
    </row>
    <row r="239" spans="5:15" x14ac:dyDescent="0.25">
      <c r="E239" s="10">
        <v>218</v>
      </c>
      <c r="F239" s="285">
        <f t="shared" si="27"/>
        <v>24538734.935850538</v>
      </c>
      <c r="G239" s="285">
        <f t="shared" si="28"/>
        <v>163591.56623900359</v>
      </c>
      <c r="H239" s="285">
        <f t="shared" si="29"/>
        <v>385908.10968650255</v>
      </c>
      <c r="I239" s="285">
        <f t="shared" si="30"/>
        <v>24316418.39240304</v>
      </c>
      <c r="K239">
        <f t="shared" si="22"/>
        <v>218</v>
      </c>
      <c r="L239" s="1">
        <f t="shared" si="23"/>
        <v>21975613.631446671</v>
      </c>
      <c r="M239" s="1">
        <f t="shared" si="24"/>
        <v>146504.09087631115</v>
      </c>
      <c r="N239" s="1">
        <f t="shared" si="25"/>
        <v>345599.21438013314</v>
      </c>
      <c r="O239" s="1">
        <f t="shared" si="26"/>
        <v>21776518.507942848</v>
      </c>
    </row>
    <row r="240" spans="5:15" x14ac:dyDescent="0.25">
      <c r="E240" s="10">
        <v>219</v>
      </c>
      <c r="F240" s="285">
        <f t="shared" si="27"/>
        <v>24316418.39240304</v>
      </c>
      <c r="G240" s="285">
        <f t="shared" si="28"/>
        <v>162109.45594935361</v>
      </c>
      <c r="H240" s="285">
        <f t="shared" si="29"/>
        <v>385908.10968650255</v>
      </c>
      <c r="I240" s="285">
        <f t="shared" si="30"/>
        <v>24092619.738665894</v>
      </c>
      <c r="K240">
        <f t="shared" si="22"/>
        <v>219</v>
      </c>
      <c r="L240" s="1">
        <f t="shared" si="23"/>
        <v>21776518.507942848</v>
      </c>
      <c r="M240" s="1">
        <f t="shared" si="24"/>
        <v>145176.79005295233</v>
      </c>
      <c r="N240" s="1">
        <f t="shared" si="25"/>
        <v>345599.21438013314</v>
      </c>
      <c r="O240" s="1">
        <f t="shared" si="26"/>
        <v>21576096.083615668</v>
      </c>
    </row>
    <row r="241" spans="5:15" x14ac:dyDescent="0.25">
      <c r="E241" s="10">
        <v>220</v>
      </c>
      <c r="F241" s="285">
        <f t="shared" si="27"/>
        <v>24092619.738665894</v>
      </c>
      <c r="G241" s="285">
        <f t="shared" si="28"/>
        <v>160617.46492443929</v>
      </c>
      <c r="H241" s="285">
        <f t="shared" si="29"/>
        <v>385908.10968650255</v>
      </c>
      <c r="I241" s="285">
        <f t="shared" si="30"/>
        <v>23867329.093903832</v>
      </c>
      <c r="K241">
        <f t="shared" si="22"/>
        <v>220</v>
      </c>
      <c r="L241" s="1">
        <f t="shared" si="23"/>
        <v>21576096.083615668</v>
      </c>
      <c r="M241" s="1">
        <f t="shared" si="24"/>
        <v>143840.64055743779</v>
      </c>
      <c r="N241" s="1">
        <f t="shared" si="25"/>
        <v>345599.21438013314</v>
      </c>
      <c r="O241" s="1">
        <f t="shared" si="26"/>
        <v>21374337.509792972</v>
      </c>
    </row>
    <row r="242" spans="5:15" x14ac:dyDescent="0.25">
      <c r="E242" s="10">
        <v>221</v>
      </c>
      <c r="F242" s="285">
        <f t="shared" si="27"/>
        <v>23867329.093903832</v>
      </c>
      <c r="G242" s="285">
        <f t="shared" si="28"/>
        <v>159115.52729269222</v>
      </c>
      <c r="H242" s="285">
        <f t="shared" si="29"/>
        <v>385908.10968650255</v>
      </c>
      <c r="I242" s="285">
        <f t="shared" si="30"/>
        <v>23640536.511510022</v>
      </c>
      <c r="K242">
        <f t="shared" si="22"/>
        <v>221</v>
      </c>
      <c r="L242" s="1">
        <f t="shared" si="23"/>
        <v>21374337.509792972</v>
      </c>
      <c r="M242" s="1">
        <f t="shared" si="24"/>
        <v>142495.58339861981</v>
      </c>
      <c r="N242" s="1">
        <f t="shared" si="25"/>
        <v>345599.21438013314</v>
      </c>
      <c r="O242" s="1">
        <f t="shared" si="26"/>
        <v>21171233.87881146</v>
      </c>
    </row>
    <row r="243" spans="5:15" x14ac:dyDescent="0.25">
      <c r="E243" s="10">
        <v>222</v>
      </c>
      <c r="F243" s="285">
        <f t="shared" si="27"/>
        <v>23640536.511510022</v>
      </c>
      <c r="G243" s="285">
        <f t="shared" si="28"/>
        <v>157603.57674340016</v>
      </c>
      <c r="H243" s="285">
        <f t="shared" si="29"/>
        <v>385908.10968650255</v>
      </c>
      <c r="I243" s="285">
        <f t="shared" si="30"/>
        <v>23412231.978566922</v>
      </c>
      <c r="K243">
        <f t="shared" si="22"/>
        <v>222</v>
      </c>
      <c r="L243" s="1">
        <f t="shared" si="23"/>
        <v>21171233.87881146</v>
      </c>
      <c r="M243" s="1">
        <f t="shared" si="24"/>
        <v>141141.55919207641</v>
      </c>
      <c r="N243" s="1">
        <f t="shared" si="25"/>
        <v>345599.21438013314</v>
      </c>
      <c r="O243" s="1">
        <f t="shared" si="26"/>
        <v>20966776.223623402</v>
      </c>
    </row>
    <row r="244" spans="5:15" x14ac:dyDescent="0.25">
      <c r="E244" s="10">
        <v>223</v>
      </c>
      <c r="F244" s="285">
        <f t="shared" si="27"/>
        <v>23412231.978566922</v>
      </c>
      <c r="G244" s="285">
        <f t="shared" si="28"/>
        <v>156081.54652377949</v>
      </c>
      <c r="H244" s="285">
        <f t="shared" si="29"/>
        <v>385908.10968650255</v>
      </c>
      <c r="I244" s="285">
        <f t="shared" si="30"/>
        <v>23182405.415404201</v>
      </c>
      <c r="K244">
        <f t="shared" si="22"/>
        <v>223</v>
      </c>
      <c r="L244" s="1">
        <f t="shared" si="23"/>
        <v>20966776.223623402</v>
      </c>
      <c r="M244" s="1">
        <f t="shared" si="24"/>
        <v>139778.50815748936</v>
      </c>
      <c r="N244" s="1">
        <f t="shared" si="25"/>
        <v>345599.21438013314</v>
      </c>
      <c r="O244" s="1">
        <f t="shared" si="26"/>
        <v>20760955.517400756</v>
      </c>
    </row>
    <row r="245" spans="5:15" x14ac:dyDescent="0.25">
      <c r="E245" s="10">
        <v>224</v>
      </c>
      <c r="F245" s="285">
        <f t="shared" si="27"/>
        <v>23182405.415404201</v>
      </c>
      <c r="G245" s="285">
        <f t="shared" si="28"/>
        <v>154549.36943602801</v>
      </c>
      <c r="H245" s="285">
        <f t="shared" si="29"/>
        <v>385908.10968650255</v>
      </c>
      <c r="I245" s="285">
        <f t="shared" si="30"/>
        <v>22951046.675153729</v>
      </c>
      <c r="K245">
        <f t="shared" si="22"/>
        <v>224</v>
      </c>
      <c r="L245" s="1">
        <f t="shared" si="23"/>
        <v>20760955.517400756</v>
      </c>
      <c r="M245" s="1">
        <f t="shared" si="24"/>
        <v>138406.37011600504</v>
      </c>
      <c r="N245" s="1">
        <f t="shared" si="25"/>
        <v>345599.21438013314</v>
      </c>
      <c r="O245" s="1">
        <f t="shared" si="26"/>
        <v>20553762.673136629</v>
      </c>
    </row>
    <row r="246" spans="5:15" x14ac:dyDescent="0.25">
      <c r="E246" s="10">
        <v>225</v>
      </c>
      <c r="F246" s="285">
        <f t="shared" si="27"/>
        <v>22951046.675153729</v>
      </c>
      <c r="G246" s="285">
        <f t="shared" si="28"/>
        <v>153006.9778343582</v>
      </c>
      <c r="H246" s="285">
        <f t="shared" si="29"/>
        <v>385908.10968650255</v>
      </c>
      <c r="I246" s="285">
        <f t="shared" si="30"/>
        <v>22718145.543301586</v>
      </c>
      <c r="K246">
        <f t="shared" si="22"/>
        <v>225</v>
      </c>
      <c r="L246" s="1">
        <f t="shared" si="23"/>
        <v>20553762.673136629</v>
      </c>
      <c r="M246" s="1">
        <f t="shared" si="24"/>
        <v>137025.08448757755</v>
      </c>
      <c r="N246" s="1">
        <f t="shared" si="25"/>
        <v>345599.21438013314</v>
      </c>
      <c r="O246" s="1">
        <f t="shared" si="26"/>
        <v>20345188.543244071</v>
      </c>
    </row>
    <row r="247" spans="5:15" x14ac:dyDescent="0.25">
      <c r="E247" s="10">
        <v>226</v>
      </c>
      <c r="F247" s="285">
        <f t="shared" si="27"/>
        <v>22718145.543301586</v>
      </c>
      <c r="G247" s="285">
        <f t="shared" si="28"/>
        <v>151454.30362201057</v>
      </c>
      <c r="H247" s="285">
        <f t="shared" si="29"/>
        <v>385908.10968650255</v>
      </c>
      <c r="I247" s="285">
        <f t="shared" si="30"/>
        <v>22483691.737237096</v>
      </c>
      <c r="K247">
        <f t="shared" si="22"/>
        <v>226</v>
      </c>
      <c r="L247" s="1">
        <f t="shared" si="23"/>
        <v>20345188.543244071</v>
      </c>
      <c r="M247" s="1">
        <f t="shared" si="24"/>
        <v>135634.59028829381</v>
      </c>
      <c r="N247" s="1">
        <f t="shared" si="25"/>
        <v>345599.21438013314</v>
      </c>
      <c r="O247" s="1">
        <f t="shared" si="26"/>
        <v>20135223.91915223</v>
      </c>
    </row>
    <row r="248" spans="5:15" x14ac:dyDescent="0.25">
      <c r="E248" s="10">
        <v>227</v>
      </c>
      <c r="F248" s="285">
        <f t="shared" si="27"/>
        <v>22483691.737237096</v>
      </c>
      <c r="G248" s="285">
        <f t="shared" si="28"/>
        <v>149891.27824824731</v>
      </c>
      <c r="H248" s="285">
        <f t="shared" si="29"/>
        <v>385908.10968650255</v>
      </c>
      <c r="I248" s="285">
        <f t="shared" si="30"/>
        <v>22247674.905798841</v>
      </c>
      <c r="K248">
        <f t="shared" si="22"/>
        <v>227</v>
      </c>
      <c r="L248" s="1">
        <f t="shared" si="23"/>
        <v>20135223.91915223</v>
      </c>
      <c r="M248" s="1">
        <f t="shared" si="24"/>
        <v>134234.82612768153</v>
      </c>
      <c r="N248" s="1">
        <f t="shared" si="25"/>
        <v>345599.21438013314</v>
      </c>
      <c r="O248" s="1">
        <f t="shared" si="26"/>
        <v>19923859.530899778</v>
      </c>
    </row>
    <row r="249" spans="5:15" x14ac:dyDescent="0.25">
      <c r="E249" s="10">
        <v>228</v>
      </c>
      <c r="F249" s="285">
        <f t="shared" si="27"/>
        <v>22247674.905798841</v>
      </c>
      <c r="G249" s="285">
        <f t="shared" si="28"/>
        <v>148317.83270532562</v>
      </c>
      <c r="H249" s="285">
        <f t="shared" si="29"/>
        <v>385908.10968650255</v>
      </c>
      <c r="I249" s="285">
        <f t="shared" si="30"/>
        <v>22010084.628817666</v>
      </c>
      <c r="K249">
        <f t="shared" si="22"/>
        <v>228</v>
      </c>
      <c r="L249" s="1">
        <f t="shared" si="23"/>
        <v>19923859.530899778</v>
      </c>
      <c r="M249" s="1">
        <f t="shared" si="24"/>
        <v>132825.73020599852</v>
      </c>
      <c r="N249" s="1">
        <f t="shared" si="25"/>
        <v>345599.21438013314</v>
      </c>
      <c r="O249" s="1">
        <f t="shared" si="26"/>
        <v>19711086.046725642</v>
      </c>
    </row>
    <row r="250" spans="5:15" x14ac:dyDescent="0.25">
      <c r="E250" s="10">
        <v>229</v>
      </c>
      <c r="F250" s="285">
        <f t="shared" si="27"/>
        <v>22010084.628817666</v>
      </c>
      <c r="G250" s="285">
        <f t="shared" si="28"/>
        <v>146733.89752545112</v>
      </c>
      <c r="H250" s="285">
        <f t="shared" si="29"/>
        <v>385908.10968650255</v>
      </c>
      <c r="I250" s="285">
        <f t="shared" si="30"/>
        <v>21770910.416656617</v>
      </c>
      <c r="K250">
        <f t="shared" si="22"/>
        <v>229</v>
      </c>
      <c r="L250" s="1">
        <f t="shared" si="23"/>
        <v>19711086.046725642</v>
      </c>
      <c r="M250" s="1">
        <f t="shared" si="24"/>
        <v>131407.24031150428</v>
      </c>
      <c r="N250" s="1">
        <f t="shared" si="25"/>
        <v>345599.21438013314</v>
      </c>
      <c r="O250" s="1">
        <f t="shared" si="26"/>
        <v>19496894.072657011</v>
      </c>
    </row>
    <row r="251" spans="5:15" x14ac:dyDescent="0.25">
      <c r="E251" s="10">
        <v>230</v>
      </c>
      <c r="F251" s="285">
        <f t="shared" si="27"/>
        <v>21770910.416656617</v>
      </c>
      <c r="G251" s="285">
        <f t="shared" si="28"/>
        <v>145139.40277771078</v>
      </c>
      <c r="H251" s="285">
        <f t="shared" si="29"/>
        <v>385908.10968650255</v>
      </c>
      <c r="I251" s="285">
        <f t="shared" si="30"/>
        <v>21530141.709747825</v>
      </c>
      <c r="K251">
        <f t="shared" si="22"/>
        <v>230</v>
      </c>
      <c r="L251" s="1">
        <f t="shared" si="23"/>
        <v>19496894.072657011</v>
      </c>
      <c r="M251" s="1">
        <f t="shared" si="24"/>
        <v>129979.29381771342</v>
      </c>
      <c r="N251" s="1">
        <f t="shared" si="25"/>
        <v>345599.21438013314</v>
      </c>
      <c r="O251" s="1">
        <f t="shared" si="26"/>
        <v>19281274.152094591</v>
      </c>
    </row>
    <row r="252" spans="5:15" x14ac:dyDescent="0.25">
      <c r="E252" s="10">
        <v>231</v>
      </c>
      <c r="F252" s="285">
        <f t="shared" si="27"/>
        <v>21530141.709747825</v>
      </c>
      <c r="G252" s="285">
        <f t="shared" si="28"/>
        <v>143534.2780649855</v>
      </c>
      <c r="H252" s="285">
        <f t="shared" si="29"/>
        <v>385908.10968650255</v>
      </c>
      <c r="I252" s="285">
        <f t="shared" si="30"/>
        <v>21287767.878126308</v>
      </c>
      <c r="K252">
        <f t="shared" ref="K252:K315" si="31">E252</f>
        <v>231</v>
      </c>
      <c r="L252" s="1">
        <f t="shared" ref="L252:L315" si="32">O251</f>
        <v>19281274.152094591</v>
      </c>
      <c r="M252" s="1">
        <f t="shared" ref="M252:M315" si="33">L252*$K$13</f>
        <v>128541.82768063062</v>
      </c>
      <c r="N252" s="1">
        <f t="shared" ref="N252:N315" si="34">ABS($O$57)</f>
        <v>345599.21438013314</v>
      </c>
      <c r="O252" s="1">
        <f t="shared" ref="O252:O315" si="35">L252+M252-N252</f>
        <v>19064216.76539509</v>
      </c>
    </row>
    <row r="253" spans="5:15" x14ac:dyDescent="0.25">
      <c r="E253" s="10">
        <v>232</v>
      </c>
      <c r="F253" s="285">
        <f t="shared" si="27"/>
        <v>21287767.878126308</v>
      </c>
      <c r="G253" s="285">
        <f t="shared" si="28"/>
        <v>141918.45252084205</v>
      </c>
      <c r="H253" s="285">
        <f t="shared" si="29"/>
        <v>385908.10968650255</v>
      </c>
      <c r="I253" s="285">
        <f t="shared" si="30"/>
        <v>21043778.220960651</v>
      </c>
      <c r="K253">
        <f t="shared" si="31"/>
        <v>232</v>
      </c>
      <c r="L253" s="1">
        <f t="shared" si="32"/>
        <v>19064216.76539509</v>
      </c>
      <c r="M253" s="1">
        <f t="shared" si="33"/>
        <v>127094.77843596728</v>
      </c>
      <c r="N253" s="1">
        <f t="shared" si="34"/>
        <v>345599.21438013314</v>
      </c>
      <c r="O253" s="1">
        <f t="shared" si="35"/>
        <v>18845712.329450924</v>
      </c>
    </row>
    <row r="254" spans="5:15" x14ac:dyDescent="0.25">
      <c r="E254" s="10">
        <v>233</v>
      </c>
      <c r="F254" s="285">
        <f t="shared" si="27"/>
        <v>21043778.220960651</v>
      </c>
      <c r="G254" s="285">
        <f t="shared" si="28"/>
        <v>140291.85480640436</v>
      </c>
      <c r="H254" s="285">
        <f t="shared" si="29"/>
        <v>385908.10968650255</v>
      </c>
      <c r="I254" s="285">
        <f t="shared" si="30"/>
        <v>20798161.966080554</v>
      </c>
      <c r="K254">
        <f t="shared" si="31"/>
        <v>233</v>
      </c>
      <c r="L254" s="1">
        <f t="shared" si="32"/>
        <v>18845712.329450924</v>
      </c>
      <c r="M254" s="1">
        <f t="shared" si="33"/>
        <v>125638.0821963395</v>
      </c>
      <c r="N254" s="1">
        <f t="shared" si="34"/>
        <v>345599.21438013314</v>
      </c>
      <c r="O254" s="1">
        <f t="shared" si="35"/>
        <v>18625751.19726713</v>
      </c>
    </row>
    <row r="255" spans="5:15" x14ac:dyDescent="0.25">
      <c r="E255" s="10">
        <v>234</v>
      </c>
      <c r="F255" s="285">
        <f t="shared" si="27"/>
        <v>20798161.966080554</v>
      </c>
      <c r="G255" s="285">
        <f t="shared" si="28"/>
        <v>138654.4131072037</v>
      </c>
      <c r="H255" s="285">
        <f t="shared" si="29"/>
        <v>385908.10968650255</v>
      </c>
      <c r="I255" s="285">
        <f t="shared" si="30"/>
        <v>20550908.269501258</v>
      </c>
      <c r="K255">
        <f t="shared" si="31"/>
        <v>234</v>
      </c>
      <c r="L255" s="1">
        <f t="shared" si="32"/>
        <v>18625751.19726713</v>
      </c>
      <c r="M255" s="1">
        <f t="shared" si="33"/>
        <v>124171.67464844754</v>
      </c>
      <c r="N255" s="1">
        <f t="shared" si="34"/>
        <v>345599.21438013314</v>
      </c>
      <c r="O255" s="1">
        <f t="shared" si="35"/>
        <v>18404323.657535445</v>
      </c>
    </row>
    <row r="256" spans="5:15" x14ac:dyDescent="0.25">
      <c r="E256" s="10">
        <v>235</v>
      </c>
      <c r="F256" s="285">
        <f t="shared" si="27"/>
        <v>20550908.269501258</v>
      </c>
      <c r="G256" s="285">
        <f t="shared" si="28"/>
        <v>137006.0551300084</v>
      </c>
      <c r="H256" s="285">
        <f t="shared" si="29"/>
        <v>385908.10968650255</v>
      </c>
      <c r="I256" s="285">
        <f t="shared" si="30"/>
        <v>20302006.214944765</v>
      </c>
      <c r="K256">
        <f t="shared" si="31"/>
        <v>235</v>
      </c>
      <c r="L256" s="1">
        <f t="shared" si="32"/>
        <v>18404323.657535445</v>
      </c>
      <c r="M256" s="1">
        <f t="shared" si="33"/>
        <v>122695.49105023631</v>
      </c>
      <c r="N256" s="1">
        <f t="shared" si="34"/>
        <v>345599.21438013314</v>
      </c>
      <c r="O256" s="1">
        <f t="shared" si="35"/>
        <v>18181419.934205547</v>
      </c>
    </row>
    <row r="257" spans="5:15" x14ac:dyDescent="0.25">
      <c r="E257" s="10">
        <v>236</v>
      </c>
      <c r="F257" s="285">
        <f t="shared" si="27"/>
        <v>20302006.214944765</v>
      </c>
      <c r="G257" s="285">
        <f t="shared" si="28"/>
        <v>135346.70809963177</v>
      </c>
      <c r="H257" s="285">
        <f t="shared" si="29"/>
        <v>385908.10968650255</v>
      </c>
      <c r="I257" s="285">
        <f t="shared" si="30"/>
        <v>20051444.813357897</v>
      </c>
      <c r="K257">
        <f t="shared" si="31"/>
        <v>236</v>
      </c>
      <c r="L257" s="1">
        <f t="shared" si="32"/>
        <v>18181419.934205547</v>
      </c>
      <c r="M257" s="1">
        <f t="shared" si="33"/>
        <v>121209.46622803698</v>
      </c>
      <c r="N257" s="1">
        <f t="shared" si="34"/>
        <v>345599.21438013314</v>
      </c>
      <c r="O257" s="1">
        <f t="shared" si="35"/>
        <v>17957030.186053451</v>
      </c>
    </row>
    <row r="258" spans="5:15" x14ac:dyDescent="0.25">
      <c r="E258" s="10">
        <v>237</v>
      </c>
      <c r="F258" s="285">
        <f t="shared" si="27"/>
        <v>20051444.813357897</v>
      </c>
      <c r="G258" s="285">
        <f t="shared" si="28"/>
        <v>133676.29875571933</v>
      </c>
      <c r="H258" s="285">
        <f t="shared" si="29"/>
        <v>385908.10968650255</v>
      </c>
      <c r="I258" s="285">
        <f t="shared" si="30"/>
        <v>19799213.002427116</v>
      </c>
      <c r="K258">
        <f t="shared" si="31"/>
        <v>237</v>
      </c>
      <c r="L258" s="1">
        <f t="shared" si="32"/>
        <v>17957030.186053451</v>
      </c>
      <c r="M258" s="1">
        <f t="shared" si="33"/>
        <v>119713.53457368969</v>
      </c>
      <c r="N258" s="1">
        <f t="shared" si="34"/>
        <v>345599.21438013314</v>
      </c>
      <c r="O258" s="1">
        <f t="shared" si="35"/>
        <v>17731144.506247006</v>
      </c>
    </row>
    <row r="259" spans="5:15" x14ac:dyDescent="0.25">
      <c r="E259" s="10">
        <v>238</v>
      </c>
      <c r="F259" s="285">
        <f t="shared" si="27"/>
        <v>19799213.002427116</v>
      </c>
      <c r="G259" s="285">
        <f t="shared" si="28"/>
        <v>131994.75334951413</v>
      </c>
      <c r="H259" s="285">
        <f t="shared" si="29"/>
        <v>385908.10968650255</v>
      </c>
      <c r="I259" s="285">
        <f t="shared" si="30"/>
        <v>19545299.646090128</v>
      </c>
      <c r="K259">
        <f t="shared" si="31"/>
        <v>238</v>
      </c>
      <c r="L259" s="1">
        <f t="shared" si="32"/>
        <v>17731144.506247006</v>
      </c>
      <c r="M259" s="1">
        <f t="shared" si="33"/>
        <v>118207.63004164671</v>
      </c>
      <c r="N259" s="1">
        <f t="shared" si="34"/>
        <v>345599.21438013314</v>
      </c>
      <c r="O259" s="1">
        <f t="shared" si="35"/>
        <v>17503752.92190852</v>
      </c>
    </row>
    <row r="260" spans="5:15" x14ac:dyDescent="0.25">
      <c r="E260" s="10">
        <v>239</v>
      </c>
      <c r="F260" s="285">
        <f t="shared" si="27"/>
        <v>19545299.646090128</v>
      </c>
      <c r="G260" s="285">
        <f t="shared" si="28"/>
        <v>130301.99764060086</v>
      </c>
      <c r="H260" s="285">
        <f t="shared" si="29"/>
        <v>385908.10968650255</v>
      </c>
      <c r="I260" s="285">
        <f t="shared" si="30"/>
        <v>19289693.534044228</v>
      </c>
      <c r="K260">
        <f t="shared" si="31"/>
        <v>239</v>
      </c>
      <c r="L260" s="1">
        <f t="shared" si="32"/>
        <v>17503752.92190852</v>
      </c>
      <c r="M260" s="1">
        <f t="shared" si="33"/>
        <v>116691.6861460568</v>
      </c>
      <c r="N260" s="1">
        <f t="shared" si="34"/>
        <v>345599.21438013314</v>
      </c>
      <c r="O260" s="1">
        <f t="shared" si="35"/>
        <v>17274845.393674444</v>
      </c>
    </row>
    <row r="261" spans="5:15" x14ac:dyDescent="0.25">
      <c r="E261" s="10">
        <v>240</v>
      </c>
      <c r="F261" s="285">
        <f t="shared" si="27"/>
        <v>19289693.534044228</v>
      </c>
      <c r="G261" s="285">
        <f t="shared" si="28"/>
        <v>128597.9568936282</v>
      </c>
      <c r="H261" s="285">
        <f t="shared" si="29"/>
        <v>385908.10968650255</v>
      </c>
      <c r="I261" s="285">
        <f t="shared" si="30"/>
        <v>19032383.381251354</v>
      </c>
      <c r="K261">
        <f t="shared" si="31"/>
        <v>240</v>
      </c>
      <c r="L261" s="1">
        <f t="shared" si="32"/>
        <v>17274845.393674444</v>
      </c>
      <c r="M261" s="1">
        <f t="shared" si="33"/>
        <v>115165.63595782964</v>
      </c>
      <c r="N261" s="1">
        <f t="shared" si="34"/>
        <v>345599.21438013314</v>
      </c>
      <c r="O261" s="1">
        <f t="shared" si="35"/>
        <v>17044411.81525214</v>
      </c>
    </row>
    <row r="262" spans="5:15" x14ac:dyDescent="0.25">
      <c r="E262" s="10">
        <v>241</v>
      </c>
      <c r="F262" s="285">
        <f t="shared" si="27"/>
        <v>19032383.381251354</v>
      </c>
      <c r="G262" s="285">
        <f t="shared" si="28"/>
        <v>126882.55587500903</v>
      </c>
      <c r="H262" s="285">
        <f t="shared" si="29"/>
        <v>385908.10968650255</v>
      </c>
      <c r="I262" s="285">
        <f t="shared" si="30"/>
        <v>18773357.827439863</v>
      </c>
      <c r="K262">
        <f t="shared" si="31"/>
        <v>241</v>
      </c>
      <c r="L262" s="1">
        <f t="shared" si="32"/>
        <v>17044411.81525214</v>
      </c>
      <c r="M262" s="1">
        <f t="shared" si="33"/>
        <v>113629.41210168094</v>
      </c>
      <c r="N262" s="1">
        <f t="shared" si="34"/>
        <v>345599.21438013314</v>
      </c>
      <c r="O262" s="1">
        <f t="shared" si="35"/>
        <v>16812442.012973689</v>
      </c>
    </row>
    <row r="263" spans="5:15" x14ac:dyDescent="0.25">
      <c r="E263" s="10">
        <v>242</v>
      </c>
      <c r="F263" s="285">
        <f t="shared" si="27"/>
        <v>18773357.827439863</v>
      </c>
      <c r="G263" s="285">
        <f t="shared" si="28"/>
        <v>125155.7188495991</v>
      </c>
      <c r="H263" s="285">
        <f t="shared" si="29"/>
        <v>385908.10968650255</v>
      </c>
      <c r="I263" s="285">
        <f t="shared" si="30"/>
        <v>18512605.436602961</v>
      </c>
      <c r="K263">
        <f t="shared" si="31"/>
        <v>242</v>
      </c>
      <c r="L263" s="1">
        <f t="shared" si="32"/>
        <v>16812442.012973689</v>
      </c>
      <c r="M263" s="1">
        <f t="shared" si="33"/>
        <v>112082.94675315793</v>
      </c>
      <c r="N263" s="1">
        <f t="shared" si="34"/>
        <v>345599.21438013314</v>
      </c>
      <c r="O263" s="1">
        <f t="shared" si="35"/>
        <v>16578925.745346714</v>
      </c>
    </row>
    <row r="264" spans="5:15" x14ac:dyDescent="0.25">
      <c r="E264" s="10">
        <v>243</v>
      </c>
      <c r="F264" s="285">
        <f t="shared" si="27"/>
        <v>18512605.436602961</v>
      </c>
      <c r="G264" s="285">
        <f t="shared" si="28"/>
        <v>123417.36957735308</v>
      </c>
      <c r="H264" s="285">
        <f t="shared" si="29"/>
        <v>385908.10968650255</v>
      </c>
      <c r="I264" s="285">
        <f t="shared" si="30"/>
        <v>18250114.696493812</v>
      </c>
      <c r="K264">
        <f t="shared" si="31"/>
        <v>243</v>
      </c>
      <c r="L264" s="1">
        <f t="shared" si="32"/>
        <v>16578925.745346714</v>
      </c>
      <c r="M264" s="1">
        <f t="shared" si="33"/>
        <v>110526.17163564477</v>
      </c>
      <c r="N264" s="1">
        <f t="shared" si="34"/>
        <v>345599.21438013314</v>
      </c>
      <c r="O264" s="1">
        <f t="shared" si="35"/>
        <v>16343852.702602224</v>
      </c>
    </row>
    <row r="265" spans="5:15" x14ac:dyDescent="0.25">
      <c r="E265" s="10">
        <v>244</v>
      </c>
      <c r="F265" s="285">
        <f t="shared" si="27"/>
        <v>18250114.696493812</v>
      </c>
      <c r="G265" s="285">
        <f t="shared" si="28"/>
        <v>121667.43130995876</v>
      </c>
      <c r="H265" s="285">
        <f t="shared" si="29"/>
        <v>385908.10968650255</v>
      </c>
      <c r="I265" s="285">
        <f t="shared" si="30"/>
        <v>17985874.018117268</v>
      </c>
      <c r="K265">
        <f t="shared" si="31"/>
        <v>244</v>
      </c>
      <c r="L265" s="1">
        <f t="shared" si="32"/>
        <v>16343852.702602224</v>
      </c>
      <c r="M265" s="1">
        <f t="shared" si="33"/>
        <v>108959.01801734816</v>
      </c>
      <c r="N265" s="1">
        <f t="shared" si="34"/>
        <v>345599.21438013314</v>
      </c>
      <c r="O265" s="1">
        <f t="shared" si="35"/>
        <v>16107212.506239438</v>
      </c>
    </row>
    <row r="266" spans="5:15" x14ac:dyDescent="0.25">
      <c r="E266" s="10">
        <v>245</v>
      </c>
      <c r="F266" s="285">
        <f t="shared" si="27"/>
        <v>17985874.018117268</v>
      </c>
      <c r="G266" s="285">
        <f t="shared" si="28"/>
        <v>119905.82678744846</v>
      </c>
      <c r="H266" s="285">
        <f t="shared" si="29"/>
        <v>385908.10968650255</v>
      </c>
      <c r="I266" s="285">
        <f t="shared" si="30"/>
        <v>17719871.735218216</v>
      </c>
      <c r="K266">
        <f t="shared" si="31"/>
        <v>245</v>
      </c>
      <c r="L266" s="1">
        <f t="shared" si="32"/>
        <v>16107212.506239438</v>
      </c>
      <c r="M266" s="1">
        <f t="shared" si="33"/>
        <v>107381.41670826293</v>
      </c>
      <c r="N266" s="1">
        <f t="shared" si="34"/>
        <v>345599.21438013314</v>
      </c>
      <c r="O266" s="1">
        <f t="shared" si="35"/>
        <v>15868994.708567567</v>
      </c>
    </row>
    <row r="267" spans="5:15" x14ac:dyDescent="0.25">
      <c r="E267" s="10">
        <v>246</v>
      </c>
      <c r="F267" s="285">
        <f t="shared" si="27"/>
        <v>17719871.735218216</v>
      </c>
      <c r="G267" s="285">
        <f t="shared" si="28"/>
        <v>118132.47823478811</v>
      </c>
      <c r="H267" s="285">
        <f t="shared" si="29"/>
        <v>385908.10968650255</v>
      </c>
      <c r="I267" s="285">
        <f t="shared" si="30"/>
        <v>17452096.103766501</v>
      </c>
      <c r="K267">
        <f t="shared" si="31"/>
        <v>246</v>
      </c>
      <c r="L267" s="1">
        <f t="shared" si="32"/>
        <v>15868994.708567567</v>
      </c>
      <c r="M267" s="1">
        <f t="shared" si="33"/>
        <v>105793.29805711712</v>
      </c>
      <c r="N267" s="1">
        <f t="shared" si="34"/>
        <v>345599.21438013314</v>
      </c>
      <c r="O267" s="1">
        <f t="shared" si="35"/>
        <v>15629188.79224455</v>
      </c>
    </row>
    <row r="268" spans="5:15" x14ac:dyDescent="0.25">
      <c r="E268" s="10">
        <v>247</v>
      </c>
      <c r="F268" s="285">
        <f t="shared" si="27"/>
        <v>17452096.103766501</v>
      </c>
      <c r="G268" s="285">
        <f t="shared" si="28"/>
        <v>116347.30735844334</v>
      </c>
      <c r="H268" s="285">
        <f t="shared" si="29"/>
        <v>385908.10968650255</v>
      </c>
      <c r="I268" s="285">
        <f t="shared" si="30"/>
        <v>17182535.301438443</v>
      </c>
      <c r="K268">
        <f t="shared" si="31"/>
        <v>247</v>
      </c>
      <c r="L268" s="1">
        <f t="shared" si="32"/>
        <v>15629188.79224455</v>
      </c>
      <c r="M268" s="1">
        <f t="shared" si="33"/>
        <v>104194.59194829701</v>
      </c>
      <c r="N268" s="1">
        <f t="shared" si="34"/>
        <v>345599.21438013314</v>
      </c>
      <c r="O268" s="1">
        <f t="shared" si="35"/>
        <v>15387784.169812713</v>
      </c>
    </row>
    <row r="269" spans="5:15" x14ac:dyDescent="0.25">
      <c r="E269" s="10">
        <v>248</v>
      </c>
      <c r="F269" s="285">
        <f t="shared" si="27"/>
        <v>17182535.301438443</v>
      </c>
      <c r="G269" s="285">
        <f t="shared" si="28"/>
        <v>114550.23534292297</v>
      </c>
      <c r="H269" s="285">
        <f t="shared" si="29"/>
        <v>385908.10968650255</v>
      </c>
      <c r="I269" s="285">
        <f t="shared" si="30"/>
        <v>16911177.427094866</v>
      </c>
      <c r="K269">
        <f t="shared" si="31"/>
        <v>248</v>
      </c>
      <c r="L269" s="1">
        <f t="shared" si="32"/>
        <v>15387784.169812713</v>
      </c>
      <c r="M269" s="1">
        <f t="shared" si="33"/>
        <v>102585.22779875142</v>
      </c>
      <c r="N269" s="1">
        <f t="shared" si="34"/>
        <v>345599.21438013314</v>
      </c>
      <c r="O269" s="1">
        <f t="shared" si="35"/>
        <v>15144770.18323133</v>
      </c>
    </row>
    <row r="270" spans="5:15" x14ac:dyDescent="0.25">
      <c r="E270" s="10">
        <v>249</v>
      </c>
      <c r="F270" s="285">
        <f t="shared" si="27"/>
        <v>16911177.427094866</v>
      </c>
      <c r="G270" s="285">
        <f t="shared" si="28"/>
        <v>112741.18284729912</v>
      </c>
      <c r="H270" s="285">
        <f t="shared" si="29"/>
        <v>385908.10968650255</v>
      </c>
      <c r="I270" s="285">
        <f t="shared" si="30"/>
        <v>16638010.500255661</v>
      </c>
      <c r="K270">
        <f t="shared" si="31"/>
        <v>249</v>
      </c>
      <c r="L270" s="1">
        <f t="shared" si="32"/>
        <v>15144770.18323133</v>
      </c>
      <c r="M270" s="1">
        <f t="shared" si="33"/>
        <v>100965.13455487553</v>
      </c>
      <c r="N270" s="1">
        <f t="shared" si="34"/>
        <v>345599.21438013314</v>
      </c>
      <c r="O270" s="1">
        <f t="shared" si="35"/>
        <v>14900136.103406072</v>
      </c>
    </row>
    <row r="271" spans="5:15" x14ac:dyDescent="0.25">
      <c r="E271" s="10">
        <v>250</v>
      </c>
      <c r="F271" s="285">
        <f t="shared" si="27"/>
        <v>16638010.500255661</v>
      </c>
      <c r="G271" s="285">
        <f t="shared" si="28"/>
        <v>110920.07000170441</v>
      </c>
      <c r="H271" s="285">
        <f t="shared" si="29"/>
        <v>385908.10968650255</v>
      </c>
      <c r="I271" s="285">
        <f t="shared" si="30"/>
        <v>16363022.460570863</v>
      </c>
      <c r="K271">
        <f t="shared" si="31"/>
        <v>250</v>
      </c>
      <c r="L271" s="1">
        <f t="shared" si="32"/>
        <v>14900136.103406072</v>
      </c>
      <c r="M271" s="1">
        <f t="shared" si="33"/>
        <v>99334.240689373823</v>
      </c>
      <c r="N271" s="1">
        <f t="shared" si="34"/>
        <v>345599.21438013314</v>
      </c>
      <c r="O271" s="1">
        <f t="shared" si="35"/>
        <v>14653871.129715312</v>
      </c>
    </row>
    <row r="272" spans="5:15" x14ac:dyDescent="0.25">
      <c r="E272" s="10">
        <v>251</v>
      </c>
      <c r="F272" s="285">
        <f t="shared" si="27"/>
        <v>16363022.460570863</v>
      </c>
      <c r="G272" s="285">
        <f t="shared" si="28"/>
        <v>109086.81640380576</v>
      </c>
      <c r="H272" s="285">
        <f t="shared" si="29"/>
        <v>385908.10968650255</v>
      </c>
      <c r="I272" s="285">
        <f t="shared" si="30"/>
        <v>16086201.167288166</v>
      </c>
      <c r="K272">
        <f t="shared" si="31"/>
        <v>251</v>
      </c>
      <c r="L272" s="1">
        <f t="shared" si="32"/>
        <v>14653871.129715312</v>
      </c>
      <c r="M272" s="1">
        <f t="shared" si="33"/>
        <v>97692.474198102092</v>
      </c>
      <c r="N272" s="1">
        <f t="shared" si="34"/>
        <v>345599.21438013314</v>
      </c>
      <c r="O272" s="1">
        <f t="shared" si="35"/>
        <v>14405964.389533281</v>
      </c>
    </row>
    <row r="273" spans="5:15" x14ac:dyDescent="0.25">
      <c r="E273" s="10">
        <v>252</v>
      </c>
      <c r="F273" s="285">
        <f t="shared" si="27"/>
        <v>16086201.167288166</v>
      </c>
      <c r="G273" s="285">
        <f t="shared" si="28"/>
        <v>107241.34111525444</v>
      </c>
      <c r="H273" s="285">
        <f t="shared" si="29"/>
        <v>385908.10968650255</v>
      </c>
      <c r="I273" s="285">
        <f t="shared" si="30"/>
        <v>15807534.398716917</v>
      </c>
      <c r="K273">
        <f t="shared" si="31"/>
        <v>252</v>
      </c>
      <c r="L273" s="1">
        <f t="shared" si="32"/>
        <v>14405964.389533281</v>
      </c>
      <c r="M273" s="1">
        <f t="shared" si="33"/>
        <v>96039.762596888555</v>
      </c>
      <c r="N273" s="1">
        <f t="shared" si="34"/>
        <v>345599.21438013314</v>
      </c>
      <c r="O273" s="1">
        <f t="shared" si="35"/>
        <v>14156404.937750036</v>
      </c>
    </row>
    <row r="274" spans="5:15" x14ac:dyDescent="0.25">
      <c r="E274" s="10">
        <v>253</v>
      </c>
      <c r="F274" s="285">
        <f t="shared" si="27"/>
        <v>15807534.398716917</v>
      </c>
      <c r="G274" s="285">
        <f t="shared" si="28"/>
        <v>105383.56265811279</v>
      </c>
      <c r="H274" s="285">
        <f t="shared" si="29"/>
        <v>385908.10968650255</v>
      </c>
      <c r="I274" s="285">
        <f t="shared" si="30"/>
        <v>15527009.851688527</v>
      </c>
      <c r="K274">
        <f t="shared" si="31"/>
        <v>253</v>
      </c>
      <c r="L274" s="1">
        <f t="shared" si="32"/>
        <v>14156404.937750036</v>
      </c>
      <c r="M274" s="1">
        <f t="shared" si="33"/>
        <v>94376.032918333585</v>
      </c>
      <c r="N274" s="1">
        <f t="shared" si="34"/>
        <v>345599.21438013314</v>
      </c>
      <c r="O274" s="1">
        <f t="shared" si="35"/>
        <v>13905181.756288236</v>
      </c>
    </row>
    <row r="275" spans="5:15" x14ac:dyDescent="0.25">
      <c r="E275" s="10">
        <v>254</v>
      </c>
      <c r="F275" s="285">
        <f t="shared" si="27"/>
        <v>15527009.851688527</v>
      </c>
      <c r="G275" s="285">
        <f t="shared" si="28"/>
        <v>103513.39901125686</v>
      </c>
      <c r="H275" s="285">
        <f t="shared" si="29"/>
        <v>385908.10968650255</v>
      </c>
      <c r="I275" s="285">
        <f t="shared" si="30"/>
        <v>15244615.14101328</v>
      </c>
      <c r="K275">
        <f t="shared" si="31"/>
        <v>254</v>
      </c>
      <c r="L275" s="1">
        <f t="shared" si="32"/>
        <v>13905181.756288236</v>
      </c>
      <c r="M275" s="1">
        <f t="shared" si="33"/>
        <v>92701.211708588249</v>
      </c>
      <c r="N275" s="1">
        <f t="shared" si="34"/>
        <v>345599.21438013314</v>
      </c>
      <c r="O275" s="1">
        <f t="shared" si="35"/>
        <v>13652283.753616691</v>
      </c>
    </row>
    <row r="276" spans="5:15" x14ac:dyDescent="0.25">
      <c r="E276" s="10">
        <v>255</v>
      </c>
      <c r="F276" s="285">
        <f t="shared" si="27"/>
        <v>15244615.14101328</v>
      </c>
      <c r="G276" s="285">
        <f t="shared" si="28"/>
        <v>101630.76760675521</v>
      </c>
      <c r="H276" s="285">
        <f t="shared" si="29"/>
        <v>385908.10968650255</v>
      </c>
      <c r="I276" s="285">
        <f t="shared" si="30"/>
        <v>14960337.798933532</v>
      </c>
      <c r="K276">
        <f t="shared" si="31"/>
        <v>255</v>
      </c>
      <c r="L276" s="1">
        <f t="shared" si="32"/>
        <v>13652283.753616691</v>
      </c>
      <c r="M276" s="1">
        <f t="shared" si="33"/>
        <v>91015.225024111278</v>
      </c>
      <c r="N276" s="1">
        <f t="shared" si="34"/>
        <v>345599.21438013314</v>
      </c>
      <c r="O276" s="1">
        <f t="shared" si="35"/>
        <v>13397699.764260668</v>
      </c>
    </row>
    <row r="277" spans="5:15" x14ac:dyDescent="0.25">
      <c r="E277" s="10">
        <v>256</v>
      </c>
      <c r="F277" s="285">
        <f t="shared" si="27"/>
        <v>14960337.798933532</v>
      </c>
      <c r="G277" s="285">
        <f t="shared" si="28"/>
        <v>99735.585326223547</v>
      </c>
      <c r="H277" s="285">
        <f t="shared" si="29"/>
        <v>385908.10968650255</v>
      </c>
      <c r="I277" s="285">
        <f t="shared" si="30"/>
        <v>14674165.274573252</v>
      </c>
      <c r="K277">
        <f t="shared" si="31"/>
        <v>256</v>
      </c>
      <c r="L277" s="1">
        <f t="shared" si="32"/>
        <v>13397699.764260668</v>
      </c>
      <c r="M277" s="1">
        <f t="shared" si="33"/>
        <v>89317.998428404462</v>
      </c>
      <c r="N277" s="1">
        <f t="shared" si="34"/>
        <v>345599.21438013314</v>
      </c>
      <c r="O277" s="1">
        <f t="shared" si="35"/>
        <v>13141418.548308939</v>
      </c>
    </row>
    <row r="278" spans="5:15" x14ac:dyDescent="0.25">
      <c r="E278" s="10">
        <v>257</v>
      </c>
      <c r="F278" s="285">
        <f t="shared" si="27"/>
        <v>14674165.274573252</v>
      </c>
      <c r="G278" s="285">
        <f t="shared" si="28"/>
        <v>97827.768497155019</v>
      </c>
      <c r="H278" s="285">
        <f t="shared" si="29"/>
        <v>385908.10968650255</v>
      </c>
      <c r="I278" s="285">
        <f t="shared" si="30"/>
        <v>14386084.933383903</v>
      </c>
      <c r="K278">
        <f t="shared" si="31"/>
        <v>257</v>
      </c>
      <c r="L278" s="1">
        <f t="shared" si="32"/>
        <v>13141418.548308939</v>
      </c>
      <c r="M278" s="1">
        <f t="shared" si="33"/>
        <v>87609.456988726262</v>
      </c>
      <c r="N278" s="1">
        <f t="shared" si="34"/>
        <v>345599.21438013314</v>
      </c>
      <c r="O278" s="1">
        <f t="shared" si="35"/>
        <v>12883428.790917531</v>
      </c>
    </row>
    <row r="279" spans="5:15" x14ac:dyDescent="0.25">
      <c r="E279" s="10">
        <v>258</v>
      </c>
      <c r="F279" s="285">
        <f t="shared" si="27"/>
        <v>14386084.933383903</v>
      </c>
      <c r="G279" s="285">
        <f t="shared" si="28"/>
        <v>95907.232889226027</v>
      </c>
      <c r="H279" s="285">
        <f t="shared" si="29"/>
        <v>385908.10968650255</v>
      </c>
      <c r="I279" s="285">
        <f t="shared" si="30"/>
        <v>14096084.056586625</v>
      </c>
      <c r="K279">
        <f t="shared" si="31"/>
        <v>258</v>
      </c>
      <c r="L279" s="1">
        <f t="shared" si="32"/>
        <v>12883428.790917531</v>
      </c>
      <c r="M279" s="1">
        <f t="shared" si="33"/>
        <v>85889.525272783547</v>
      </c>
      <c r="N279" s="1">
        <f t="shared" si="34"/>
        <v>345599.21438013314</v>
      </c>
      <c r="O279" s="1">
        <f t="shared" si="35"/>
        <v>12623719.10181018</v>
      </c>
    </row>
    <row r="280" spans="5:15" x14ac:dyDescent="0.25">
      <c r="E280" s="10">
        <v>259</v>
      </c>
      <c r="F280" s="285">
        <f t="shared" ref="F280:F321" si="36">I279</f>
        <v>14096084.056586625</v>
      </c>
      <c r="G280" s="285">
        <f t="shared" ref="G280:G321" si="37">F280*$K$13</f>
        <v>93973.893710577511</v>
      </c>
      <c r="H280" s="285">
        <f t="shared" ref="H280:H321" si="38">$G$17</f>
        <v>385908.10968650255</v>
      </c>
      <c r="I280" s="285">
        <f t="shared" ref="I280:I321" si="39">F280+G280-H280</f>
        <v>13804149.8406107</v>
      </c>
      <c r="K280">
        <f t="shared" si="31"/>
        <v>259</v>
      </c>
      <c r="L280" s="1">
        <f t="shared" si="32"/>
        <v>12623719.10181018</v>
      </c>
      <c r="M280" s="1">
        <f t="shared" si="33"/>
        <v>84158.127345401197</v>
      </c>
      <c r="N280" s="1">
        <f t="shared" si="34"/>
        <v>345599.21438013314</v>
      </c>
      <c r="O280" s="1">
        <f t="shared" si="35"/>
        <v>12362278.014775448</v>
      </c>
    </row>
    <row r="281" spans="5:15" x14ac:dyDescent="0.25">
      <c r="E281" s="10">
        <v>260</v>
      </c>
      <c r="F281" s="285">
        <f t="shared" si="36"/>
        <v>13804149.8406107</v>
      </c>
      <c r="G281" s="285">
        <f t="shared" si="37"/>
        <v>92027.665604071342</v>
      </c>
      <c r="H281" s="285">
        <f t="shared" si="38"/>
        <v>385908.10968650255</v>
      </c>
      <c r="I281" s="285">
        <f t="shared" si="39"/>
        <v>13510269.396528268</v>
      </c>
      <c r="K281">
        <f t="shared" si="31"/>
        <v>260</v>
      </c>
      <c r="L281" s="1">
        <f t="shared" si="32"/>
        <v>12362278.014775448</v>
      </c>
      <c r="M281" s="1">
        <f t="shared" si="33"/>
        <v>82415.186765169652</v>
      </c>
      <c r="N281" s="1">
        <f t="shared" si="34"/>
        <v>345599.21438013314</v>
      </c>
      <c r="O281" s="1">
        <f t="shared" si="35"/>
        <v>12099093.987160483</v>
      </c>
    </row>
    <row r="282" spans="5:15" x14ac:dyDescent="0.25">
      <c r="E282" s="10">
        <v>261</v>
      </c>
      <c r="F282" s="285">
        <f t="shared" si="36"/>
        <v>13510269.396528268</v>
      </c>
      <c r="G282" s="285">
        <f t="shared" si="37"/>
        <v>90068.462643521794</v>
      </c>
      <c r="H282" s="285">
        <f t="shared" si="38"/>
        <v>385908.10968650255</v>
      </c>
      <c r="I282" s="285">
        <f t="shared" si="39"/>
        <v>13214429.749485286</v>
      </c>
      <c r="K282">
        <f t="shared" si="31"/>
        <v>261</v>
      </c>
      <c r="L282" s="1">
        <f t="shared" si="32"/>
        <v>12099093.987160483</v>
      </c>
      <c r="M282" s="1">
        <f t="shared" si="33"/>
        <v>80660.626581069897</v>
      </c>
      <c r="N282" s="1">
        <f t="shared" si="34"/>
        <v>345599.21438013314</v>
      </c>
      <c r="O282" s="1">
        <f t="shared" si="35"/>
        <v>11834155.399361419</v>
      </c>
    </row>
    <row r="283" spans="5:15" x14ac:dyDescent="0.25">
      <c r="E283" s="10">
        <v>262</v>
      </c>
      <c r="F283" s="285">
        <f t="shared" si="36"/>
        <v>13214429.749485286</v>
      </c>
      <c r="G283" s="285">
        <f t="shared" si="37"/>
        <v>88096.198329901905</v>
      </c>
      <c r="H283" s="285">
        <f t="shared" si="38"/>
        <v>385908.10968650255</v>
      </c>
      <c r="I283" s="285">
        <f t="shared" si="39"/>
        <v>12916617.838128684</v>
      </c>
      <c r="K283">
        <f t="shared" si="31"/>
        <v>262</v>
      </c>
      <c r="L283" s="1">
        <f t="shared" si="32"/>
        <v>11834155.399361419</v>
      </c>
      <c r="M283" s="1">
        <f t="shared" si="33"/>
        <v>78894.369329076129</v>
      </c>
      <c r="N283" s="1">
        <f t="shared" si="34"/>
        <v>345599.21438013314</v>
      </c>
      <c r="O283" s="1">
        <f t="shared" si="35"/>
        <v>11567450.554310361</v>
      </c>
    </row>
    <row r="284" spans="5:15" x14ac:dyDescent="0.25">
      <c r="E284" s="10">
        <v>263</v>
      </c>
      <c r="F284" s="285">
        <f t="shared" si="36"/>
        <v>12916617.838128684</v>
      </c>
      <c r="G284" s="285">
        <f t="shared" si="37"/>
        <v>86110.785587524573</v>
      </c>
      <c r="H284" s="285">
        <f t="shared" si="38"/>
        <v>385908.10968650255</v>
      </c>
      <c r="I284" s="285">
        <f t="shared" si="39"/>
        <v>12616820.514029706</v>
      </c>
      <c r="K284">
        <f t="shared" si="31"/>
        <v>263</v>
      </c>
      <c r="L284" s="1">
        <f t="shared" si="32"/>
        <v>11567450.554310361</v>
      </c>
      <c r="M284" s="1">
        <f t="shared" si="33"/>
        <v>77116.337028735739</v>
      </c>
      <c r="N284" s="1">
        <f t="shared" si="34"/>
        <v>345599.21438013314</v>
      </c>
      <c r="O284" s="1">
        <f t="shared" si="35"/>
        <v>11298967.676958963</v>
      </c>
    </row>
    <row r="285" spans="5:15" x14ac:dyDescent="0.25">
      <c r="E285" s="10">
        <v>264</v>
      </c>
      <c r="F285" s="285">
        <f t="shared" si="36"/>
        <v>12616820.514029706</v>
      </c>
      <c r="G285" s="285">
        <f t="shared" si="37"/>
        <v>84112.136760198046</v>
      </c>
      <c r="H285" s="285">
        <f t="shared" si="38"/>
        <v>385908.10968650255</v>
      </c>
      <c r="I285" s="285">
        <f t="shared" si="39"/>
        <v>12315024.5411034</v>
      </c>
      <c r="K285">
        <f t="shared" si="31"/>
        <v>264</v>
      </c>
      <c r="L285" s="1">
        <f t="shared" si="32"/>
        <v>11298967.676958963</v>
      </c>
      <c r="M285" s="1">
        <f t="shared" si="33"/>
        <v>75326.451179726428</v>
      </c>
      <c r="N285" s="1">
        <f t="shared" si="34"/>
        <v>345599.21438013314</v>
      </c>
      <c r="O285" s="1">
        <f t="shared" si="35"/>
        <v>11028694.913758555</v>
      </c>
    </row>
    <row r="286" spans="5:15" x14ac:dyDescent="0.25">
      <c r="E286" s="10">
        <v>265</v>
      </c>
      <c r="F286" s="285">
        <f t="shared" si="36"/>
        <v>12315024.5411034</v>
      </c>
      <c r="G286" s="285">
        <f t="shared" si="37"/>
        <v>82100.163607356008</v>
      </c>
      <c r="H286" s="285">
        <f t="shared" si="38"/>
        <v>385908.10968650255</v>
      </c>
      <c r="I286" s="285">
        <f t="shared" si="39"/>
        <v>12011216.595024252</v>
      </c>
      <c r="K286">
        <f t="shared" si="31"/>
        <v>265</v>
      </c>
      <c r="L286" s="1">
        <f t="shared" si="32"/>
        <v>11028694.913758555</v>
      </c>
      <c r="M286" s="1">
        <f t="shared" si="33"/>
        <v>73524.632758390377</v>
      </c>
      <c r="N286" s="1">
        <f t="shared" si="34"/>
        <v>345599.21438013314</v>
      </c>
      <c r="O286" s="1">
        <f t="shared" si="35"/>
        <v>10756620.332136812</v>
      </c>
    </row>
    <row r="287" spans="5:15" x14ac:dyDescent="0.25">
      <c r="E287" s="10">
        <v>266</v>
      </c>
      <c r="F287" s="285">
        <f t="shared" si="36"/>
        <v>12011216.595024252</v>
      </c>
      <c r="G287" s="285">
        <f t="shared" si="37"/>
        <v>80074.777300161688</v>
      </c>
      <c r="H287" s="285">
        <f t="shared" si="38"/>
        <v>385908.10968650255</v>
      </c>
      <c r="I287" s="285">
        <f t="shared" si="39"/>
        <v>11705383.262637911</v>
      </c>
      <c r="K287">
        <f t="shared" si="31"/>
        <v>266</v>
      </c>
      <c r="L287" s="1">
        <f t="shared" si="32"/>
        <v>10756620.332136812</v>
      </c>
      <c r="M287" s="1">
        <f t="shared" si="33"/>
        <v>71710.802214245414</v>
      </c>
      <c r="N287" s="1">
        <f t="shared" si="34"/>
        <v>345599.21438013314</v>
      </c>
      <c r="O287" s="1">
        <f t="shared" si="35"/>
        <v>10482731.919970924</v>
      </c>
    </row>
    <row r="288" spans="5:15" x14ac:dyDescent="0.25">
      <c r="E288" s="10">
        <v>267</v>
      </c>
      <c r="F288" s="285">
        <f t="shared" si="36"/>
        <v>11705383.262637911</v>
      </c>
      <c r="G288" s="285">
        <f t="shared" si="37"/>
        <v>78035.888417586088</v>
      </c>
      <c r="H288" s="285">
        <f t="shared" si="38"/>
        <v>385908.10968650255</v>
      </c>
      <c r="I288" s="285">
        <f t="shared" si="39"/>
        <v>11397511.041368995</v>
      </c>
      <c r="K288">
        <f t="shared" si="31"/>
        <v>267</v>
      </c>
      <c r="L288" s="1">
        <f t="shared" si="32"/>
        <v>10482731.919970924</v>
      </c>
      <c r="M288" s="1">
        <f t="shared" si="33"/>
        <v>69884.879466472834</v>
      </c>
      <c r="N288" s="1">
        <f t="shared" si="34"/>
        <v>345599.21438013314</v>
      </c>
      <c r="O288" s="1">
        <f t="shared" si="35"/>
        <v>10207017.585057262</v>
      </c>
    </row>
    <row r="289" spans="5:15" x14ac:dyDescent="0.25">
      <c r="E289" s="10">
        <v>268</v>
      </c>
      <c r="F289" s="285">
        <f t="shared" si="36"/>
        <v>11397511.041368995</v>
      </c>
      <c r="G289" s="285">
        <f t="shared" si="37"/>
        <v>75983.406942459973</v>
      </c>
      <c r="H289" s="285">
        <f t="shared" si="38"/>
        <v>385908.10968650255</v>
      </c>
      <c r="I289" s="285">
        <f t="shared" si="39"/>
        <v>11087586.338624952</v>
      </c>
      <c r="K289">
        <f t="shared" si="31"/>
        <v>268</v>
      </c>
      <c r="L289" s="1">
        <f t="shared" si="32"/>
        <v>10207017.585057262</v>
      </c>
      <c r="M289" s="1">
        <f t="shared" si="33"/>
        <v>68046.78390038175</v>
      </c>
      <c r="N289" s="1">
        <f t="shared" si="34"/>
        <v>345599.21438013314</v>
      </c>
      <c r="O289" s="1">
        <f t="shared" si="35"/>
        <v>9929465.1545775104</v>
      </c>
    </row>
    <row r="290" spans="5:15" x14ac:dyDescent="0.25">
      <c r="E290" s="10">
        <v>269</v>
      </c>
      <c r="F290" s="285">
        <f t="shared" si="36"/>
        <v>11087586.338624952</v>
      </c>
      <c r="G290" s="285">
        <f t="shared" si="37"/>
        <v>73917.242257499689</v>
      </c>
      <c r="H290" s="285">
        <f t="shared" si="38"/>
        <v>385908.10968650255</v>
      </c>
      <c r="I290" s="285">
        <f t="shared" si="39"/>
        <v>10775595.471195949</v>
      </c>
      <c r="K290">
        <f t="shared" si="31"/>
        <v>269</v>
      </c>
      <c r="L290" s="1">
        <f t="shared" si="32"/>
        <v>9929465.1545775104</v>
      </c>
      <c r="M290" s="1">
        <f t="shared" si="33"/>
        <v>66196.434363850072</v>
      </c>
      <c r="N290" s="1">
        <f t="shared" si="34"/>
        <v>345599.21438013314</v>
      </c>
      <c r="O290" s="1">
        <f t="shared" si="35"/>
        <v>9650062.374561226</v>
      </c>
    </row>
    <row r="291" spans="5:15" x14ac:dyDescent="0.25">
      <c r="E291" s="10">
        <v>270</v>
      </c>
      <c r="F291" s="285">
        <f t="shared" si="36"/>
        <v>10775595.471195949</v>
      </c>
      <c r="G291" s="285">
        <f t="shared" si="37"/>
        <v>71837.303141306329</v>
      </c>
      <c r="H291" s="285">
        <f t="shared" si="38"/>
        <v>385908.10968650255</v>
      </c>
      <c r="I291" s="285">
        <f t="shared" si="39"/>
        <v>10461524.664650753</v>
      </c>
      <c r="K291">
        <f t="shared" si="31"/>
        <v>270</v>
      </c>
      <c r="L291" s="1">
        <f t="shared" si="32"/>
        <v>9650062.374561226</v>
      </c>
      <c r="M291" s="1">
        <f t="shared" si="33"/>
        <v>64333.749163741508</v>
      </c>
      <c r="N291" s="1">
        <f t="shared" si="34"/>
        <v>345599.21438013314</v>
      </c>
      <c r="O291" s="1">
        <f t="shared" si="35"/>
        <v>9368796.9093448333</v>
      </c>
    </row>
    <row r="292" spans="5:15" x14ac:dyDescent="0.25">
      <c r="E292" s="10">
        <v>271</v>
      </c>
      <c r="F292" s="285">
        <f t="shared" si="36"/>
        <v>10461524.664650753</v>
      </c>
      <c r="G292" s="285">
        <f t="shared" si="37"/>
        <v>69743.497764338361</v>
      </c>
      <c r="H292" s="285">
        <f t="shared" si="38"/>
        <v>385908.10968650255</v>
      </c>
      <c r="I292" s="285">
        <f t="shared" si="39"/>
        <v>10145360.052728588</v>
      </c>
      <c r="K292">
        <f t="shared" si="31"/>
        <v>271</v>
      </c>
      <c r="L292" s="1">
        <f t="shared" si="32"/>
        <v>9368796.9093448333</v>
      </c>
      <c r="M292" s="1">
        <f t="shared" si="33"/>
        <v>62458.646062298896</v>
      </c>
      <c r="N292" s="1">
        <f t="shared" si="34"/>
        <v>345599.21438013314</v>
      </c>
      <c r="O292" s="1">
        <f t="shared" si="35"/>
        <v>9085656.3410269991</v>
      </c>
    </row>
    <row r="293" spans="5:15" x14ac:dyDescent="0.25">
      <c r="E293" s="10">
        <v>272</v>
      </c>
      <c r="F293" s="285">
        <f t="shared" si="36"/>
        <v>10145360.052728588</v>
      </c>
      <c r="G293" s="285">
        <f t="shared" si="37"/>
        <v>67635.73368485726</v>
      </c>
      <c r="H293" s="285">
        <f t="shared" si="38"/>
        <v>385908.10968650255</v>
      </c>
      <c r="I293" s="285">
        <f t="shared" si="39"/>
        <v>9827087.676726941</v>
      </c>
      <c r="K293">
        <f t="shared" si="31"/>
        <v>272</v>
      </c>
      <c r="L293" s="1">
        <f t="shared" si="32"/>
        <v>9085656.3410269991</v>
      </c>
      <c r="M293" s="1">
        <f t="shared" si="33"/>
        <v>60571.042273513332</v>
      </c>
      <c r="N293" s="1">
        <f t="shared" si="34"/>
        <v>345599.21438013314</v>
      </c>
      <c r="O293" s="1">
        <f t="shared" si="35"/>
        <v>8800628.1689203791</v>
      </c>
    </row>
    <row r="294" spans="5:15" x14ac:dyDescent="0.25">
      <c r="E294" s="10">
        <v>273</v>
      </c>
      <c r="F294" s="285">
        <f t="shared" si="36"/>
        <v>9827087.676726941</v>
      </c>
      <c r="G294" s="285">
        <f t="shared" si="37"/>
        <v>65513.917844846277</v>
      </c>
      <c r="H294" s="285">
        <f t="shared" si="38"/>
        <v>385908.10968650255</v>
      </c>
      <c r="I294" s="285">
        <f t="shared" si="39"/>
        <v>9506693.4848852847</v>
      </c>
      <c r="K294">
        <f t="shared" si="31"/>
        <v>273</v>
      </c>
      <c r="L294" s="1">
        <f t="shared" si="32"/>
        <v>8800628.1689203791</v>
      </c>
      <c r="M294" s="1">
        <f t="shared" si="33"/>
        <v>58670.854459469199</v>
      </c>
      <c r="N294" s="1">
        <f t="shared" si="34"/>
        <v>345599.21438013314</v>
      </c>
      <c r="O294" s="1">
        <f t="shared" si="35"/>
        <v>8513699.8089997135</v>
      </c>
    </row>
    <row r="295" spans="5:15" x14ac:dyDescent="0.25">
      <c r="E295" s="10">
        <v>274</v>
      </c>
      <c r="F295" s="285">
        <f t="shared" si="36"/>
        <v>9506693.4848852847</v>
      </c>
      <c r="G295" s="285">
        <f t="shared" si="37"/>
        <v>63377.956565901899</v>
      </c>
      <c r="H295" s="285">
        <f t="shared" si="38"/>
        <v>385908.10968650255</v>
      </c>
      <c r="I295" s="285">
        <f t="shared" si="39"/>
        <v>9184163.3317646831</v>
      </c>
      <c r="K295">
        <f t="shared" si="31"/>
        <v>274</v>
      </c>
      <c r="L295" s="1">
        <f t="shared" si="32"/>
        <v>8513699.8089997135</v>
      </c>
      <c r="M295" s="1">
        <f t="shared" si="33"/>
        <v>56757.998726664759</v>
      </c>
      <c r="N295" s="1">
        <f t="shared" si="34"/>
        <v>345599.21438013314</v>
      </c>
      <c r="O295" s="1">
        <f t="shared" si="35"/>
        <v>8224858.5933462447</v>
      </c>
    </row>
    <row r="296" spans="5:15" x14ac:dyDescent="0.25">
      <c r="E296" s="10">
        <v>275</v>
      </c>
      <c r="F296" s="285">
        <f t="shared" si="36"/>
        <v>9184163.3317646831</v>
      </c>
      <c r="G296" s="285">
        <f t="shared" si="37"/>
        <v>61227.755545097891</v>
      </c>
      <c r="H296" s="285">
        <f t="shared" si="38"/>
        <v>385908.10968650255</v>
      </c>
      <c r="I296" s="285">
        <f t="shared" si="39"/>
        <v>8859482.9776232783</v>
      </c>
      <c r="K296">
        <f t="shared" si="31"/>
        <v>275</v>
      </c>
      <c r="L296" s="1">
        <f t="shared" si="32"/>
        <v>8224858.5933462447</v>
      </c>
      <c r="M296" s="1">
        <f t="shared" si="33"/>
        <v>54832.390622308303</v>
      </c>
      <c r="N296" s="1">
        <f t="shared" si="34"/>
        <v>345599.21438013314</v>
      </c>
      <c r="O296" s="1">
        <f t="shared" si="35"/>
        <v>7934091.7695884202</v>
      </c>
    </row>
    <row r="297" spans="5:15" x14ac:dyDescent="0.25">
      <c r="E297" s="10">
        <v>276</v>
      </c>
      <c r="F297" s="285">
        <f t="shared" si="36"/>
        <v>8859482.9776232783</v>
      </c>
      <c r="G297" s="285">
        <f t="shared" si="37"/>
        <v>59063.219850821857</v>
      </c>
      <c r="H297" s="285">
        <f t="shared" si="38"/>
        <v>385908.10968650255</v>
      </c>
      <c r="I297" s="285">
        <f t="shared" si="39"/>
        <v>8532638.0877875965</v>
      </c>
      <c r="K297">
        <f t="shared" si="31"/>
        <v>276</v>
      </c>
      <c r="L297" s="1">
        <f t="shared" si="32"/>
        <v>7934091.7695884202</v>
      </c>
      <c r="M297" s="1">
        <f t="shared" si="33"/>
        <v>52893.945130589469</v>
      </c>
      <c r="N297" s="1">
        <f t="shared" si="34"/>
        <v>345599.21438013314</v>
      </c>
      <c r="O297" s="1">
        <f t="shared" si="35"/>
        <v>7641386.5003388766</v>
      </c>
    </row>
    <row r="298" spans="5:15" x14ac:dyDescent="0.25">
      <c r="E298" s="10">
        <v>277</v>
      </c>
      <c r="F298" s="285">
        <f t="shared" si="36"/>
        <v>8532638.0877875965</v>
      </c>
      <c r="G298" s="285">
        <f t="shared" si="37"/>
        <v>56884.253918583978</v>
      </c>
      <c r="H298" s="285">
        <f t="shared" si="38"/>
        <v>385908.10968650255</v>
      </c>
      <c r="I298" s="285">
        <f t="shared" si="39"/>
        <v>8203614.2320196787</v>
      </c>
      <c r="K298">
        <f t="shared" si="31"/>
        <v>277</v>
      </c>
      <c r="L298" s="1">
        <f t="shared" si="32"/>
        <v>7641386.5003388766</v>
      </c>
      <c r="M298" s="1">
        <f t="shared" si="33"/>
        <v>50942.576668925845</v>
      </c>
      <c r="N298" s="1">
        <f t="shared" si="34"/>
        <v>345599.21438013314</v>
      </c>
      <c r="O298" s="1">
        <f t="shared" si="35"/>
        <v>7346729.8626276692</v>
      </c>
    </row>
    <row r="299" spans="5:15" x14ac:dyDescent="0.25">
      <c r="E299" s="10">
        <v>278</v>
      </c>
      <c r="F299" s="285">
        <f t="shared" si="36"/>
        <v>8203614.2320196787</v>
      </c>
      <c r="G299" s="285">
        <f t="shared" si="37"/>
        <v>54690.761546797861</v>
      </c>
      <c r="H299" s="285">
        <f t="shared" si="38"/>
        <v>385908.10968650255</v>
      </c>
      <c r="I299" s="285">
        <f t="shared" si="39"/>
        <v>7872396.8838799745</v>
      </c>
      <c r="K299">
        <f t="shared" si="31"/>
        <v>278</v>
      </c>
      <c r="L299" s="1">
        <f t="shared" si="32"/>
        <v>7346729.8626276692</v>
      </c>
      <c r="M299" s="1">
        <f t="shared" si="33"/>
        <v>48978.199084184467</v>
      </c>
      <c r="N299" s="1">
        <f t="shared" si="34"/>
        <v>345599.21438013314</v>
      </c>
      <c r="O299" s="1">
        <f t="shared" si="35"/>
        <v>7050108.8473317204</v>
      </c>
    </row>
    <row r="300" spans="5:15" x14ac:dyDescent="0.25">
      <c r="E300" s="10">
        <v>279</v>
      </c>
      <c r="F300" s="285">
        <f t="shared" si="36"/>
        <v>7872396.8838799745</v>
      </c>
      <c r="G300" s="285">
        <f t="shared" si="37"/>
        <v>52482.645892533168</v>
      </c>
      <c r="H300" s="285">
        <f t="shared" si="38"/>
        <v>385908.10968650255</v>
      </c>
      <c r="I300" s="285">
        <f t="shared" si="39"/>
        <v>7538971.4200860057</v>
      </c>
      <c r="K300">
        <f t="shared" si="31"/>
        <v>279</v>
      </c>
      <c r="L300" s="1">
        <f t="shared" si="32"/>
        <v>7050108.8473317204</v>
      </c>
      <c r="M300" s="1">
        <f t="shared" si="33"/>
        <v>47000.725648878142</v>
      </c>
      <c r="N300" s="1">
        <f t="shared" si="34"/>
        <v>345599.21438013314</v>
      </c>
      <c r="O300" s="1">
        <f t="shared" si="35"/>
        <v>6751510.3586004656</v>
      </c>
    </row>
    <row r="301" spans="5:15" x14ac:dyDescent="0.25">
      <c r="E301" s="10">
        <v>280</v>
      </c>
      <c r="F301" s="285">
        <f t="shared" si="36"/>
        <v>7538971.4200860057</v>
      </c>
      <c r="G301" s="285">
        <f t="shared" si="37"/>
        <v>50259.80946724004</v>
      </c>
      <c r="H301" s="285">
        <f t="shared" si="38"/>
        <v>385908.10968650255</v>
      </c>
      <c r="I301" s="285">
        <f t="shared" si="39"/>
        <v>7203323.1198667437</v>
      </c>
      <c r="K301">
        <f t="shared" si="31"/>
        <v>280</v>
      </c>
      <c r="L301" s="1">
        <f t="shared" si="32"/>
        <v>6751510.3586004656</v>
      </c>
      <c r="M301" s="1">
        <f t="shared" si="33"/>
        <v>45010.069057336441</v>
      </c>
      <c r="N301" s="1">
        <f t="shared" si="34"/>
        <v>345599.21438013314</v>
      </c>
      <c r="O301" s="1">
        <f t="shared" si="35"/>
        <v>6450921.2132776687</v>
      </c>
    </row>
    <row r="302" spans="5:15" x14ac:dyDescent="0.25">
      <c r="E302" s="10">
        <v>281</v>
      </c>
      <c r="F302" s="285">
        <f t="shared" si="36"/>
        <v>7203323.1198667437</v>
      </c>
      <c r="G302" s="285">
        <f t="shared" si="37"/>
        <v>48022.154132444964</v>
      </c>
      <c r="H302" s="285">
        <f t="shared" si="38"/>
        <v>385908.10968650255</v>
      </c>
      <c r="I302" s="285">
        <f t="shared" si="39"/>
        <v>6865437.1643126868</v>
      </c>
      <c r="K302">
        <f t="shared" si="31"/>
        <v>281</v>
      </c>
      <c r="L302" s="1">
        <f t="shared" si="32"/>
        <v>6450921.2132776687</v>
      </c>
      <c r="M302" s="1">
        <f t="shared" si="33"/>
        <v>43006.141421851127</v>
      </c>
      <c r="N302" s="1">
        <f t="shared" si="34"/>
        <v>345599.21438013314</v>
      </c>
      <c r="O302" s="1">
        <f t="shared" si="35"/>
        <v>6148328.1403193865</v>
      </c>
    </row>
    <row r="303" spans="5:15" x14ac:dyDescent="0.25">
      <c r="E303" s="10">
        <v>282</v>
      </c>
      <c r="F303" s="285">
        <f t="shared" si="36"/>
        <v>6865437.1643126868</v>
      </c>
      <c r="G303" s="285">
        <f t="shared" si="37"/>
        <v>45769.581095417918</v>
      </c>
      <c r="H303" s="285">
        <f t="shared" si="38"/>
        <v>385908.10968650255</v>
      </c>
      <c r="I303" s="285">
        <f t="shared" si="39"/>
        <v>6525298.6357216025</v>
      </c>
      <c r="K303">
        <f t="shared" si="31"/>
        <v>282</v>
      </c>
      <c r="L303" s="1">
        <f t="shared" si="32"/>
        <v>6148328.1403193865</v>
      </c>
      <c r="M303" s="1">
        <f t="shared" si="33"/>
        <v>40988.854268795913</v>
      </c>
      <c r="N303" s="1">
        <f t="shared" si="34"/>
        <v>345599.21438013314</v>
      </c>
      <c r="O303" s="1">
        <f t="shared" si="35"/>
        <v>5843717.7802080493</v>
      </c>
    </row>
    <row r="304" spans="5:15" x14ac:dyDescent="0.25">
      <c r="E304" s="10">
        <v>283</v>
      </c>
      <c r="F304" s="285">
        <f t="shared" si="36"/>
        <v>6525298.6357216025</v>
      </c>
      <c r="G304" s="285">
        <f>F304*$K$13</f>
        <v>43501.990904810686</v>
      </c>
      <c r="H304" s="285">
        <f t="shared" si="38"/>
        <v>385908.10968650255</v>
      </c>
      <c r="I304" s="285">
        <f>F304+G304-H304</f>
        <v>6182892.5169399111</v>
      </c>
      <c r="K304">
        <f t="shared" si="31"/>
        <v>283</v>
      </c>
      <c r="L304" s="1">
        <f t="shared" si="32"/>
        <v>5843717.7802080493</v>
      </c>
      <c r="M304" s="1">
        <f t="shared" si="33"/>
        <v>38958.118534720328</v>
      </c>
      <c r="N304" s="1">
        <f t="shared" si="34"/>
        <v>345599.21438013314</v>
      </c>
      <c r="O304" s="1">
        <f t="shared" si="35"/>
        <v>5537076.6843626369</v>
      </c>
    </row>
    <row r="305" spans="5:15" x14ac:dyDescent="0.25">
      <c r="E305" s="10">
        <v>284</v>
      </c>
      <c r="F305" s="285">
        <f>I304</f>
        <v>6182892.5169399111</v>
      </c>
      <c r="G305" s="285">
        <f t="shared" si="37"/>
        <v>41219.283446266076</v>
      </c>
      <c r="H305" s="285">
        <f t="shared" si="38"/>
        <v>385908.10968650255</v>
      </c>
      <c r="I305" s="285">
        <f t="shared" si="39"/>
        <v>5838203.6906996751</v>
      </c>
      <c r="K305">
        <f t="shared" si="31"/>
        <v>284</v>
      </c>
      <c r="L305" s="1">
        <f t="shared" si="32"/>
        <v>5537076.6843626369</v>
      </c>
      <c r="M305" s="1">
        <f t="shared" si="33"/>
        <v>36913.84456241758</v>
      </c>
      <c r="N305" s="1">
        <f t="shared" si="34"/>
        <v>345599.21438013314</v>
      </c>
      <c r="O305" s="1">
        <f t="shared" si="35"/>
        <v>5228391.3145449217</v>
      </c>
    </row>
    <row r="306" spans="5:15" x14ac:dyDescent="0.25">
      <c r="E306" s="10">
        <v>285</v>
      </c>
      <c r="F306" s="285">
        <f t="shared" si="36"/>
        <v>5838203.6906996751</v>
      </c>
      <c r="G306" s="285">
        <f t="shared" si="37"/>
        <v>38921.35793799784</v>
      </c>
      <c r="H306" s="285">
        <f t="shared" si="38"/>
        <v>385908.10968650255</v>
      </c>
      <c r="I306" s="285">
        <f t="shared" si="39"/>
        <v>5491216.938951171</v>
      </c>
      <c r="K306">
        <f t="shared" si="31"/>
        <v>285</v>
      </c>
      <c r="L306" s="1">
        <f t="shared" si="32"/>
        <v>5228391.3145449217</v>
      </c>
      <c r="M306" s="1">
        <f t="shared" si="33"/>
        <v>34855.942096966144</v>
      </c>
      <c r="N306" s="1">
        <f t="shared" si="34"/>
        <v>345599.21438013314</v>
      </c>
      <c r="O306" s="1">
        <f t="shared" si="35"/>
        <v>4917648.0422617551</v>
      </c>
    </row>
    <row r="307" spans="5:15" x14ac:dyDescent="0.25">
      <c r="E307" s="10">
        <v>286</v>
      </c>
      <c r="F307" s="285">
        <f t="shared" si="36"/>
        <v>5491216.938951171</v>
      </c>
      <c r="G307" s="285">
        <f t="shared" si="37"/>
        <v>36608.112926341142</v>
      </c>
      <c r="H307" s="285">
        <f t="shared" si="38"/>
        <v>385908.10968650255</v>
      </c>
      <c r="I307" s="285">
        <f t="shared" si="39"/>
        <v>5141916.9421910103</v>
      </c>
      <c r="K307">
        <f t="shared" si="31"/>
        <v>286</v>
      </c>
      <c r="L307" s="1">
        <f t="shared" si="32"/>
        <v>4917648.0422617551</v>
      </c>
      <c r="M307" s="1">
        <f t="shared" si="33"/>
        <v>32784.320281745036</v>
      </c>
      <c r="N307" s="1">
        <f t="shared" si="34"/>
        <v>345599.21438013314</v>
      </c>
      <c r="O307" s="1">
        <f t="shared" si="35"/>
        <v>4604833.1481633671</v>
      </c>
    </row>
    <row r="308" spans="5:15" x14ac:dyDescent="0.25">
      <c r="E308" s="10">
        <v>287</v>
      </c>
      <c r="F308" s="285">
        <f t="shared" si="36"/>
        <v>5141916.9421910103</v>
      </c>
      <c r="G308" s="285">
        <f t="shared" si="37"/>
        <v>34279.446281273405</v>
      </c>
      <c r="H308" s="285">
        <f t="shared" si="38"/>
        <v>385908.10968650255</v>
      </c>
      <c r="I308" s="285">
        <f t="shared" si="39"/>
        <v>4790288.2787857819</v>
      </c>
      <c r="K308">
        <f t="shared" si="31"/>
        <v>287</v>
      </c>
      <c r="L308" s="1">
        <f t="shared" si="32"/>
        <v>4604833.1481633671</v>
      </c>
      <c r="M308" s="1">
        <f t="shared" si="33"/>
        <v>30698.887654422448</v>
      </c>
      <c r="N308" s="1">
        <f t="shared" si="34"/>
        <v>345599.21438013314</v>
      </c>
      <c r="O308" s="1">
        <f t="shared" si="35"/>
        <v>4289932.8214376569</v>
      </c>
    </row>
    <row r="309" spans="5:15" x14ac:dyDescent="0.25">
      <c r="E309" s="10">
        <v>288</v>
      </c>
      <c r="F309" s="285">
        <f t="shared" si="36"/>
        <v>4790288.2787857819</v>
      </c>
      <c r="G309" s="285">
        <f t="shared" si="37"/>
        <v>31935.255191905217</v>
      </c>
      <c r="H309" s="285">
        <f t="shared" si="38"/>
        <v>385908.10968650255</v>
      </c>
      <c r="I309" s="285">
        <f t="shared" si="39"/>
        <v>4436315.4242911851</v>
      </c>
      <c r="K309">
        <f t="shared" si="31"/>
        <v>288</v>
      </c>
      <c r="L309" s="1">
        <f t="shared" si="32"/>
        <v>4289932.8214376569</v>
      </c>
      <c r="M309" s="1">
        <f t="shared" si="33"/>
        <v>28599.552142917713</v>
      </c>
      <c r="N309" s="1">
        <f t="shared" si="34"/>
        <v>345599.21438013314</v>
      </c>
      <c r="O309" s="1">
        <f t="shared" si="35"/>
        <v>3972933.159200442</v>
      </c>
    </row>
    <row r="310" spans="5:15" x14ac:dyDescent="0.25">
      <c r="E310" s="10">
        <v>289</v>
      </c>
      <c r="F310" s="285">
        <f t="shared" si="36"/>
        <v>4436315.4242911851</v>
      </c>
      <c r="G310" s="285">
        <f t="shared" si="37"/>
        <v>29575.436161941238</v>
      </c>
      <c r="H310" s="285">
        <f t="shared" si="38"/>
        <v>385908.10968650255</v>
      </c>
      <c r="I310" s="285">
        <f t="shared" si="39"/>
        <v>4079982.7507666233</v>
      </c>
      <c r="K310">
        <f t="shared" si="31"/>
        <v>289</v>
      </c>
      <c r="L310" s="1">
        <f t="shared" si="32"/>
        <v>3972933.159200442</v>
      </c>
      <c r="M310" s="1">
        <f t="shared" si="33"/>
        <v>26486.22106133628</v>
      </c>
      <c r="N310" s="1">
        <f t="shared" si="34"/>
        <v>345599.21438013314</v>
      </c>
      <c r="O310" s="1">
        <f t="shared" si="35"/>
        <v>3653820.1658816454</v>
      </c>
    </row>
    <row r="311" spans="5:15" x14ac:dyDescent="0.25">
      <c r="E311" s="10">
        <v>290</v>
      </c>
      <c r="F311" s="285">
        <f t="shared" si="36"/>
        <v>4079982.7507666233</v>
      </c>
      <c r="G311" s="285">
        <f t="shared" si="37"/>
        <v>27199.885005110824</v>
      </c>
      <c r="H311" s="285">
        <f t="shared" si="38"/>
        <v>385908.10968650255</v>
      </c>
      <c r="I311" s="285">
        <f t="shared" si="39"/>
        <v>3721274.5260852315</v>
      </c>
      <c r="K311">
        <f t="shared" si="31"/>
        <v>290</v>
      </c>
      <c r="L311" s="1">
        <f t="shared" si="32"/>
        <v>3653820.1658816454</v>
      </c>
      <c r="M311" s="1">
        <f t="shared" si="33"/>
        <v>24358.801105877639</v>
      </c>
      <c r="N311" s="1">
        <f t="shared" si="34"/>
        <v>345599.21438013314</v>
      </c>
      <c r="O311" s="1">
        <f t="shared" si="35"/>
        <v>3332579.7526073903</v>
      </c>
    </row>
    <row r="312" spans="5:15" x14ac:dyDescent="0.25">
      <c r="E312" s="10">
        <v>291</v>
      </c>
      <c r="F312" s="285">
        <f t="shared" si="36"/>
        <v>3721274.5260852315</v>
      </c>
      <c r="G312" s="285">
        <f t="shared" si="37"/>
        <v>24808.496840568212</v>
      </c>
      <c r="H312" s="285">
        <f t="shared" si="38"/>
        <v>385908.10968650255</v>
      </c>
      <c r="I312" s="285">
        <f t="shared" si="39"/>
        <v>3360174.913239297</v>
      </c>
      <c r="K312">
        <f t="shared" si="31"/>
        <v>291</v>
      </c>
      <c r="L312" s="1">
        <f t="shared" si="32"/>
        <v>3332579.7526073903</v>
      </c>
      <c r="M312" s="1">
        <f t="shared" si="33"/>
        <v>22217.198350715938</v>
      </c>
      <c r="N312" s="1">
        <f t="shared" si="34"/>
        <v>345599.21438013314</v>
      </c>
      <c r="O312" s="1">
        <f t="shared" si="35"/>
        <v>3009197.7365779732</v>
      </c>
    </row>
    <row r="313" spans="5:15" x14ac:dyDescent="0.25">
      <c r="E313" s="10">
        <v>292</v>
      </c>
      <c r="F313" s="285">
        <f t="shared" si="36"/>
        <v>3360174.913239297</v>
      </c>
      <c r="G313" s="285">
        <f t="shared" si="37"/>
        <v>22401.16608826198</v>
      </c>
      <c r="H313" s="285">
        <f t="shared" si="38"/>
        <v>385908.10968650255</v>
      </c>
      <c r="I313" s="285">
        <f t="shared" si="39"/>
        <v>2996667.9696410564</v>
      </c>
      <c r="K313">
        <f t="shared" si="31"/>
        <v>292</v>
      </c>
      <c r="L313" s="1">
        <f t="shared" si="32"/>
        <v>3009197.7365779732</v>
      </c>
      <c r="M313" s="1">
        <f t="shared" si="33"/>
        <v>20061.318243853155</v>
      </c>
      <c r="N313" s="1">
        <f t="shared" si="34"/>
        <v>345599.21438013314</v>
      </c>
      <c r="O313" s="1">
        <f t="shared" si="35"/>
        <v>2683659.8404416936</v>
      </c>
    </row>
    <row r="314" spans="5:15" x14ac:dyDescent="0.25">
      <c r="E314" s="10">
        <v>293</v>
      </c>
      <c r="F314" s="285">
        <f t="shared" si="36"/>
        <v>2996667.9696410564</v>
      </c>
      <c r="G314" s="285">
        <f t="shared" si="37"/>
        <v>19977.786464273711</v>
      </c>
      <c r="H314" s="285">
        <f t="shared" si="38"/>
        <v>385908.10968650255</v>
      </c>
      <c r="I314" s="285">
        <f t="shared" si="39"/>
        <v>2630737.6464188276</v>
      </c>
      <c r="K314">
        <f t="shared" si="31"/>
        <v>293</v>
      </c>
      <c r="L314" s="1">
        <f t="shared" si="32"/>
        <v>2683659.8404416936</v>
      </c>
      <c r="M314" s="1">
        <f t="shared" si="33"/>
        <v>17891.065602944625</v>
      </c>
      <c r="N314" s="1">
        <f t="shared" si="34"/>
        <v>345599.21438013314</v>
      </c>
      <c r="O314" s="1">
        <f t="shared" si="35"/>
        <v>2355951.6916645053</v>
      </c>
    </row>
    <row r="315" spans="5:15" x14ac:dyDescent="0.25">
      <c r="E315" s="10">
        <v>294</v>
      </c>
      <c r="F315" s="285">
        <f t="shared" si="36"/>
        <v>2630737.6464188276</v>
      </c>
      <c r="G315" s="285">
        <f t="shared" si="37"/>
        <v>17538.250976125517</v>
      </c>
      <c r="H315" s="285">
        <f t="shared" si="38"/>
        <v>385908.10968650255</v>
      </c>
      <c r="I315" s="285">
        <f t="shared" si="39"/>
        <v>2262367.7877084506</v>
      </c>
      <c r="K315">
        <f t="shared" si="31"/>
        <v>294</v>
      </c>
      <c r="L315" s="1">
        <f t="shared" si="32"/>
        <v>2355951.6916645053</v>
      </c>
      <c r="M315" s="1">
        <f t="shared" si="33"/>
        <v>15706.344611096703</v>
      </c>
      <c r="N315" s="1">
        <f t="shared" si="34"/>
        <v>345599.21438013314</v>
      </c>
      <c r="O315" s="1">
        <f t="shared" si="35"/>
        <v>2026058.8218954687</v>
      </c>
    </row>
    <row r="316" spans="5:15" x14ac:dyDescent="0.25">
      <c r="E316" s="10">
        <v>295</v>
      </c>
      <c r="F316" s="285">
        <f t="shared" si="36"/>
        <v>2262367.7877084506</v>
      </c>
      <c r="G316" s="285">
        <f t="shared" si="37"/>
        <v>15082.451918056338</v>
      </c>
      <c r="H316" s="285">
        <f t="shared" si="38"/>
        <v>385908.10968650255</v>
      </c>
      <c r="I316" s="285">
        <f t="shared" si="39"/>
        <v>1891542.1299400043</v>
      </c>
      <c r="K316">
        <f t="shared" ref="K316:K321" si="40">E316</f>
        <v>295</v>
      </c>
      <c r="L316" s="1">
        <f t="shared" ref="L316:L321" si="41">O315</f>
        <v>2026058.8218954687</v>
      </c>
      <c r="M316" s="1">
        <f t="shared" ref="M316:M321" si="42">L316*$K$13</f>
        <v>13507.05881263646</v>
      </c>
      <c r="N316" s="1">
        <f t="shared" ref="N316:N321" si="43">ABS($O$57)</f>
        <v>345599.21438013314</v>
      </c>
      <c r="O316" s="1">
        <f t="shared" ref="O316:O321" si="44">L316+M316-N316</f>
        <v>1693966.666327972</v>
      </c>
    </row>
    <row r="317" spans="5:15" x14ac:dyDescent="0.25">
      <c r="E317" s="10">
        <v>296</v>
      </c>
      <c r="F317" s="285">
        <f t="shared" si="36"/>
        <v>1891542.1299400043</v>
      </c>
      <c r="G317" s="285">
        <f t="shared" si="37"/>
        <v>12610.280866266696</v>
      </c>
      <c r="H317" s="285">
        <f t="shared" si="38"/>
        <v>385908.10968650255</v>
      </c>
      <c r="I317" s="285">
        <f t="shared" si="39"/>
        <v>1518244.3011197685</v>
      </c>
      <c r="K317">
        <f t="shared" si="40"/>
        <v>296</v>
      </c>
      <c r="L317" s="1">
        <f t="shared" si="41"/>
        <v>1693966.666327972</v>
      </c>
      <c r="M317" s="1">
        <f t="shared" si="42"/>
        <v>11293.111108853147</v>
      </c>
      <c r="N317" s="1">
        <f t="shared" si="43"/>
        <v>345599.21438013314</v>
      </c>
      <c r="O317" s="1">
        <f t="shared" si="44"/>
        <v>1359660.563056692</v>
      </c>
    </row>
    <row r="318" spans="5:15" x14ac:dyDescent="0.25">
      <c r="E318" s="10">
        <v>297</v>
      </c>
      <c r="F318" s="285">
        <f t="shared" si="36"/>
        <v>1518244.3011197685</v>
      </c>
      <c r="G318" s="285">
        <f t="shared" si="37"/>
        <v>10121.628674131791</v>
      </c>
      <c r="H318" s="285">
        <f t="shared" si="38"/>
        <v>385908.10968650255</v>
      </c>
      <c r="I318" s="285">
        <f t="shared" si="39"/>
        <v>1142457.8201073979</v>
      </c>
      <c r="K318">
        <f t="shared" si="40"/>
        <v>297</v>
      </c>
      <c r="L318" s="1">
        <f t="shared" si="41"/>
        <v>1359660.563056692</v>
      </c>
      <c r="M318" s="1">
        <f t="shared" si="42"/>
        <v>9064.4037537112799</v>
      </c>
      <c r="N318" s="1">
        <f t="shared" si="43"/>
        <v>345599.21438013314</v>
      </c>
      <c r="O318" s="1">
        <f t="shared" si="44"/>
        <v>1023125.7524302702</v>
      </c>
    </row>
    <row r="319" spans="5:15" x14ac:dyDescent="0.25">
      <c r="E319" s="10">
        <v>298</v>
      </c>
      <c r="F319" s="285">
        <f t="shared" si="36"/>
        <v>1142457.8201073979</v>
      </c>
      <c r="G319" s="285">
        <f t="shared" si="37"/>
        <v>7616.3854673826527</v>
      </c>
      <c r="H319" s="285">
        <f t="shared" si="38"/>
        <v>385908.10968650255</v>
      </c>
      <c r="I319" s="285">
        <f t="shared" si="39"/>
        <v>764166.09588827798</v>
      </c>
      <c r="K319">
        <f t="shared" si="40"/>
        <v>298</v>
      </c>
      <c r="L319" s="1">
        <f t="shared" si="41"/>
        <v>1023125.7524302702</v>
      </c>
      <c r="M319" s="1">
        <f t="shared" si="42"/>
        <v>6820.8383495351354</v>
      </c>
      <c r="N319" s="1">
        <f t="shared" si="43"/>
        <v>345599.21438013314</v>
      </c>
      <c r="O319" s="1">
        <f t="shared" si="44"/>
        <v>684347.37639967212</v>
      </c>
    </row>
    <row r="320" spans="5:15" x14ac:dyDescent="0.25">
      <c r="E320" s="10">
        <v>299</v>
      </c>
      <c r="F320" s="285">
        <f t="shared" si="36"/>
        <v>764166.09588827798</v>
      </c>
      <c r="G320" s="285">
        <f t="shared" si="37"/>
        <v>5094.4406392551873</v>
      </c>
      <c r="H320" s="285">
        <f t="shared" si="38"/>
        <v>385908.10968650255</v>
      </c>
      <c r="I320" s="285">
        <f t="shared" si="39"/>
        <v>383352.42684103065</v>
      </c>
      <c r="K320">
        <f t="shared" si="40"/>
        <v>299</v>
      </c>
      <c r="L320" s="1">
        <f t="shared" si="41"/>
        <v>684347.37639967212</v>
      </c>
      <c r="M320" s="1">
        <f t="shared" si="42"/>
        <v>4562.3158426644814</v>
      </c>
      <c r="N320" s="1">
        <f t="shared" si="43"/>
        <v>345599.21438013314</v>
      </c>
      <c r="O320" s="1">
        <f t="shared" si="44"/>
        <v>343310.47786220344</v>
      </c>
    </row>
    <row r="321" spans="5:15" x14ac:dyDescent="0.25">
      <c r="E321" s="10">
        <v>300</v>
      </c>
      <c r="F321" s="285">
        <f t="shared" si="36"/>
        <v>383352.42684103065</v>
      </c>
      <c r="G321" s="285">
        <f t="shared" si="37"/>
        <v>2555.6828456068711</v>
      </c>
      <c r="H321" s="285">
        <f t="shared" si="38"/>
        <v>385908.10968650255</v>
      </c>
      <c r="I321" s="287">
        <f t="shared" si="39"/>
        <v>1.3498356565833092E-7</v>
      </c>
      <c r="K321">
        <f t="shared" si="40"/>
        <v>300</v>
      </c>
      <c r="L321" s="1">
        <f t="shared" si="41"/>
        <v>343310.47786220344</v>
      </c>
      <c r="M321" s="1">
        <f t="shared" si="42"/>
        <v>2288.7365190813562</v>
      </c>
      <c r="N321" s="1">
        <f t="shared" si="43"/>
        <v>345599.21438013314</v>
      </c>
      <c r="O321" s="277">
        <f t="shared" si="44"/>
        <v>1.1516385711729527E-6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FE3A-02BE-4B50-9C5C-9E1A000A51BC}">
  <dimension ref="B2:H42"/>
  <sheetViews>
    <sheetView topLeftCell="A13" workbookViewId="0">
      <selection activeCell="K26" sqref="K26"/>
    </sheetView>
  </sheetViews>
  <sheetFormatPr defaultRowHeight="15" x14ac:dyDescent="0.25"/>
  <cols>
    <col min="3" max="3" width="8.140625" customWidth="1"/>
    <col min="4" max="4" width="13.85546875" bestFit="1" customWidth="1"/>
    <col min="5" max="5" width="22.5703125" bestFit="1" customWidth="1"/>
    <col min="7" max="7" width="8.42578125" customWidth="1"/>
  </cols>
  <sheetData>
    <row r="2" spans="2:7" x14ac:dyDescent="0.25">
      <c r="B2" t="s">
        <v>57</v>
      </c>
      <c r="C2" t="s">
        <v>58</v>
      </c>
    </row>
    <row r="3" spans="2:7" x14ac:dyDescent="0.25">
      <c r="B3" t="s">
        <v>59</v>
      </c>
      <c r="C3" t="s">
        <v>60</v>
      </c>
    </row>
    <row r="5" spans="2:7" x14ac:dyDescent="0.25">
      <c r="B5" s="10"/>
      <c r="C5" s="22" t="s">
        <v>54</v>
      </c>
      <c r="D5" s="22" t="s">
        <v>55</v>
      </c>
      <c r="E5" t="s">
        <v>56</v>
      </c>
      <c r="F5" t="s">
        <v>61</v>
      </c>
      <c r="G5" t="s">
        <v>62</v>
      </c>
    </row>
    <row r="6" spans="2:7" x14ac:dyDescent="0.25">
      <c r="B6" s="10">
        <v>0</v>
      </c>
      <c r="C6" s="24">
        <v>33208</v>
      </c>
      <c r="D6" s="25">
        <v>330.86</v>
      </c>
    </row>
    <row r="7" spans="2:7" x14ac:dyDescent="0.25">
      <c r="B7" s="10">
        <v>1</v>
      </c>
      <c r="C7" s="24">
        <v>33573</v>
      </c>
      <c r="D7" s="25">
        <v>558.63</v>
      </c>
      <c r="E7" s="15">
        <f>(D7-D6)/D6</f>
        <v>0.68841806202018974</v>
      </c>
      <c r="F7" s="26">
        <f>1+E7</f>
        <v>1.6884180620201898</v>
      </c>
    </row>
    <row r="8" spans="2:7" x14ac:dyDescent="0.25">
      <c r="B8" s="10">
        <v>2</v>
      </c>
      <c r="C8" s="24">
        <v>33939</v>
      </c>
      <c r="D8" s="25">
        <v>761.31</v>
      </c>
      <c r="E8" s="15">
        <f t="shared" ref="E8:E27" si="0">(D8-D7)/D7</f>
        <v>0.36281617528596738</v>
      </c>
      <c r="F8" s="26">
        <f t="shared" ref="F8:F27" si="1">1+E8</f>
        <v>1.3628161752859673</v>
      </c>
      <c r="G8" s="26">
        <f t="shared" ref="G8:G27" si="2">F8*F7</f>
        <v>2.3010034455661001</v>
      </c>
    </row>
    <row r="9" spans="2:7" x14ac:dyDescent="0.25">
      <c r="B9" s="10">
        <v>3</v>
      </c>
      <c r="C9" s="24">
        <v>34304</v>
      </c>
      <c r="D9" s="25">
        <v>1042.5899999999999</v>
      </c>
      <c r="E9" s="15">
        <f t="shared" si="0"/>
        <v>0.36946841628246047</v>
      </c>
      <c r="F9" s="26">
        <f t="shared" si="1"/>
        <v>1.3694684162824604</v>
      </c>
      <c r="G9" s="26">
        <f t="shared" si="2"/>
        <v>1.8663337092529937</v>
      </c>
    </row>
    <row r="10" spans="2:7" x14ac:dyDescent="0.25">
      <c r="B10" s="10">
        <v>4</v>
      </c>
      <c r="C10" s="24">
        <v>34669</v>
      </c>
      <c r="D10" s="25">
        <v>1182.28</v>
      </c>
      <c r="E10" s="15">
        <f t="shared" si="0"/>
        <v>0.13398363690424814</v>
      </c>
      <c r="F10" s="26">
        <f t="shared" si="1"/>
        <v>1.1339836369042482</v>
      </c>
      <c r="G10" s="26">
        <f t="shared" si="2"/>
        <v>1.5529547753214854</v>
      </c>
    </row>
    <row r="11" spans="2:7" x14ac:dyDescent="0.25">
      <c r="B11" s="10">
        <v>5</v>
      </c>
      <c r="C11" s="24">
        <v>35034</v>
      </c>
      <c r="D11" s="25">
        <v>908.53</v>
      </c>
      <c r="E11" s="15">
        <f t="shared" si="0"/>
        <v>-0.23154413506106844</v>
      </c>
      <c r="F11" s="26">
        <f t="shared" si="1"/>
        <v>0.76845586493893159</v>
      </c>
      <c r="G11" s="26">
        <f t="shared" si="2"/>
        <v>0.8714163765238494</v>
      </c>
    </row>
    <row r="12" spans="2:7" x14ac:dyDescent="0.25">
      <c r="B12" s="10">
        <v>6</v>
      </c>
      <c r="C12" s="24">
        <v>35400</v>
      </c>
      <c r="D12" s="25">
        <v>899.1</v>
      </c>
      <c r="E12" s="15">
        <f t="shared" si="0"/>
        <v>-1.037940409232491E-2</v>
      </c>
      <c r="F12" s="26">
        <f t="shared" si="1"/>
        <v>0.98962059590767504</v>
      </c>
      <c r="G12" s="26">
        <f t="shared" si="2"/>
        <v>0.76047975098961329</v>
      </c>
    </row>
    <row r="13" spans="2:7" x14ac:dyDescent="0.25">
      <c r="B13" s="10">
        <v>7</v>
      </c>
      <c r="C13" s="24">
        <v>35765</v>
      </c>
      <c r="D13" s="25">
        <v>1079.4000000000001</v>
      </c>
      <c r="E13" s="15">
        <f t="shared" si="0"/>
        <v>0.20053386720053393</v>
      </c>
      <c r="F13" s="26">
        <f t="shared" si="1"/>
        <v>1.2005338672005339</v>
      </c>
      <c r="G13" s="26">
        <f t="shared" si="2"/>
        <v>1.188073041066338</v>
      </c>
    </row>
    <row r="14" spans="2:7" x14ac:dyDescent="0.25">
      <c r="B14" s="10">
        <v>8</v>
      </c>
      <c r="C14" s="24">
        <v>36130</v>
      </c>
      <c r="D14" s="25">
        <v>884.25</v>
      </c>
      <c r="E14" s="15">
        <f t="shared" si="0"/>
        <v>-0.18079488604780442</v>
      </c>
      <c r="F14" s="26">
        <f t="shared" si="1"/>
        <v>0.81920511395219564</v>
      </c>
      <c r="G14" s="26">
        <f t="shared" si="2"/>
        <v>0.98348348348348347</v>
      </c>
    </row>
    <row r="15" spans="2:7" x14ac:dyDescent="0.25">
      <c r="B15" s="10">
        <v>9</v>
      </c>
      <c r="C15" s="24">
        <v>36495</v>
      </c>
      <c r="D15" s="25">
        <v>1480.45</v>
      </c>
      <c r="E15" s="15">
        <f t="shared" si="0"/>
        <v>0.67424370935821321</v>
      </c>
      <c r="F15" s="26">
        <f t="shared" si="1"/>
        <v>1.6742437093582132</v>
      </c>
      <c r="G15" s="26">
        <f t="shared" si="2"/>
        <v>1.3715490087085418</v>
      </c>
    </row>
    <row r="16" spans="2:7" x14ac:dyDescent="0.25">
      <c r="B16" s="10">
        <v>10</v>
      </c>
      <c r="C16" s="24">
        <v>36861</v>
      </c>
      <c r="D16" s="25">
        <v>1263.55</v>
      </c>
      <c r="E16" s="15">
        <f t="shared" si="0"/>
        <v>-0.146509507244419</v>
      </c>
      <c r="F16" s="26">
        <f t="shared" si="1"/>
        <v>0.85349049275558098</v>
      </c>
      <c r="G16" s="26">
        <f t="shared" si="2"/>
        <v>1.4289510884930732</v>
      </c>
    </row>
    <row r="17" spans="2:7" x14ac:dyDescent="0.25">
      <c r="B17" s="10">
        <v>11</v>
      </c>
      <c r="C17" s="24">
        <v>37226</v>
      </c>
      <c r="D17" s="25">
        <v>1059.05</v>
      </c>
      <c r="E17" s="15">
        <f t="shared" si="0"/>
        <v>-0.16184559376360255</v>
      </c>
      <c r="F17" s="26">
        <f t="shared" si="1"/>
        <v>0.83815440623639748</v>
      </c>
      <c r="G17" s="26">
        <f t="shared" si="2"/>
        <v>0.71535681718396427</v>
      </c>
    </row>
    <row r="18" spans="2:7" x14ac:dyDescent="0.25">
      <c r="B18" s="10">
        <v>12</v>
      </c>
      <c r="C18" s="24">
        <v>37591</v>
      </c>
      <c r="D18" s="25">
        <v>1093.5</v>
      </c>
      <c r="E18" s="15">
        <f t="shared" si="0"/>
        <v>3.2529153486615406E-2</v>
      </c>
      <c r="F18" s="26">
        <f t="shared" si="1"/>
        <v>1.0325291534866154</v>
      </c>
      <c r="G18" s="26">
        <f t="shared" si="2"/>
        <v>0.86541885956234432</v>
      </c>
    </row>
    <row r="19" spans="2:7" x14ac:dyDescent="0.25">
      <c r="B19" s="10">
        <v>13</v>
      </c>
      <c r="C19" s="24">
        <v>37956</v>
      </c>
      <c r="D19" s="25">
        <v>1879.75</v>
      </c>
      <c r="E19" s="15">
        <f t="shared" si="0"/>
        <v>0.71902149062642895</v>
      </c>
      <c r="F19" s="26">
        <f t="shared" si="1"/>
        <v>1.7190214906264289</v>
      </c>
      <c r="G19" s="26">
        <f t="shared" si="2"/>
        <v>1.7749398045418066</v>
      </c>
    </row>
    <row r="20" spans="2:7" x14ac:dyDescent="0.25">
      <c r="B20" s="10">
        <v>14</v>
      </c>
      <c r="C20" s="24">
        <v>38322</v>
      </c>
      <c r="D20" s="25">
        <v>2080.5</v>
      </c>
      <c r="E20" s="15">
        <f t="shared" si="0"/>
        <v>0.10679611650485436</v>
      </c>
      <c r="F20" s="26">
        <f t="shared" si="1"/>
        <v>1.1067961165048543</v>
      </c>
      <c r="G20" s="26">
        <f t="shared" si="2"/>
        <v>1.9026063100137174</v>
      </c>
    </row>
    <row r="21" spans="2:7" x14ac:dyDescent="0.25">
      <c r="B21" s="10">
        <v>15</v>
      </c>
      <c r="C21" s="24">
        <v>38687</v>
      </c>
      <c r="D21" s="25">
        <v>2836.55</v>
      </c>
      <c r="E21" s="15">
        <f t="shared" si="0"/>
        <v>0.36339822158135071</v>
      </c>
      <c r="F21" s="26">
        <f t="shared" si="1"/>
        <v>1.3633982215813507</v>
      </c>
      <c r="G21" s="26">
        <f t="shared" si="2"/>
        <v>1.5090038568958639</v>
      </c>
    </row>
    <row r="22" spans="2:7" x14ac:dyDescent="0.25">
      <c r="B22" s="10">
        <v>16</v>
      </c>
      <c r="C22" s="24">
        <v>39052</v>
      </c>
      <c r="D22" s="25">
        <v>3966.4</v>
      </c>
      <c r="E22" s="15">
        <f t="shared" si="0"/>
        <v>0.39831837972184514</v>
      </c>
      <c r="F22" s="26">
        <f t="shared" si="1"/>
        <v>1.3983183797218453</v>
      </c>
      <c r="G22" s="26">
        <f t="shared" si="2"/>
        <v>1.9064647921172797</v>
      </c>
    </row>
    <row r="23" spans="2:7" x14ac:dyDescent="0.25">
      <c r="B23" s="10">
        <v>17</v>
      </c>
      <c r="C23" s="24">
        <v>39417</v>
      </c>
      <c r="D23" s="25">
        <v>6138.6</v>
      </c>
      <c r="E23" s="15">
        <f t="shared" si="0"/>
        <v>0.54765026220250101</v>
      </c>
      <c r="F23" s="26">
        <f t="shared" si="1"/>
        <v>1.547650262202501</v>
      </c>
      <c r="G23" s="26">
        <f t="shared" si="2"/>
        <v>2.1641078070190902</v>
      </c>
    </row>
    <row r="24" spans="2:7" x14ac:dyDescent="0.25">
      <c r="B24" s="10">
        <v>18</v>
      </c>
      <c r="C24" s="24">
        <v>39783</v>
      </c>
      <c r="D24" s="25">
        <v>2959.15</v>
      </c>
      <c r="E24" s="15">
        <f t="shared" si="0"/>
        <v>-0.51794383084090834</v>
      </c>
      <c r="F24" s="26">
        <f t="shared" si="1"/>
        <v>0.48205616915909166</v>
      </c>
      <c r="G24" s="26">
        <f t="shared" si="2"/>
        <v>0.74605435659540142</v>
      </c>
    </row>
    <row r="25" spans="2:7" x14ac:dyDescent="0.25">
      <c r="B25" s="10">
        <v>19</v>
      </c>
      <c r="C25" s="24">
        <v>40148</v>
      </c>
      <c r="D25" s="25">
        <v>5201</v>
      </c>
      <c r="E25" s="15">
        <f t="shared" si="0"/>
        <v>0.7575993106128448</v>
      </c>
      <c r="F25" s="26">
        <f t="shared" si="1"/>
        <v>1.7575993106128447</v>
      </c>
      <c r="G25" s="26">
        <f t="shared" si="2"/>
        <v>0.8472615905906884</v>
      </c>
    </row>
    <row r="26" spans="2:7" x14ac:dyDescent="0.25">
      <c r="B26" s="10">
        <v>20</v>
      </c>
      <c r="C26" s="24">
        <v>40513</v>
      </c>
      <c r="D26" s="25">
        <v>6134.5</v>
      </c>
      <c r="E26" s="15">
        <f t="shared" si="0"/>
        <v>0.179484714477985</v>
      </c>
      <c r="F26" s="26">
        <f t="shared" si="1"/>
        <v>1.179484714477985</v>
      </c>
      <c r="G26" s="26">
        <f t="shared" si="2"/>
        <v>2.0730615210448944</v>
      </c>
    </row>
    <row r="27" spans="2:7" x14ac:dyDescent="0.25">
      <c r="B27" s="10">
        <v>21</v>
      </c>
      <c r="C27" s="24">
        <v>40878</v>
      </c>
      <c r="D27" s="25">
        <v>4624.3</v>
      </c>
      <c r="E27" s="15">
        <f t="shared" si="0"/>
        <v>-0.24618143287961525</v>
      </c>
      <c r="F27" s="26">
        <f t="shared" si="1"/>
        <v>0.75381856712038475</v>
      </c>
      <c r="G27" s="26">
        <f t="shared" si="2"/>
        <v>0.8891174774081908</v>
      </c>
    </row>
    <row r="28" spans="2:7" x14ac:dyDescent="0.25">
      <c r="E28" s="15"/>
      <c r="G28" s="26"/>
    </row>
    <row r="29" spans="2:7" x14ac:dyDescent="0.25">
      <c r="D29" t="s">
        <v>57</v>
      </c>
      <c r="E29" s="15">
        <f>AVERAGE(E7:E27)</f>
        <v>0.19233632030172837</v>
      </c>
    </row>
    <row r="30" spans="2:7" x14ac:dyDescent="0.25">
      <c r="D30" t="s">
        <v>59</v>
      </c>
      <c r="E30" s="26" cm="1">
        <f t="array" ref="E30">GEOMEAN(1+E7:E27)-1</f>
        <v>0.13381693590722565</v>
      </c>
    </row>
    <row r="33" spans="2:8" x14ac:dyDescent="0.25">
      <c r="B33" s="29" t="s">
        <v>63</v>
      </c>
    </row>
    <row r="34" spans="2:8" x14ac:dyDescent="0.25">
      <c r="B34" s="29" t="s">
        <v>64</v>
      </c>
    </row>
    <row r="36" spans="2:8" x14ac:dyDescent="0.25">
      <c r="C36" t="s">
        <v>65</v>
      </c>
    </row>
    <row r="37" spans="2:8" x14ac:dyDescent="0.25">
      <c r="C37" s="10">
        <v>80</v>
      </c>
      <c r="D37" s="10">
        <v>100</v>
      </c>
      <c r="E37" s="10">
        <v>80</v>
      </c>
    </row>
    <row r="38" spans="2:8" x14ac:dyDescent="0.25">
      <c r="C38" s="10" t="s">
        <v>66</v>
      </c>
      <c r="D38" s="10" t="s">
        <v>67</v>
      </c>
      <c r="E38" s="10" t="s">
        <v>68</v>
      </c>
    </row>
    <row r="40" spans="2:8" x14ac:dyDescent="0.25">
      <c r="C40" t="s">
        <v>69</v>
      </c>
      <c r="D40" s="13">
        <f>(D37-C37)/C37</f>
        <v>0.25</v>
      </c>
      <c r="E40" s="13">
        <f>(E37-D37)/D37</f>
        <v>-0.2</v>
      </c>
      <c r="G40" t="s">
        <v>57</v>
      </c>
      <c r="H40" s="14">
        <f>(D40+E40)/2</f>
        <v>2.4999999999999994E-2</v>
      </c>
    </row>
    <row r="42" spans="2:8" x14ac:dyDescent="0.25">
      <c r="G42" t="s">
        <v>59</v>
      </c>
      <c r="H42" s="5" cm="1">
        <f t="array" ref="H42">GEOMEAN(1+D40:E40)-1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7ACC-27DA-4F12-B754-C647C35C2CAD}">
  <dimension ref="A3:M68"/>
  <sheetViews>
    <sheetView topLeftCell="A7" workbookViewId="0">
      <selection activeCell="L28" sqref="L28"/>
    </sheetView>
  </sheetViews>
  <sheetFormatPr defaultRowHeight="15" x14ac:dyDescent="0.25"/>
  <cols>
    <col min="4" max="4" width="10.85546875" customWidth="1"/>
    <col min="7" max="7" width="10.42578125" customWidth="1"/>
    <col min="9" max="9" width="11.7109375" customWidth="1"/>
  </cols>
  <sheetData>
    <row r="3" spans="1:8" x14ac:dyDescent="0.25">
      <c r="B3" t="s">
        <v>77</v>
      </c>
    </row>
    <row r="4" spans="1:8" x14ac:dyDescent="0.25">
      <c r="C4" t="s">
        <v>76</v>
      </c>
    </row>
    <row r="12" spans="1:8" x14ac:dyDescent="0.25">
      <c r="A12" t="s">
        <v>12</v>
      </c>
      <c r="B12" t="s">
        <v>70</v>
      </c>
    </row>
    <row r="14" spans="1:8" x14ac:dyDescent="0.25">
      <c r="B14" t="s">
        <v>109</v>
      </c>
      <c r="C14">
        <v>0.5</v>
      </c>
      <c r="D14">
        <v>0.5</v>
      </c>
    </row>
    <row r="15" spans="1:8" x14ac:dyDescent="0.25">
      <c r="B15" s="4" t="s">
        <v>71</v>
      </c>
      <c r="C15" s="4" t="s">
        <v>15</v>
      </c>
      <c r="D15" s="4" t="s">
        <v>72</v>
      </c>
      <c r="E15" s="4" t="s">
        <v>80</v>
      </c>
      <c r="F15" s="4" t="s">
        <v>81</v>
      </c>
      <c r="G15" s="4"/>
      <c r="H15" s="4" t="s">
        <v>106</v>
      </c>
    </row>
    <row r="16" spans="1:8" x14ac:dyDescent="0.25">
      <c r="B16" s="10">
        <v>1</v>
      </c>
      <c r="C16" s="10">
        <v>127</v>
      </c>
      <c r="D16" s="10">
        <v>115</v>
      </c>
      <c r="G16" s="10"/>
      <c r="H16" s="10"/>
    </row>
    <row r="17" spans="2:12" x14ac:dyDescent="0.25">
      <c r="B17" s="10">
        <v>2</v>
      </c>
      <c r="C17" s="10">
        <v>154</v>
      </c>
      <c r="D17" s="10">
        <v>118</v>
      </c>
      <c r="E17" s="10">
        <f t="shared" ref="E17:F22" si="0">(C17-C16)/C16</f>
        <v>0.2125984251968504</v>
      </c>
      <c r="F17" s="10">
        <f t="shared" si="0"/>
        <v>2.6086956521739129E-2</v>
      </c>
      <c r="G17" s="10"/>
      <c r="H17" s="10">
        <f>$C$14*E17+$D$14*F17</f>
        <v>0.11934269085929476</v>
      </c>
    </row>
    <row r="18" spans="2:12" x14ac:dyDescent="0.25">
      <c r="B18" s="10">
        <v>3</v>
      </c>
      <c r="C18" s="10">
        <v>211</v>
      </c>
      <c r="D18" s="10">
        <v>114</v>
      </c>
      <c r="E18" s="10">
        <f t="shared" si="0"/>
        <v>0.37012987012987014</v>
      </c>
      <c r="F18" s="10">
        <f t="shared" si="0"/>
        <v>-3.3898305084745763E-2</v>
      </c>
      <c r="G18" s="10"/>
      <c r="H18" s="10">
        <f t="shared" ref="H18:H22" si="1">$C$14*E18+$D$14*F18</f>
        <v>0.16811578252256218</v>
      </c>
    </row>
    <row r="19" spans="2:12" x14ac:dyDescent="0.25">
      <c r="B19" s="10">
        <v>4</v>
      </c>
      <c r="C19" s="10">
        <v>268</v>
      </c>
      <c r="D19" s="10">
        <v>116</v>
      </c>
      <c r="E19" s="10">
        <f t="shared" si="0"/>
        <v>0.27014218009478674</v>
      </c>
      <c r="F19" s="10">
        <f t="shared" si="0"/>
        <v>1.7543859649122806E-2</v>
      </c>
      <c r="G19" s="10"/>
      <c r="H19" s="10">
        <f t="shared" si="1"/>
        <v>0.14384301987195477</v>
      </c>
    </row>
    <row r="20" spans="2:12" x14ac:dyDescent="0.25">
      <c r="B20" s="10">
        <v>5</v>
      </c>
      <c r="C20" s="10">
        <v>92</v>
      </c>
      <c r="D20" s="10">
        <v>122</v>
      </c>
      <c r="E20" s="10">
        <f t="shared" si="0"/>
        <v>-0.65671641791044777</v>
      </c>
      <c r="F20" s="10">
        <f t="shared" si="0"/>
        <v>5.1724137931034482E-2</v>
      </c>
      <c r="G20" s="10"/>
      <c r="H20" s="10">
        <f t="shared" si="1"/>
        <v>-0.30249613998970665</v>
      </c>
    </row>
    <row r="21" spans="2:12" x14ac:dyDescent="0.25">
      <c r="B21" s="10">
        <v>6</v>
      </c>
      <c r="C21" s="10">
        <v>144</v>
      </c>
      <c r="D21" s="10">
        <v>125</v>
      </c>
      <c r="E21" s="10">
        <f t="shared" si="0"/>
        <v>0.56521739130434778</v>
      </c>
      <c r="F21" s="10">
        <f t="shared" si="0"/>
        <v>2.4590163934426229E-2</v>
      </c>
      <c r="G21" s="10"/>
      <c r="H21" s="10">
        <f t="shared" si="1"/>
        <v>0.29490377761938702</v>
      </c>
    </row>
    <row r="22" spans="2:12" x14ac:dyDescent="0.25">
      <c r="B22" s="10">
        <v>7</v>
      </c>
      <c r="C22" s="10">
        <v>199</v>
      </c>
      <c r="D22" s="10">
        <v>119</v>
      </c>
      <c r="E22" s="10">
        <f t="shared" si="0"/>
        <v>0.38194444444444442</v>
      </c>
      <c r="F22" s="10">
        <f t="shared" si="0"/>
        <v>-4.8000000000000001E-2</v>
      </c>
      <c r="G22" s="10"/>
      <c r="H22" s="10">
        <f t="shared" si="1"/>
        <v>0.16697222222222222</v>
      </c>
    </row>
    <row r="23" spans="2:12" x14ac:dyDescent="0.25">
      <c r="D23" t="s">
        <v>108</v>
      </c>
      <c r="E23" s="33">
        <f>AVERAGE(E17:E22)</f>
        <v>0.19055264887664194</v>
      </c>
      <c r="F23" s="33">
        <f>AVERAGE(F17:F22)</f>
        <v>6.341135491929481E-3</v>
      </c>
      <c r="G23" s="33"/>
      <c r="H23" s="33">
        <f>AVERAGE(H17:H22)</f>
        <v>9.844689218428572E-2</v>
      </c>
    </row>
    <row r="24" spans="2:12" x14ac:dyDescent="0.25">
      <c r="B24" s="30" t="s">
        <v>73</v>
      </c>
      <c r="D24" t="s">
        <v>62</v>
      </c>
      <c r="E24" s="33" cm="1">
        <f t="array" ref="E24">GEOMEAN(1+E17:E22)-1</f>
        <v>7.7725666546953009E-2</v>
      </c>
      <c r="F24" s="33" cm="1">
        <f t="array" ref="F24">GEOMEAN(1+F17:F22)-1</f>
        <v>5.7148284750414557E-3</v>
      </c>
      <c r="G24" s="15"/>
      <c r="H24" s="33" cm="1">
        <f t="array" ref="H24">GEOMEAN(1+H17:H22)-1</f>
        <v>7.8805957893096634E-2</v>
      </c>
    </row>
    <row r="26" spans="2:12" x14ac:dyDescent="0.25">
      <c r="C26" t="s">
        <v>88</v>
      </c>
    </row>
    <row r="27" spans="2:12" x14ac:dyDescent="0.25">
      <c r="C27" t="s">
        <v>110</v>
      </c>
    </row>
    <row r="28" spans="2:12" x14ac:dyDescent="0.25">
      <c r="C28" t="s">
        <v>75</v>
      </c>
    </row>
    <row r="29" spans="2:12" x14ac:dyDescent="0.25">
      <c r="C29" t="s">
        <v>91</v>
      </c>
    </row>
    <row r="30" spans="2:12" x14ac:dyDescent="0.25">
      <c r="C30" t="s">
        <v>92</v>
      </c>
    </row>
    <row r="32" spans="2:12" x14ac:dyDescent="0.25">
      <c r="B32" s="31" t="s">
        <v>78</v>
      </c>
      <c r="D32" t="s">
        <v>82</v>
      </c>
      <c r="G32" t="s">
        <v>84</v>
      </c>
      <c r="J32" t="s">
        <v>100</v>
      </c>
      <c r="L32" t="s">
        <v>107</v>
      </c>
    </row>
    <row r="34" spans="2:13" x14ac:dyDescent="0.25">
      <c r="B34" t="s">
        <v>97</v>
      </c>
      <c r="C34" t="s">
        <v>93</v>
      </c>
      <c r="D34" t="s">
        <v>79</v>
      </c>
      <c r="E34" s="15">
        <f>_xlfn.VAR.S(E17:E22)</f>
        <v>0.18678756965789362</v>
      </c>
      <c r="G34" t="s">
        <v>79</v>
      </c>
      <c r="H34" s="15">
        <f>_xlfn.VAR.S(F17:F22)</f>
        <v>1.4960428021284634E-3</v>
      </c>
      <c r="J34" t="s">
        <v>99</v>
      </c>
      <c r="L34" t="s">
        <v>79</v>
      </c>
      <c r="M34" s="15">
        <f>_xlfn.VAR.S(H17:H22)</f>
        <v>4.2279508166562438E-2</v>
      </c>
    </row>
    <row r="35" spans="2:13" x14ac:dyDescent="0.25">
      <c r="B35" t="s">
        <v>98</v>
      </c>
      <c r="C35" t="s">
        <v>94</v>
      </c>
      <c r="D35" t="s">
        <v>83</v>
      </c>
      <c r="E35" s="15">
        <f>_xlfn.STDEV.S(E17:E22)</f>
        <v>0.43218927526940509</v>
      </c>
      <c r="G35" t="s">
        <v>83</v>
      </c>
      <c r="H35" s="15">
        <f>_xlfn.STDEV.S(F17:F22)</f>
        <v>3.8678712519013135E-2</v>
      </c>
      <c r="J35" t="s">
        <v>101</v>
      </c>
      <c r="L35" t="s">
        <v>83</v>
      </c>
      <c r="M35" s="15">
        <f>_xlfn.STDEV.S(H17:H22)</f>
        <v>0.2056198146253479</v>
      </c>
    </row>
    <row r="38" spans="2:13" x14ac:dyDescent="0.25">
      <c r="C38" t="s">
        <v>95</v>
      </c>
      <c r="D38" t="s">
        <v>85</v>
      </c>
    </row>
    <row r="39" spans="2:13" x14ac:dyDescent="0.25">
      <c r="D39" s="29" t="s">
        <v>86</v>
      </c>
    </row>
    <row r="40" spans="2:13" x14ac:dyDescent="0.25">
      <c r="D40" s="29" t="s">
        <v>87</v>
      </c>
    </row>
    <row r="42" spans="2:13" x14ac:dyDescent="0.25">
      <c r="B42" t="s">
        <v>18</v>
      </c>
      <c r="C42" t="s">
        <v>96</v>
      </c>
      <c r="D42" t="s">
        <v>102</v>
      </c>
      <c r="E42">
        <f>CORREL(E17:E22,F17:F22)</f>
        <v>-0.57325251812495936</v>
      </c>
    </row>
    <row r="43" spans="2:13" x14ac:dyDescent="0.25">
      <c r="B43" t="s">
        <v>104</v>
      </c>
      <c r="C43" t="s">
        <v>103</v>
      </c>
      <c r="D43" t="s">
        <v>105</v>
      </c>
      <c r="E43">
        <f>_xlfn.COVARIANCE.S(E17:E22,F17:F22)</f>
        <v>-9.5827898968861795E-3</v>
      </c>
    </row>
    <row r="50" spans="2:9" x14ac:dyDescent="0.25">
      <c r="B50" s="30" t="s">
        <v>111</v>
      </c>
    </row>
    <row r="51" spans="2:9" ht="15.75" thickBot="1" x14ac:dyDescent="0.3">
      <c r="E51">
        <v>0.5</v>
      </c>
      <c r="F51">
        <v>0.5</v>
      </c>
    </row>
    <row r="52" spans="2:9" x14ac:dyDescent="0.25">
      <c r="C52" s="34" t="s">
        <v>112</v>
      </c>
      <c r="D52" s="35" t="s">
        <v>113</v>
      </c>
      <c r="E52" s="35" t="s">
        <v>114</v>
      </c>
      <c r="F52" s="35" t="s">
        <v>115</v>
      </c>
      <c r="G52" s="35" t="s">
        <v>121</v>
      </c>
      <c r="H52" s="36"/>
      <c r="I52" s="37"/>
    </row>
    <row r="53" spans="2:9" x14ac:dyDescent="0.25">
      <c r="C53" s="38" t="s">
        <v>116</v>
      </c>
      <c r="D53" s="39">
        <v>7.0000000000000007E-2</v>
      </c>
      <c r="E53" s="39">
        <v>0.08</v>
      </c>
      <c r="F53" s="39">
        <v>0.06</v>
      </c>
      <c r="G53" s="52">
        <f>E53*$E$51+F53*$F$51</f>
        <v>7.0000000000000007E-2</v>
      </c>
      <c r="I53" s="40"/>
    </row>
    <row r="54" spans="2:9" x14ac:dyDescent="0.25">
      <c r="C54" s="38" t="s">
        <v>117</v>
      </c>
      <c r="D54" s="39">
        <v>0.12</v>
      </c>
      <c r="E54" s="39">
        <v>0.15</v>
      </c>
      <c r="F54" s="39">
        <v>0.11</v>
      </c>
      <c r="G54" s="52">
        <f t="shared" ref="G54:G55" si="2">E54*$E$51+F54*$F$51</f>
        <v>0.13</v>
      </c>
      <c r="I54" s="40"/>
    </row>
    <row r="55" spans="2:9" x14ac:dyDescent="0.25">
      <c r="C55" s="38" t="s">
        <v>118</v>
      </c>
      <c r="D55" s="39">
        <v>0.04</v>
      </c>
      <c r="E55" s="39">
        <v>0.03</v>
      </c>
      <c r="F55" s="39">
        <v>0.04</v>
      </c>
      <c r="G55" s="52">
        <f t="shared" si="2"/>
        <v>3.5000000000000003E-2</v>
      </c>
      <c r="I55" s="40"/>
    </row>
    <row r="56" spans="2:9" x14ac:dyDescent="0.25">
      <c r="C56" s="41"/>
      <c r="D56" s="42"/>
      <c r="E56" s="43"/>
      <c r="F56" s="43"/>
      <c r="G56" s="44"/>
      <c r="I56" s="40"/>
    </row>
    <row r="57" spans="2:9" x14ac:dyDescent="0.25">
      <c r="C57" s="45"/>
      <c r="D57" s="46"/>
      <c r="E57" s="46"/>
      <c r="F57" s="46"/>
      <c r="G57" s="46"/>
      <c r="I57" s="40"/>
    </row>
    <row r="58" spans="2:9" x14ac:dyDescent="0.25">
      <c r="C58" s="45" t="s">
        <v>119</v>
      </c>
      <c r="D58" s="46"/>
      <c r="E58" s="46"/>
      <c r="F58" s="46"/>
      <c r="G58" s="46"/>
      <c r="I58" s="40"/>
    </row>
    <row r="59" spans="2:9" ht="15.75" thickBot="1" x14ac:dyDescent="0.3">
      <c r="C59" s="47" t="s">
        <v>120</v>
      </c>
      <c r="D59" s="48"/>
      <c r="E59" s="48"/>
      <c r="F59" s="48"/>
      <c r="G59" s="48"/>
      <c r="H59" s="49"/>
      <c r="I59" s="50"/>
    </row>
    <row r="61" spans="2:9" x14ac:dyDescent="0.25">
      <c r="F61" t="s">
        <v>127</v>
      </c>
    </row>
    <row r="62" spans="2:9" x14ac:dyDescent="0.25">
      <c r="C62" t="s">
        <v>122</v>
      </c>
      <c r="D62">
        <f>CORREL(E53:E55,F53:F55)</f>
        <v>0.98926845793398843</v>
      </c>
      <c r="F62" t="s">
        <v>123</v>
      </c>
    </row>
    <row r="63" spans="2:9" x14ac:dyDescent="0.25">
      <c r="F63" t="s">
        <v>108</v>
      </c>
      <c r="G63" s="26">
        <f>AVERAGE(G53:G55)</f>
        <v>7.8333333333333338E-2</v>
      </c>
    </row>
    <row r="64" spans="2:9" x14ac:dyDescent="0.25">
      <c r="F64" t="s">
        <v>62</v>
      </c>
      <c r="G64" s="26" cm="1">
        <f t="array" ref="G64">GEOMEAN(1+G53:G55)-1</f>
        <v>7.7624666393049546E-2</v>
      </c>
    </row>
    <row r="66" spans="6:7" x14ac:dyDescent="0.25">
      <c r="F66" t="s">
        <v>124</v>
      </c>
    </row>
    <row r="67" spans="6:7" x14ac:dyDescent="0.25">
      <c r="F67" t="s">
        <v>125</v>
      </c>
      <c r="G67" s="15">
        <f>_xlfn.VAR.S(G53:G55)</f>
        <v>2.3083333333333341E-3</v>
      </c>
    </row>
    <row r="68" spans="6:7" x14ac:dyDescent="0.25">
      <c r="F68" t="s">
        <v>126</v>
      </c>
      <c r="G68" s="15">
        <f>_xlfn.STDEV.S(G53:G55)</f>
        <v>4.8045117684665253E-2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D386-CDB3-4E71-AB78-7736BBC27BE6}">
  <dimension ref="B2:M57"/>
  <sheetViews>
    <sheetView workbookViewId="0">
      <selection activeCell="K25" sqref="K25"/>
    </sheetView>
  </sheetViews>
  <sheetFormatPr defaultRowHeight="15" x14ac:dyDescent="0.25"/>
  <cols>
    <col min="4" max="5" width="10.7109375" customWidth="1"/>
    <col min="6" max="6" width="11.28515625" customWidth="1"/>
    <col min="10" max="10" width="14.28515625" bestFit="1" customWidth="1"/>
  </cols>
  <sheetData>
    <row r="2" spans="2:13" ht="15.75" thickBot="1" x14ac:dyDescent="0.3"/>
    <row r="3" spans="2:13" x14ac:dyDescent="0.25">
      <c r="B3" s="53" t="s">
        <v>128</v>
      </c>
      <c r="C3" s="36" t="s">
        <v>129</v>
      </c>
      <c r="D3" s="36"/>
      <c r="E3" s="36"/>
      <c r="F3" s="36"/>
      <c r="G3" s="36"/>
      <c r="H3" s="36"/>
      <c r="I3" s="36"/>
      <c r="J3" s="36"/>
      <c r="K3" s="36"/>
      <c r="L3" s="36"/>
      <c r="M3" s="37"/>
    </row>
    <row r="4" spans="2:13" x14ac:dyDescent="0.25">
      <c r="B4" s="54"/>
      <c r="M4" s="40"/>
    </row>
    <row r="5" spans="2:13" x14ac:dyDescent="0.25">
      <c r="B5" s="54"/>
      <c r="M5" s="40"/>
    </row>
    <row r="6" spans="2:13" x14ac:dyDescent="0.25">
      <c r="B6" s="54"/>
      <c r="M6" s="40"/>
    </row>
    <row r="7" spans="2:13" x14ac:dyDescent="0.25">
      <c r="B7" s="54"/>
      <c r="M7" s="40"/>
    </row>
    <row r="8" spans="2:13" x14ac:dyDescent="0.25">
      <c r="B8" s="54"/>
      <c r="M8" s="40"/>
    </row>
    <row r="9" spans="2:13" x14ac:dyDescent="0.25">
      <c r="B9" s="54"/>
      <c r="C9" t="s">
        <v>133</v>
      </c>
      <c r="M9" s="40"/>
    </row>
    <row r="10" spans="2:13" x14ac:dyDescent="0.25">
      <c r="B10" s="54"/>
      <c r="M10" s="40"/>
    </row>
    <row r="11" spans="2:13" x14ac:dyDescent="0.25">
      <c r="B11" s="54"/>
      <c r="C11" t="s">
        <v>134</v>
      </c>
      <c r="M11" s="40"/>
    </row>
    <row r="12" spans="2:13" x14ac:dyDescent="0.25">
      <c r="B12" s="54"/>
      <c r="M12" s="40"/>
    </row>
    <row r="13" spans="2:13" x14ac:dyDescent="0.25">
      <c r="B13" s="54"/>
      <c r="C13" t="s">
        <v>73</v>
      </c>
      <c r="M13" s="40"/>
    </row>
    <row r="14" spans="2:13" x14ac:dyDescent="0.25">
      <c r="B14" s="54"/>
      <c r="M14" s="40"/>
    </row>
    <row r="15" spans="2:13" x14ac:dyDescent="0.25">
      <c r="B15" s="54"/>
      <c r="C15" t="s">
        <v>135</v>
      </c>
      <c r="M15" s="40"/>
    </row>
    <row r="16" spans="2:13" ht="15.75" thickBot="1" x14ac:dyDescent="0.3">
      <c r="B16" s="56"/>
      <c r="C16" s="49" t="s">
        <v>136</v>
      </c>
      <c r="D16" s="49"/>
      <c r="E16" s="49"/>
      <c r="F16" s="49"/>
      <c r="G16" s="49"/>
      <c r="H16" s="49"/>
      <c r="I16" s="49"/>
      <c r="J16" s="49"/>
      <c r="K16" s="49"/>
      <c r="L16" s="49"/>
      <c r="M16" s="50"/>
    </row>
    <row r="20" spans="2:13" x14ac:dyDescent="0.25">
      <c r="B20" s="4"/>
      <c r="E20" s="4" t="s">
        <v>56</v>
      </c>
      <c r="F20" s="4" t="s">
        <v>124</v>
      </c>
      <c r="G20" s="4"/>
      <c r="H20" s="4"/>
      <c r="I20" s="4"/>
      <c r="J20" s="4"/>
      <c r="K20" s="4"/>
      <c r="L20" s="4"/>
      <c r="M20" s="4"/>
    </row>
    <row r="21" spans="2:13" x14ac:dyDescent="0.25">
      <c r="B21" s="10">
        <v>0.4</v>
      </c>
      <c r="C21" t="s">
        <v>131</v>
      </c>
      <c r="E21" s="94">
        <v>0.16</v>
      </c>
      <c r="F21" s="94">
        <v>0.24</v>
      </c>
      <c r="G21" s="77">
        <f>B21*B21</f>
        <v>0.16000000000000003</v>
      </c>
      <c r="H21" s="57">
        <f>F21*F21</f>
        <v>5.7599999999999998E-2</v>
      </c>
      <c r="I21" s="57"/>
      <c r="J21" s="10"/>
      <c r="K21" s="10"/>
      <c r="L21" s="10"/>
      <c r="M21" s="10"/>
    </row>
    <row r="22" spans="2:13" ht="17.25" x14ac:dyDescent="0.4">
      <c r="B22" s="10">
        <v>0.6</v>
      </c>
      <c r="C22" t="s">
        <v>132</v>
      </c>
      <c r="E22" s="94">
        <v>0.08</v>
      </c>
      <c r="F22" s="95">
        <v>0.06</v>
      </c>
      <c r="G22" s="77">
        <f>B22*B22</f>
        <v>0.36</v>
      </c>
      <c r="H22" s="57">
        <f>F22*F22</f>
        <v>3.5999999999999999E-3</v>
      </c>
      <c r="I22" s="57"/>
      <c r="J22" s="10"/>
      <c r="K22" s="10"/>
      <c r="L22" s="10"/>
      <c r="M22" s="10"/>
    </row>
    <row r="23" spans="2:13" x14ac:dyDescent="0.25">
      <c r="B23" s="10"/>
      <c r="C23" s="10"/>
      <c r="D23" s="10"/>
      <c r="E23" s="10"/>
      <c r="F23" s="59"/>
      <c r="G23" s="10"/>
      <c r="H23" s="10"/>
      <c r="I23" s="10"/>
      <c r="J23" s="10"/>
      <c r="K23" s="10"/>
      <c r="L23" s="10"/>
      <c r="M23" s="10"/>
    </row>
    <row r="24" spans="2:13" x14ac:dyDescent="0.25">
      <c r="B24" s="10"/>
      <c r="C24" s="10"/>
      <c r="D24" s="10"/>
      <c r="E24" s="10" t="s">
        <v>141</v>
      </c>
      <c r="F24" s="10">
        <v>-0.28000000000000003</v>
      </c>
      <c r="G24" s="10"/>
      <c r="H24" s="10"/>
      <c r="I24" s="10"/>
      <c r="J24" s="10"/>
      <c r="K24" s="10"/>
      <c r="L24" s="10"/>
      <c r="M24" s="10"/>
    </row>
    <row r="27" spans="2:13" x14ac:dyDescent="0.25">
      <c r="C27" t="s">
        <v>159</v>
      </c>
      <c r="D27" s="15">
        <f>SUMPRODUCT(B21:B22,E21:E22)</f>
        <v>0.112</v>
      </c>
      <c r="G27" s="92"/>
      <c r="K27" s="93"/>
    </row>
    <row r="28" spans="2:13" x14ac:dyDescent="0.25">
      <c r="C28" t="s">
        <v>124</v>
      </c>
      <c r="D28" s="27">
        <f>SQRT(G21*H21+G22*H22+2*F21*B21*F22*B22*F24)</f>
        <v>9.2610150631558752E-2</v>
      </c>
    </row>
    <row r="29" spans="2:13" ht="15.75" thickBot="1" x14ac:dyDescent="0.3">
      <c r="G29" s="92"/>
      <c r="K29" s="93"/>
    </row>
    <row r="30" spans="2:13" ht="15.75" thickBot="1" x14ac:dyDescent="0.3">
      <c r="C30" s="360" t="s">
        <v>160</v>
      </c>
      <c r="D30" s="361"/>
      <c r="E30" s="361"/>
      <c r="F30" s="361"/>
      <c r="G30" s="361"/>
      <c r="H30" s="361"/>
      <c r="I30" s="362"/>
    </row>
    <row r="31" spans="2:13" x14ac:dyDescent="0.25">
      <c r="C31" s="96"/>
      <c r="D31" s="31"/>
      <c r="E31" s="31"/>
      <c r="F31" s="31"/>
      <c r="G31" s="31"/>
      <c r="H31" s="31"/>
      <c r="I31" s="97"/>
    </row>
    <row r="32" spans="2:13" ht="15.75" thickBot="1" x14ac:dyDescent="0.3">
      <c r="C32" s="96"/>
      <c r="D32" s="31"/>
      <c r="E32" s="31"/>
      <c r="F32" s="31"/>
      <c r="G32" s="31"/>
      <c r="H32" s="31"/>
      <c r="I32" s="97"/>
    </row>
    <row r="33" spans="2:13" ht="18.75" thickBot="1" x14ac:dyDescent="0.4">
      <c r="C33" s="98" t="s">
        <v>161</v>
      </c>
      <c r="D33" s="99" t="s">
        <v>30</v>
      </c>
      <c r="E33" s="100" t="s">
        <v>162</v>
      </c>
      <c r="F33" s="99"/>
      <c r="G33" s="99"/>
      <c r="H33" s="99"/>
      <c r="I33" s="101"/>
    </row>
    <row r="36" spans="2:13" x14ac:dyDescent="0.25">
      <c r="B36" s="31" t="s">
        <v>146</v>
      </c>
      <c r="C36" t="s">
        <v>147</v>
      </c>
    </row>
    <row r="38" spans="2:13" ht="15.75" thickBot="1" x14ac:dyDescent="0.3"/>
    <row r="39" spans="2:13" x14ac:dyDescent="0.25">
      <c r="B39" s="10"/>
      <c r="C39" s="10"/>
      <c r="D39" s="11" t="s">
        <v>112</v>
      </c>
      <c r="E39" s="10" t="s">
        <v>148</v>
      </c>
      <c r="F39" s="10" t="s">
        <v>149</v>
      </c>
      <c r="G39" s="10"/>
      <c r="H39" s="64"/>
      <c r="I39" s="65"/>
      <c r="J39" s="65"/>
      <c r="K39" s="66"/>
      <c r="L39" s="10"/>
      <c r="M39" s="10"/>
    </row>
    <row r="40" spans="2:13" x14ac:dyDescent="0.25">
      <c r="B40" s="10"/>
      <c r="C40" s="10"/>
      <c r="D40" s="11" t="s">
        <v>117</v>
      </c>
      <c r="E40" s="23">
        <v>0.25</v>
      </c>
      <c r="F40" s="57">
        <v>0.21</v>
      </c>
      <c r="G40" s="33"/>
      <c r="H40" s="67" t="s">
        <v>150</v>
      </c>
      <c r="I40" s="68"/>
      <c r="J40" s="69" t="s">
        <v>151</v>
      </c>
      <c r="K40" s="70"/>
      <c r="L40" s="10"/>
      <c r="M40" s="10"/>
    </row>
    <row r="41" spans="2:13" x14ac:dyDescent="0.25">
      <c r="B41" s="10"/>
      <c r="C41" s="10"/>
      <c r="D41" s="11" t="s">
        <v>116</v>
      </c>
      <c r="E41" s="23">
        <v>0.35</v>
      </c>
      <c r="F41" s="57">
        <v>0.14000000000000001</v>
      </c>
      <c r="G41" s="33"/>
      <c r="H41" s="71"/>
      <c r="I41" s="68"/>
      <c r="J41" s="68"/>
      <c r="K41" s="70"/>
      <c r="L41" s="10"/>
      <c r="M41" s="10"/>
    </row>
    <row r="42" spans="2:13" x14ac:dyDescent="0.25">
      <c r="B42" s="10"/>
      <c r="C42" s="10"/>
      <c r="D42" s="11" t="s">
        <v>118</v>
      </c>
      <c r="E42" s="23">
        <v>0.4</v>
      </c>
      <c r="F42" s="57">
        <v>7.0000000000000007E-2</v>
      </c>
      <c r="G42" s="33"/>
      <c r="H42" s="67" t="s">
        <v>152</v>
      </c>
      <c r="I42" s="68"/>
      <c r="J42" s="69" t="s">
        <v>153</v>
      </c>
      <c r="K42" s="70"/>
      <c r="L42" s="10"/>
      <c r="M42" s="10"/>
    </row>
    <row r="43" spans="2:13" ht="15.75" thickBot="1" x14ac:dyDescent="0.3">
      <c r="B43" s="10"/>
      <c r="C43" s="10"/>
      <c r="D43" s="10"/>
      <c r="E43" s="10"/>
      <c r="F43" s="10"/>
      <c r="G43" s="10"/>
      <c r="H43" s="72"/>
      <c r="I43" s="73"/>
      <c r="J43" s="73"/>
      <c r="K43" s="74"/>
      <c r="L43" s="10"/>
      <c r="M43" s="10"/>
    </row>
    <row r="46" spans="2:13" x14ac:dyDescent="0.25">
      <c r="E46" s="102"/>
    </row>
    <row r="48" spans="2:13" x14ac:dyDescent="0.25">
      <c r="D48" s="11" t="s">
        <v>112</v>
      </c>
      <c r="E48" s="10" t="s">
        <v>148</v>
      </c>
      <c r="F48" s="10" t="s">
        <v>149</v>
      </c>
      <c r="G48" s="10" t="s">
        <v>163</v>
      </c>
      <c r="H48" s="10" t="s">
        <v>164</v>
      </c>
      <c r="I48" s="10" t="s">
        <v>165</v>
      </c>
      <c r="J48" s="10" t="s">
        <v>166</v>
      </c>
    </row>
    <row r="49" spans="2:13" x14ac:dyDescent="0.25">
      <c r="B49" s="10"/>
      <c r="C49" s="10"/>
      <c r="D49" s="11" t="s">
        <v>117</v>
      </c>
      <c r="E49" s="23">
        <v>0.25</v>
      </c>
      <c r="F49" s="57">
        <v>0.21</v>
      </c>
      <c r="G49" s="33">
        <f>F49*E49</f>
        <v>5.2499999999999998E-2</v>
      </c>
      <c r="H49" s="90">
        <f>F49-E54</f>
        <v>8.0499999999999988E-2</v>
      </c>
      <c r="I49" s="103">
        <f>H49*H49</f>
        <v>6.4802499999999982E-3</v>
      </c>
      <c r="J49" s="102">
        <f>I49*E49</f>
        <v>1.6200624999999995E-3</v>
      </c>
      <c r="K49" s="4"/>
      <c r="L49" s="10"/>
      <c r="M49" s="10"/>
    </row>
    <row r="50" spans="2:13" x14ac:dyDescent="0.25">
      <c r="B50" s="10"/>
      <c r="C50" s="10"/>
      <c r="D50" s="11" t="s">
        <v>116</v>
      </c>
      <c r="E50" s="23">
        <v>0.35</v>
      </c>
      <c r="F50" s="57">
        <v>0.14000000000000001</v>
      </c>
      <c r="G50" s="33">
        <f t="shared" ref="G50:G51" si="0">F50*E50</f>
        <v>4.9000000000000002E-2</v>
      </c>
      <c r="H50" s="86">
        <f>F50-E54</f>
        <v>1.0500000000000009E-2</v>
      </c>
      <c r="I50" s="103">
        <f t="shared" ref="I50:I51" si="1">H50*H50</f>
        <v>1.102500000000002E-4</v>
      </c>
      <c r="J50" s="102">
        <f t="shared" ref="J50:J51" si="2">I50*E50</f>
        <v>3.8587500000000071E-5</v>
      </c>
      <c r="K50" s="87"/>
      <c r="L50" s="10"/>
      <c r="M50" s="10"/>
    </row>
    <row r="51" spans="2:13" x14ac:dyDescent="0.25">
      <c r="B51" s="10"/>
      <c r="C51" s="10"/>
      <c r="D51" s="11" t="s">
        <v>118</v>
      </c>
      <c r="E51" s="23">
        <v>0.4</v>
      </c>
      <c r="F51" s="57">
        <v>7.0000000000000007E-2</v>
      </c>
      <c r="G51" s="33">
        <f t="shared" si="0"/>
        <v>2.8000000000000004E-2</v>
      </c>
      <c r="H51" s="86">
        <f>F51-E54</f>
        <v>-5.9499999999999997E-2</v>
      </c>
      <c r="I51" s="103">
        <f t="shared" si="1"/>
        <v>3.5402499999999996E-3</v>
      </c>
      <c r="J51" s="102">
        <f t="shared" si="2"/>
        <v>1.4161E-3</v>
      </c>
      <c r="K51" s="87"/>
      <c r="L51" s="10"/>
      <c r="M51" s="10"/>
    </row>
    <row r="52" spans="2:13" ht="17.25" x14ac:dyDescent="0.4">
      <c r="B52" s="10"/>
      <c r="C52" s="10"/>
      <c r="D52" s="10"/>
      <c r="E52" s="10"/>
      <c r="F52" s="10"/>
      <c r="H52" s="88"/>
      <c r="I52" s="77"/>
      <c r="J52" s="10"/>
      <c r="K52" s="89"/>
      <c r="L52" s="10"/>
      <c r="M52" s="10"/>
    </row>
    <row r="53" spans="2:13" x14ac:dyDescent="0.25">
      <c r="B53" s="10"/>
      <c r="C53" s="10"/>
      <c r="H53" s="10"/>
      <c r="I53" s="10"/>
      <c r="J53" s="10"/>
      <c r="K53" s="10"/>
      <c r="L53" s="10"/>
      <c r="M53" s="10"/>
    </row>
    <row r="54" spans="2:13" x14ac:dyDescent="0.25">
      <c r="B54" s="10"/>
      <c r="C54" s="10"/>
      <c r="D54" s="11" t="s">
        <v>159</v>
      </c>
      <c r="E54" s="90">
        <f>SUM(G49:G51)</f>
        <v>0.1295</v>
      </c>
      <c r="H54" s="90"/>
      <c r="I54" s="10"/>
      <c r="J54" s="10"/>
      <c r="K54" s="10"/>
      <c r="L54" s="10"/>
      <c r="M54" s="10"/>
    </row>
    <row r="55" spans="2:13" x14ac:dyDescent="0.25">
      <c r="B55" s="10"/>
      <c r="C55" s="10"/>
      <c r="D55" t="s">
        <v>125</v>
      </c>
      <c r="E55" s="102">
        <f>SUM(J49:J51)</f>
        <v>3.0747499999999994E-3</v>
      </c>
      <c r="H55" s="86"/>
      <c r="I55" s="10"/>
      <c r="J55" s="10"/>
      <c r="K55" s="83"/>
      <c r="L55" s="10"/>
      <c r="M55" s="10"/>
    </row>
    <row r="56" spans="2:13" x14ac:dyDescent="0.25">
      <c r="B56" s="10"/>
      <c r="C56" s="10"/>
      <c r="D56" t="s">
        <v>167</v>
      </c>
      <c r="E56" s="104">
        <f>SQRT(E55)</f>
        <v>5.5450428312142003E-2</v>
      </c>
      <c r="H56" s="10"/>
      <c r="I56" s="10"/>
      <c r="J56" s="10"/>
      <c r="K56" s="10"/>
      <c r="L56" s="10"/>
      <c r="M56" s="10"/>
    </row>
    <row r="57" spans="2:13" x14ac:dyDescent="0.25">
      <c r="B57" s="10"/>
      <c r="C57" s="10"/>
      <c r="D57" s="10"/>
      <c r="E57" s="10"/>
      <c r="F57" s="10"/>
      <c r="G57" s="10"/>
      <c r="H57" s="10"/>
      <c r="I57" s="10"/>
      <c r="J57" s="91"/>
      <c r="K57" s="86"/>
      <c r="L57" s="10"/>
      <c r="M57" s="10"/>
    </row>
  </sheetData>
  <mergeCells count="1">
    <mergeCell ref="C30:I3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7304-86BD-40DC-AFBE-0211B291C323}">
  <dimension ref="A2:S126"/>
  <sheetViews>
    <sheetView workbookViewId="0">
      <selection activeCell="K4" sqref="K4"/>
    </sheetView>
  </sheetViews>
  <sheetFormatPr defaultRowHeight="15" x14ac:dyDescent="0.25"/>
  <cols>
    <col min="9" max="9" width="12.28515625" bestFit="1" customWidth="1"/>
    <col min="12" max="12" width="9.7109375" customWidth="1"/>
    <col min="13" max="13" width="9.28515625" bestFit="1" customWidth="1"/>
    <col min="14" max="14" width="9.42578125" customWidth="1"/>
    <col min="15" max="15" width="12.28515625" bestFit="1" customWidth="1"/>
    <col min="16" max="16" width="8" bestFit="1" customWidth="1"/>
  </cols>
  <sheetData>
    <row r="2" spans="1:4" x14ac:dyDescent="0.25">
      <c r="A2" s="30" t="s">
        <v>326</v>
      </c>
    </row>
    <row r="3" spans="1:4" x14ac:dyDescent="0.25">
      <c r="A3" s="30"/>
    </row>
    <row r="4" spans="1:4" x14ac:dyDescent="0.25">
      <c r="B4" t="s">
        <v>70</v>
      </c>
    </row>
    <row r="7" spans="1:4" s="4" customFormat="1" x14ac:dyDescent="0.25">
      <c r="B7" s="4" t="s">
        <v>71</v>
      </c>
      <c r="C7" s="4" t="s">
        <v>15</v>
      </c>
      <c r="D7" s="4" t="s">
        <v>72</v>
      </c>
    </row>
    <row r="8" spans="1:4" s="10" customFormat="1" x14ac:dyDescent="0.25">
      <c r="B8" s="10">
        <v>1</v>
      </c>
      <c r="C8" s="10">
        <v>127</v>
      </c>
      <c r="D8" s="10">
        <v>115</v>
      </c>
    </row>
    <row r="9" spans="1:4" s="10" customFormat="1" x14ac:dyDescent="0.25">
      <c r="B9" s="10">
        <v>2</v>
      </c>
      <c r="C9" s="10">
        <v>154</v>
      </c>
      <c r="D9" s="10">
        <v>118</v>
      </c>
    </row>
    <row r="10" spans="1:4" s="10" customFormat="1" x14ac:dyDescent="0.25">
      <c r="B10" s="10">
        <v>3</v>
      </c>
      <c r="C10" s="10">
        <v>211</v>
      </c>
      <c r="D10" s="10">
        <v>114</v>
      </c>
    </row>
    <row r="11" spans="1:4" s="10" customFormat="1" x14ac:dyDescent="0.25">
      <c r="B11" s="10">
        <v>4</v>
      </c>
      <c r="C11" s="10">
        <v>268</v>
      </c>
      <c r="D11" s="10">
        <v>116</v>
      </c>
    </row>
    <row r="12" spans="1:4" s="10" customFormat="1" x14ac:dyDescent="0.25">
      <c r="B12" s="10">
        <v>5</v>
      </c>
      <c r="C12" s="10">
        <v>92</v>
      </c>
      <c r="D12" s="10">
        <v>122</v>
      </c>
    </row>
    <row r="13" spans="1:4" s="10" customFormat="1" x14ac:dyDescent="0.25">
      <c r="B13" s="10">
        <v>6</v>
      </c>
      <c r="C13" s="10">
        <v>144</v>
      </c>
      <c r="D13" s="10">
        <v>125</v>
      </c>
    </row>
    <row r="14" spans="1:4" s="10" customFormat="1" x14ac:dyDescent="0.25">
      <c r="B14" s="10">
        <v>7</v>
      </c>
      <c r="C14" s="10">
        <v>199</v>
      </c>
      <c r="D14" s="10">
        <v>119</v>
      </c>
    </row>
    <row r="16" spans="1:4" x14ac:dyDescent="0.25">
      <c r="B16" s="30" t="s">
        <v>73</v>
      </c>
    </row>
    <row r="18" spans="3:17" x14ac:dyDescent="0.25">
      <c r="C18" t="s">
        <v>74</v>
      </c>
    </row>
    <row r="20" spans="3:17" x14ac:dyDescent="0.25">
      <c r="C20" t="s">
        <v>75</v>
      </c>
    </row>
    <row r="23" spans="3:17" ht="18" x14ac:dyDescent="0.35">
      <c r="H23" s="4" t="s">
        <v>71</v>
      </c>
      <c r="I23" s="4" t="s">
        <v>15</v>
      </c>
      <c r="J23" s="4" t="s">
        <v>72</v>
      </c>
      <c r="K23" s="4" t="s">
        <v>526</v>
      </c>
      <c r="L23" s="4" t="s">
        <v>527</v>
      </c>
      <c r="M23" s="4" t="s">
        <v>528</v>
      </c>
      <c r="N23" s="4"/>
      <c r="O23" s="4" t="s">
        <v>156</v>
      </c>
      <c r="P23" s="4" t="s">
        <v>529</v>
      </c>
      <c r="Q23" s="4" t="s">
        <v>156</v>
      </c>
    </row>
    <row r="24" spans="3:17" x14ac:dyDescent="0.25">
      <c r="H24" s="10">
        <v>1</v>
      </c>
      <c r="I24" s="10">
        <v>127</v>
      </c>
      <c r="J24" s="10">
        <v>115</v>
      </c>
    </row>
    <row r="25" spans="3:17" x14ac:dyDescent="0.25">
      <c r="H25" s="10">
        <v>2</v>
      </c>
      <c r="I25" s="10">
        <v>154</v>
      </c>
      <c r="J25" s="10">
        <v>118</v>
      </c>
      <c r="K25" s="15">
        <f>(I25-I24)/I24</f>
        <v>0.2125984251968504</v>
      </c>
      <c r="L25" s="15">
        <f>(J25-J24)/J24</f>
        <v>2.6086956521739129E-2</v>
      </c>
      <c r="M25" s="26">
        <f>K25-$K$32</f>
        <v>2.204577632020846E-2</v>
      </c>
      <c r="N25" s="26"/>
      <c r="O25">
        <f>M25^2</f>
        <v>4.8601625356066409E-4</v>
      </c>
      <c r="P25" s="26">
        <f t="shared" ref="P25:P30" si="0">L25-$L$32</f>
        <v>1.9745821029809648E-2</v>
      </c>
      <c r="Q25">
        <f t="shared" ref="Q25:Q30" si="1">P25^2</f>
        <v>3.8989744814127295E-4</v>
      </c>
    </row>
    <row r="26" spans="3:17" x14ac:dyDescent="0.25">
      <c r="H26" s="10">
        <v>3</v>
      </c>
      <c r="I26" s="10">
        <v>211</v>
      </c>
      <c r="J26" s="10">
        <v>114</v>
      </c>
      <c r="K26" s="15">
        <f t="shared" ref="K26:L30" si="2">(I26-I25)/I25</f>
        <v>0.37012987012987014</v>
      </c>
      <c r="L26" s="15">
        <f t="shared" si="2"/>
        <v>-3.3898305084745763E-2</v>
      </c>
      <c r="M26" s="26">
        <f t="shared" ref="M26:M30" si="3">K26-$K$32</f>
        <v>0.1795772212532282</v>
      </c>
      <c r="N26" s="26"/>
      <c r="O26">
        <f t="shared" ref="O26:O30" si="4">M26^2</f>
        <v>3.2247978393030875E-2</v>
      </c>
      <c r="P26" s="26">
        <f t="shared" si="0"/>
        <v>-4.0239440576675244E-2</v>
      </c>
      <c r="Q26">
        <f t="shared" si="1"/>
        <v>1.6192125779237781E-3</v>
      </c>
    </row>
    <row r="27" spans="3:17" x14ac:dyDescent="0.25">
      <c r="H27" s="10">
        <v>4</v>
      </c>
      <c r="I27" s="10">
        <v>268</v>
      </c>
      <c r="J27" s="10">
        <v>116</v>
      </c>
      <c r="K27" s="15">
        <f t="shared" si="2"/>
        <v>0.27014218009478674</v>
      </c>
      <c r="L27" s="15">
        <f t="shared" si="2"/>
        <v>1.7543859649122806E-2</v>
      </c>
      <c r="M27" s="26">
        <f t="shared" si="3"/>
        <v>7.9589531218144799E-2</v>
      </c>
      <c r="N27" s="26"/>
      <c r="O27">
        <f t="shared" si="4"/>
        <v>6.3344934795240455E-3</v>
      </c>
      <c r="P27" s="26">
        <f t="shared" si="0"/>
        <v>1.1202724157193325E-2</v>
      </c>
      <c r="Q27">
        <f t="shared" si="1"/>
        <v>1.2550102854216289E-4</v>
      </c>
    </row>
    <row r="28" spans="3:17" x14ac:dyDescent="0.25">
      <c r="H28" s="10">
        <v>5</v>
      </c>
      <c r="I28" s="10">
        <v>92</v>
      </c>
      <c r="J28" s="10">
        <v>122</v>
      </c>
      <c r="K28" s="15">
        <f t="shared" si="2"/>
        <v>-0.65671641791044777</v>
      </c>
      <c r="L28" s="15">
        <f t="shared" si="2"/>
        <v>5.1724137931034482E-2</v>
      </c>
      <c r="M28" s="26">
        <f t="shared" si="3"/>
        <v>-0.84726906678708969</v>
      </c>
      <c r="N28" s="26"/>
      <c r="O28">
        <f t="shared" si="4"/>
        <v>0.71786487153426581</v>
      </c>
      <c r="P28" s="26">
        <f t="shared" si="0"/>
        <v>4.5383002439105001E-2</v>
      </c>
      <c r="Q28">
        <f t="shared" si="1"/>
        <v>2.0596169103878105E-3</v>
      </c>
    </row>
    <row r="29" spans="3:17" x14ac:dyDescent="0.25">
      <c r="H29" s="10">
        <v>6</v>
      </c>
      <c r="I29" s="10">
        <v>144</v>
      </c>
      <c r="J29" s="10">
        <v>125</v>
      </c>
      <c r="K29" s="15">
        <f t="shared" si="2"/>
        <v>0.56521739130434778</v>
      </c>
      <c r="L29" s="15">
        <f t="shared" si="2"/>
        <v>2.4590163934426229E-2</v>
      </c>
      <c r="M29" s="26">
        <f t="shared" si="3"/>
        <v>0.37466474242770587</v>
      </c>
      <c r="N29" s="26"/>
      <c r="O29">
        <f t="shared" si="4"/>
        <v>0.14037366921841918</v>
      </c>
      <c r="P29" s="26">
        <f t="shared" si="0"/>
        <v>1.8249028442496748E-2</v>
      </c>
      <c r="Q29">
        <f t="shared" si="1"/>
        <v>3.3302703909505527E-4</v>
      </c>
    </row>
    <row r="30" spans="3:17" x14ac:dyDescent="0.25">
      <c r="H30" s="10">
        <v>7</v>
      </c>
      <c r="I30" s="10">
        <v>199</v>
      </c>
      <c r="J30" s="10">
        <v>119</v>
      </c>
      <c r="K30" s="15">
        <f t="shared" si="2"/>
        <v>0.38194444444444442</v>
      </c>
      <c r="L30" s="15">
        <f t="shared" si="2"/>
        <v>-4.8000000000000001E-2</v>
      </c>
      <c r="M30" s="26">
        <f t="shared" si="3"/>
        <v>0.19139179556780248</v>
      </c>
      <c r="N30" s="26"/>
      <c r="O30" s="116">
        <f t="shared" si="4"/>
        <v>3.6630819410667495E-2</v>
      </c>
      <c r="P30" s="26">
        <f t="shared" si="0"/>
        <v>-5.4341135491929482E-2</v>
      </c>
      <c r="Q30" s="116">
        <f t="shared" si="1"/>
        <v>2.9529590065522381E-3</v>
      </c>
    </row>
    <row r="32" spans="3:17" x14ac:dyDescent="0.25">
      <c r="J32" s="288" t="s">
        <v>530</v>
      </c>
      <c r="K32" s="289">
        <f>AVERAGE(K25:K30)</f>
        <v>0.19055264887664194</v>
      </c>
      <c r="L32" s="289">
        <f>AVERAGE(L25:L30)</f>
        <v>6.341135491929481E-3</v>
      </c>
    </row>
    <row r="34" spans="2:17" x14ac:dyDescent="0.25">
      <c r="M34" t="s">
        <v>531</v>
      </c>
      <c r="O34">
        <f>SUM(O25:O30)/(6-1)</f>
        <v>0.18678756965789362</v>
      </c>
      <c r="P34" t="s">
        <v>125</v>
      </c>
      <c r="Q34">
        <f>SUM(Q25:Q30)/(6-1)</f>
        <v>1.4960428021284634E-3</v>
      </c>
    </row>
    <row r="36" spans="2:17" ht="18" x14ac:dyDescent="0.35">
      <c r="B36" s="29" t="s">
        <v>86</v>
      </c>
      <c r="K36" t="s">
        <v>532</v>
      </c>
      <c r="M36" s="250" t="s">
        <v>533</v>
      </c>
      <c r="N36" s="250"/>
      <c r="O36" s="290">
        <f>SQRT(O34)</f>
        <v>0.43218927526940509</v>
      </c>
      <c r="P36" s="250" t="s">
        <v>534</v>
      </c>
      <c r="Q36" s="290">
        <f>SQRT(Q34)</f>
        <v>3.8678712519013135E-2</v>
      </c>
    </row>
    <row r="37" spans="2:17" x14ac:dyDescent="0.25">
      <c r="B37" s="29" t="s">
        <v>87</v>
      </c>
    </row>
    <row r="38" spans="2:17" ht="18" x14ac:dyDescent="0.35">
      <c r="K38" t="s">
        <v>535</v>
      </c>
      <c r="M38" s="250" t="s">
        <v>533</v>
      </c>
      <c r="N38" s="250"/>
      <c r="O38" s="290">
        <f>_xlfn.STDEV.S(K25:K30)</f>
        <v>0.43218927526940509</v>
      </c>
      <c r="P38" s="290" t="s">
        <v>534</v>
      </c>
      <c r="Q38" s="290">
        <f>_xlfn.STDEV.S(L25:L30)</f>
        <v>3.8678712519013135E-2</v>
      </c>
    </row>
    <row r="39" spans="2:17" ht="17.25" x14ac:dyDescent="0.25">
      <c r="M39" s="291" t="s">
        <v>536</v>
      </c>
      <c r="O39" s="15">
        <f>_xlfn.VAR.S(K25:K30)</f>
        <v>0.18678756965789362</v>
      </c>
      <c r="Q39" s="15">
        <f>_xlfn.VAR.S(L25:L30)</f>
        <v>1.4960428021284634E-3</v>
      </c>
    </row>
    <row r="40" spans="2:17" x14ac:dyDescent="0.25">
      <c r="O40" s="15"/>
    </row>
    <row r="43" spans="2:17" x14ac:dyDescent="0.25">
      <c r="B43" s="30" t="s">
        <v>73</v>
      </c>
    </row>
    <row r="45" spans="2:17" x14ac:dyDescent="0.25">
      <c r="C45" t="s">
        <v>89</v>
      </c>
    </row>
    <row r="46" spans="2:17" x14ac:dyDescent="0.25">
      <c r="C46" t="s">
        <v>90</v>
      </c>
    </row>
    <row r="48" spans="2:17" x14ac:dyDescent="0.25">
      <c r="G48" s="10">
        <v>0.5</v>
      </c>
      <c r="H48" s="10">
        <f>1-G48</f>
        <v>0.5</v>
      </c>
    </row>
    <row r="50" spans="4:17" ht="18" x14ac:dyDescent="0.35">
      <c r="D50" s="4" t="s">
        <v>71</v>
      </c>
      <c r="E50" s="4" t="s">
        <v>15</v>
      </c>
      <c r="F50" s="4" t="s">
        <v>72</v>
      </c>
      <c r="G50" s="4" t="s">
        <v>526</v>
      </c>
      <c r="H50" s="4" t="s">
        <v>527</v>
      </c>
      <c r="I50" s="4" t="s">
        <v>528</v>
      </c>
      <c r="J50" s="4" t="s">
        <v>156</v>
      </c>
      <c r="K50" s="4" t="s">
        <v>529</v>
      </c>
      <c r="L50" s="4" t="s">
        <v>156</v>
      </c>
      <c r="M50" s="4" t="s">
        <v>537</v>
      </c>
      <c r="N50" s="4"/>
      <c r="O50" s="4" t="s">
        <v>538</v>
      </c>
      <c r="P50" s="4" t="s">
        <v>155</v>
      </c>
      <c r="Q50" s="4" t="s">
        <v>156</v>
      </c>
    </row>
    <row r="51" spans="4:17" x14ac:dyDescent="0.25">
      <c r="D51" s="10">
        <v>1</v>
      </c>
      <c r="E51" s="10">
        <v>127</v>
      </c>
      <c r="F51" s="10">
        <v>115</v>
      </c>
    </row>
    <row r="52" spans="4:17" x14ac:dyDescent="0.25">
      <c r="D52" s="10">
        <v>2</v>
      </c>
      <c r="E52" s="10">
        <v>154</v>
      </c>
      <c r="F52" s="10">
        <v>118</v>
      </c>
      <c r="G52" s="15">
        <f>(E52-E51)/E51</f>
        <v>0.2125984251968504</v>
      </c>
      <c r="H52" s="15">
        <f>(F52-F51)/F51</f>
        <v>2.6086956521739129E-2</v>
      </c>
      <c r="I52" s="26">
        <f>G52-$G$59</f>
        <v>2.204577632020846E-2</v>
      </c>
      <c r="J52">
        <f>I52^2</f>
        <v>4.8601625356066409E-4</v>
      </c>
      <c r="K52" s="26">
        <f>H52-$H$59</f>
        <v>1.9745821029809648E-2</v>
      </c>
      <c r="L52">
        <f>K52^2</f>
        <v>3.8989744814127295E-4</v>
      </c>
      <c r="M52" s="120">
        <f>I52*K52</f>
        <v>4.3531195368205175E-4</v>
      </c>
      <c r="N52" s="120"/>
      <c r="O52" s="15">
        <f>$G$48*G52+$H$48*H52</f>
        <v>0.11934269085929476</v>
      </c>
      <c r="P52" s="26">
        <f>O52-$O$60</f>
        <v>2.0895798675009042E-2</v>
      </c>
      <c r="Q52" s="120">
        <f>P52^2</f>
        <v>4.3663440226650963E-4</v>
      </c>
    </row>
    <row r="53" spans="4:17" x14ac:dyDescent="0.25">
      <c r="D53" s="10">
        <v>3</v>
      </c>
      <c r="E53" s="10">
        <v>211</v>
      </c>
      <c r="F53" s="10">
        <v>114</v>
      </c>
      <c r="G53" s="15">
        <f t="shared" ref="G53:H57" si="5">(E53-E52)/E52</f>
        <v>0.37012987012987014</v>
      </c>
      <c r="H53" s="15">
        <f t="shared" si="5"/>
        <v>-3.3898305084745763E-2</v>
      </c>
      <c r="I53" s="26">
        <f t="shared" ref="I53:I57" si="6">G53-$G$59</f>
        <v>0.1795772212532282</v>
      </c>
      <c r="J53">
        <f t="shared" ref="J53:J57" si="7">I53^2</f>
        <v>3.2247978393030875E-2</v>
      </c>
      <c r="K53" s="26">
        <f t="shared" ref="K53:K57" si="8">H53-$H$59</f>
        <v>-4.0239440576675244E-2</v>
      </c>
      <c r="L53">
        <f t="shared" ref="L53:L57" si="9">K53^2</f>
        <v>1.6192125779237781E-3</v>
      </c>
      <c r="M53" s="120">
        <f t="shared" ref="M53:M57" si="10">I53*K53</f>
        <v>-7.2260869235437385E-3</v>
      </c>
      <c r="N53" s="120"/>
      <c r="O53" s="15">
        <f>$G$48*G53+$H$48*H53</f>
        <v>0.16811578252256218</v>
      </c>
      <c r="P53" s="26">
        <f t="shared" ref="P53:P57" si="11">O53-$O$60</f>
        <v>6.966889033827646E-2</v>
      </c>
      <c r="Q53" s="120">
        <f t="shared" ref="Q53:Q57" si="12">P53^2</f>
        <v>4.8537542809667907E-3</v>
      </c>
    </row>
    <row r="54" spans="4:17" x14ac:dyDescent="0.25">
      <c r="D54" s="10">
        <v>4</v>
      </c>
      <c r="E54" s="10">
        <v>268</v>
      </c>
      <c r="F54" s="10">
        <v>116</v>
      </c>
      <c r="G54" s="15">
        <f t="shared" si="5"/>
        <v>0.27014218009478674</v>
      </c>
      <c r="H54" s="15">
        <f t="shared" si="5"/>
        <v>1.7543859649122806E-2</v>
      </c>
      <c r="I54" s="26">
        <f t="shared" si="6"/>
        <v>7.9589531218144799E-2</v>
      </c>
      <c r="J54">
        <f t="shared" si="7"/>
        <v>6.3344934795240455E-3</v>
      </c>
      <c r="K54" s="26">
        <f t="shared" si="8"/>
        <v>1.1202724157193325E-2</v>
      </c>
      <c r="L54">
        <f t="shared" si="9"/>
        <v>1.2550102854216289E-4</v>
      </c>
      <c r="M54" s="120">
        <f t="shared" si="10"/>
        <v>8.9161956403720297E-4</v>
      </c>
      <c r="N54" s="120"/>
      <c r="O54" s="15">
        <f t="shared" ref="O54:O57" si="13">$G$48*G54+$H$48*H54</f>
        <v>0.14384301987195477</v>
      </c>
      <c r="P54" s="26">
        <f t="shared" si="11"/>
        <v>4.5396127687669055E-2</v>
      </c>
      <c r="Q54" s="120">
        <f t="shared" si="12"/>
        <v>2.0608084090351529E-3</v>
      </c>
    </row>
    <row r="55" spans="4:17" x14ac:dyDescent="0.25">
      <c r="D55" s="10">
        <v>5</v>
      </c>
      <c r="E55" s="10">
        <v>92</v>
      </c>
      <c r="F55" s="10">
        <v>122</v>
      </c>
      <c r="G55" s="15">
        <f t="shared" si="5"/>
        <v>-0.65671641791044777</v>
      </c>
      <c r="H55" s="15">
        <f t="shared" si="5"/>
        <v>5.1724137931034482E-2</v>
      </c>
      <c r="I55" s="26">
        <f t="shared" si="6"/>
        <v>-0.84726906678708969</v>
      </c>
      <c r="J55">
        <f t="shared" si="7"/>
        <v>0.71786487153426581</v>
      </c>
      <c r="K55" s="26">
        <f t="shared" si="8"/>
        <v>4.5383002439105001E-2</v>
      </c>
      <c r="L55">
        <f t="shared" si="9"/>
        <v>2.0596169103878105E-3</v>
      </c>
      <c r="M55" s="120">
        <f t="shared" si="10"/>
        <v>-3.8451614124576712E-2</v>
      </c>
      <c r="N55" s="120"/>
      <c r="O55" s="15">
        <f>$G$48*G55+$H$48*H55</f>
        <v>-0.30249613998970665</v>
      </c>
      <c r="P55" s="26">
        <f t="shared" si="11"/>
        <v>-0.40094303217399235</v>
      </c>
      <c r="Q55" s="120">
        <f t="shared" si="12"/>
        <v>0.16075531504887508</v>
      </c>
    </row>
    <row r="56" spans="4:17" x14ac:dyDescent="0.25">
      <c r="D56" s="10">
        <v>6</v>
      </c>
      <c r="E56" s="10">
        <v>144</v>
      </c>
      <c r="F56" s="10">
        <v>125</v>
      </c>
      <c r="G56" s="15">
        <f t="shared" si="5"/>
        <v>0.56521739130434778</v>
      </c>
      <c r="H56" s="15">
        <f t="shared" si="5"/>
        <v>2.4590163934426229E-2</v>
      </c>
      <c r="I56" s="26">
        <f t="shared" si="6"/>
        <v>0.37466474242770587</v>
      </c>
      <c r="J56">
        <f t="shared" si="7"/>
        <v>0.14037366921841918</v>
      </c>
      <c r="K56" s="26">
        <f t="shared" si="8"/>
        <v>1.8249028442496748E-2</v>
      </c>
      <c r="L56">
        <f t="shared" si="9"/>
        <v>3.3302703909505527E-4</v>
      </c>
      <c r="M56" s="120">
        <f t="shared" si="10"/>
        <v>6.8372675409639223E-3</v>
      </c>
      <c r="N56" s="120"/>
      <c r="O56" s="15">
        <f t="shared" si="13"/>
        <v>0.29490377761938702</v>
      </c>
      <c r="P56" s="26">
        <f t="shared" si="11"/>
        <v>0.19645688543510131</v>
      </c>
      <c r="Q56" s="120">
        <f t="shared" si="12"/>
        <v>3.8595307834860523E-2</v>
      </c>
    </row>
    <row r="57" spans="4:17" x14ac:dyDescent="0.25">
      <c r="D57" s="10">
        <v>7</v>
      </c>
      <c r="E57" s="10">
        <v>199</v>
      </c>
      <c r="F57" s="10">
        <v>119</v>
      </c>
      <c r="G57" s="15">
        <f t="shared" si="5"/>
        <v>0.38194444444444442</v>
      </c>
      <c r="H57" s="15">
        <f t="shared" si="5"/>
        <v>-4.8000000000000001E-2</v>
      </c>
      <c r="I57" s="26">
        <f t="shared" si="6"/>
        <v>0.19139179556780248</v>
      </c>
      <c r="J57">
        <f t="shared" si="7"/>
        <v>3.6630819410667495E-2</v>
      </c>
      <c r="K57" s="26">
        <f t="shared" si="8"/>
        <v>-5.4341135491929482E-2</v>
      </c>
      <c r="L57">
        <f t="shared" si="9"/>
        <v>2.9529590065522381E-3</v>
      </c>
      <c r="M57" s="120">
        <f t="shared" si="10"/>
        <v>-1.0400447494993623E-2</v>
      </c>
      <c r="N57" s="120"/>
      <c r="O57" s="15">
        <f t="shared" si="13"/>
        <v>0.16697222222222222</v>
      </c>
      <c r="P57" s="26">
        <f t="shared" si="11"/>
        <v>6.8525330037936497E-2</v>
      </c>
      <c r="Q57" s="292">
        <f t="shared" si="12"/>
        <v>4.6957208568081223E-3</v>
      </c>
    </row>
    <row r="58" spans="4:17" x14ac:dyDescent="0.25">
      <c r="Q58" s="120"/>
    </row>
    <row r="59" spans="4:17" x14ac:dyDescent="0.25">
      <c r="F59" s="288" t="s">
        <v>530</v>
      </c>
      <c r="G59" s="289">
        <f>AVERAGE(G52:G57)</f>
        <v>0.19055264887664194</v>
      </c>
      <c r="H59" s="289">
        <f>AVERAGE(H52:H57)</f>
        <v>6.341135491929481E-3</v>
      </c>
      <c r="Q59" s="120"/>
    </row>
    <row r="60" spans="4:17" x14ac:dyDescent="0.25">
      <c r="L60" s="31" t="s">
        <v>539</v>
      </c>
      <c r="M60" s="293">
        <f>SUM(M52:M57)/5</f>
        <v>-9.5827898968861795E-3</v>
      </c>
      <c r="N60" s="293" t="s">
        <v>540</v>
      </c>
      <c r="O60" s="294">
        <f>AVERAGE(O52:O57)</f>
        <v>9.844689218428572E-2</v>
      </c>
      <c r="Q60" s="120"/>
    </row>
    <row r="61" spans="4:17" ht="18" x14ac:dyDescent="0.35">
      <c r="G61" s="15">
        <f>G59*G48+H59*H48</f>
        <v>9.8446892184285706E-2</v>
      </c>
      <c r="P61" t="s">
        <v>541</v>
      </c>
      <c r="Q61" s="120">
        <f>SUM(Q52:Q57)/5</f>
        <v>4.2279508166562438E-2</v>
      </c>
    </row>
    <row r="62" spans="4:17" x14ac:dyDescent="0.25">
      <c r="L62" s="295" t="s">
        <v>141</v>
      </c>
      <c r="M62" s="296">
        <f>M60/(O36*Q36)</f>
        <v>-0.57325251812495948</v>
      </c>
      <c r="N62" s="296"/>
    </row>
    <row r="63" spans="4:17" ht="22.5" x14ac:dyDescent="0.4">
      <c r="P63" s="297" t="s">
        <v>542</v>
      </c>
      <c r="Q63" s="298">
        <f>SQRT(Q61)</f>
        <v>0.2056198146253479</v>
      </c>
    </row>
    <row r="64" spans="4:17" x14ac:dyDescent="0.25">
      <c r="L64" s="295" t="s">
        <v>141</v>
      </c>
      <c r="M64" s="296">
        <f>CORREL(G52:G57,H52:H57)</f>
        <v>-0.57325251812495936</v>
      </c>
      <c r="N64" s="296"/>
    </row>
    <row r="65" spans="1:18" x14ac:dyDescent="0.25">
      <c r="A65" s="30" t="s">
        <v>111</v>
      </c>
    </row>
    <row r="66" spans="1:18" ht="15.75" thickBot="1" x14ac:dyDescent="0.3"/>
    <row r="67" spans="1:18" x14ac:dyDescent="0.25">
      <c r="B67" s="34" t="s">
        <v>112</v>
      </c>
      <c r="C67" s="35" t="s">
        <v>113</v>
      </c>
      <c r="D67" s="35" t="s">
        <v>114</v>
      </c>
      <c r="E67" s="35" t="s">
        <v>115</v>
      </c>
      <c r="F67" s="35"/>
      <c r="G67" s="36"/>
      <c r="H67" s="37"/>
      <c r="L67" t="s">
        <v>543</v>
      </c>
      <c r="M67">
        <f>_xlfn.COVARIANCE.S(G52:G57,H52:H57)</f>
        <v>-9.5827898968861795E-3</v>
      </c>
    </row>
    <row r="68" spans="1:18" x14ac:dyDescent="0.25">
      <c r="B68" s="38" t="s">
        <v>116</v>
      </c>
      <c r="C68" s="39">
        <v>7.0000000000000007E-2</v>
      </c>
      <c r="D68" s="39">
        <v>0.08</v>
      </c>
      <c r="E68" s="39">
        <v>0.06</v>
      </c>
      <c r="F68" s="39"/>
      <c r="H68" s="40"/>
    </row>
    <row r="69" spans="1:18" x14ac:dyDescent="0.25">
      <c r="B69" s="38" t="s">
        <v>117</v>
      </c>
      <c r="C69" s="39">
        <v>0.12</v>
      </c>
      <c r="D69" s="39">
        <v>0.15</v>
      </c>
      <c r="E69" s="39">
        <v>0.11</v>
      </c>
      <c r="F69" s="39"/>
      <c r="H69" s="40"/>
    </row>
    <row r="70" spans="1:18" x14ac:dyDescent="0.25">
      <c r="B70" s="38" t="s">
        <v>118</v>
      </c>
      <c r="C70" s="39">
        <v>0.04</v>
      </c>
      <c r="D70" s="39">
        <v>0.03</v>
      </c>
      <c r="E70" s="39">
        <v>0.04</v>
      </c>
      <c r="F70" s="39"/>
      <c r="H70" s="40"/>
    </row>
    <row r="71" spans="1:18" x14ac:dyDescent="0.25">
      <c r="B71" s="41"/>
      <c r="C71" s="42"/>
      <c r="D71" s="43"/>
      <c r="E71" s="43"/>
      <c r="F71" s="44"/>
      <c r="H71" s="40"/>
    </row>
    <row r="72" spans="1:18" x14ac:dyDescent="0.25">
      <c r="B72" s="45"/>
      <c r="C72" s="46"/>
      <c r="D72" s="46"/>
      <c r="E72" s="46"/>
      <c r="F72" s="46"/>
      <c r="H72" s="40"/>
    </row>
    <row r="73" spans="1:18" x14ac:dyDescent="0.25">
      <c r="B73" s="45" t="s">
        <v>119</v>
      </c>
      <c r="C73" s="46"/>
      <c r="D73" s="46"/>
      <c r="E73" s="46"/>
      <c r="F73" s="46"/>
      <c r="H73" s="40"/>
    </row>
    <row r="74" spans="1:18" ht="15.75" thickBot="1" x14ac:dyDescent="0.3">
      <c r="B74" s="47" t="s">
        <v>120</v>
      </c>
      <c r="C74" s="48"/>
      <c r="D74" s="48"/>
      <c r="E74" s="48"/>
      <c r="F74" s="48"/>
      <c r="G74" s="49"/>
      <c r="H74" s="50"/>
    </row>
    <row r="76" spans="1:18" x14ac:dyDescent="0.25">
      <c r="F76" s="44">
        <v>0.5</v>
      </c>
      <c r="G76" s="44">
        <v>0.5</v>
      </c>
    </row>
    <row r="77" spans="1:18" x14ac:dyDescent="0.25">
      <c r="D77" s="299" t="s">
        <v>112</v>
      </c>
      <c r="E77" s="300" t="s">
        <v>113</v>
      </c>
      <c r="F77" s="300" t="s">
        <v>114</v>
      </c>
      <c r="G77" s="300" t="s">
        <v>115</v>
      </c>
      <c r="H77" s="300" t="s">
        <v>544</v>
      </c>
      <c r="I77" s="300" t="s">
        <v>545</v>
      </c>
      <c r="J77" s="300" t="s">
        <v>546</v>
      </c>
      <c r="K77" s="300" t="s">
        <v>547</v>
      </c>
      <c r="M77" s="300" t="s">
        <v>548</v>
      </c>
      <c r="N77" s="300" t="s">
        <v>549</v>
      </c>
      <c r="O77" s="300" t="s">
        <v>550</v>
      </c>
      <c r="P77" s="300" t="s">
        <v>551</v>
      </c>
    </row>
    <row r="78" spans="1:18" x14ac:dyDescent="0.25">
      <c r="D78" s="301" t="s">
        <v>116</v>
      </c>
      <c r="E78" s="39">
        <v>7.0000000000000007E-2</v>
      </c>
      <c r="F78" s="39">
        <v>0.08</v>
      </c>
      <c r="G78" s="39">
        <v>0.06</v>
      </c>
      <c r="H78" s="39">
        <f>F78-F82</f>
        <v>-6.666666666666668E-3</v>
      </c>
      <c r="I78" s="302">
        <f>H78^2</f>
        <v>4.444444444444446E-5</v>
      </c>
      <c r="J78" s="39">
        <f>G78-G82</f>
        <v>-9.999999999999995E-3</v>
      </c>
      <c r="K78" s="302">
        <f>J78^2</f>
        <v>9.9999999999999896E-5</v>
      </c>
      <c r="M78" s="39">
        <f>SUMPRODUCT($F$76:$G$76,F78:G78)</f>
        <v>7.0000000000000007E-2</v>
      </c>
      <c r="N78" s="39">
        <f>M78-M82</f>
        <v>-8.3333333333333315E-3</v>
      </c>
      <c r="O78" s="302">
        <f>N78^2</f>
        <v>6.9444444444444417E-5</v>
      </c>
      <c r="P78" s="302">
        <f>H78*J78</f>
        <v>6.6666666666666643E-5</v>
      </c>
    </row>
    <row r="79" spans="1:18" x14ac:dyDescent="0.25">
      <c r="D79" s="301" t="s">
        <v>117</v>
      </c>
      <c r="E79" s="39">
        <v>0.12</v>
      </c>
      <c r="F79" s="39">
        <v>0.15</v>
      </c>
      <c r="G79" s="39">
        <v>0.11</v>
      </c>
      <c r="H79" s="39">
        <f>F79-F82</f>
        <v>6.3333333333333325E-2</v>
      </c>
      <c r="I79" s="302">
        <f t="shared" ref="I79:I80" si="14">H79^2</f>
        <v>4.0111111111111103E-3</v>
      </c>
      <c r="J79" s="39">
        <f>G79-G82</f>
        <v>4.0000000000000008E-2</v>
      </c>
      <c r="K79" s="302">
        <f t="shared" ref="K79:K80" si="15">J79^2</f>
        <v>1.6000000000000007E-3</v>
      </c>
      <c r="M79" s="39">
        <f t="shared" ref="M79:M80" si="16">SUMPRODUCT($F$76:$G$76,F79:G79)</f>
        <v>0.13</v>
      </c>
      <c r="N79" s="39">
        <f>M79-M82</f>
        <v>5.1666666666666666E-2</v>
      </c>
      <c r="O79" s="302">
        <f t="shared" ref="O79:O80" si="17">N79^2</f>
        <v>2.6694444444444443E-3</v>
      </c>
      <c r="P79" s="302">
        <f t="shared" ref="P79:P80" si="18">H79*J79</f>
        <v>2.5333333333333336E-3</v>
      </c>
      <c r="Q79" s="39"/>
      <c r="R79" s="39"/>
    </row>
    <row r="80" spans="1:18" ht="16.5" x14ac:dyDescent="0.35">
      <c r="D80" s="301" t="s">
        <v>118</v>
      </c>
      <c r="E80" s="39">
        <v>0.04</v>
      </c>
      <c r="F80" s="39">
        <v>0.03</v>
      </c>
      <c r="G80" s="39">
        <v>0.04</v>
      </c>
      <c r="H80" s="39">
        <f>F80-F82</f>
        <v>-5.6666666666666671E-2</v>
      </c>
      <c r="I80" s="303">
        <f t="shared" si="14"/>
        <v>3.2111111111111116E-3</v>
      </c>
      <c r="J80" s="39">
        <f>G80-G82</f>
        <v>-2.9999999999999992E-2</v>
      </c>
      <c r="K80" s="303">
        <f t="shared" si="15"/>
        <v>8.9999999999999954E-4</v>
      </c>
      <c r="M80" s="39">
        <f t="shared" si="16"/>
        <v>3.5000000000000003E-2</v>
      </c>
      <c r="N80" s="39">
        <f>M80-M82</f>
        <v>-4.3333333333333335E-2</v>
      </c>
      <c r="O80" s="303">
        <f t="shared" si="17"/>
        <v>1.8777777777777779E-3</v>
      </c>
      <c r="P80" s="303">
        <f t="shared" si="18"/>
        <v>1.6999999999999997E-3</v>
      </c>
      <c r="Q80" s="39"/>
      <c r="R80" s="39"/>
    </row>
    <row r="81" spans="2:18" x14ac:dyDescent="0.25">
      <c r="D81" s="301"/>
      <c r="E81" s="39"/>
      <c r="F81" s="39"/>
      <c r="G81" s="39"/>
      <c r="H81" s="301"/>
      <c r="I81" s="39"/>
      <c r="J81" s="39"/>
      <c r="K81" s="39"/>
      <c r="L81" s="301"/>
      <c r="M81" s="39"/>
      <c r="N81" s="39"/>
      <c r="O81" s="39"/>
      <c r="P81" s="302"/>
      <c r="Q81" s="39"/>
      <c r="R81" s="39"/>
    </row>
    <row r="82" spans="2:18" x14ac:dyDescent="0.25">
      <c r="D82" s="301"/>
      <c r="E82" s="304" t="s">
        <v>552</v>
      </c>
      <c r="F82" s="304">
        <f>AVERAGE(F78:F80)</f>
        <v>8.666666666666667E-2</v>
      </c>
      <c r="G82" s="304">
        <f>AVERAGE(G78:G80)</f>
        <v>6.9999999999999993E-2</v>
      </c>
      <c r="H82" s="301"/>
      <c r="I82" s="39"/>
      <c r="J82" s="39"/>
      <c r="K82" s="39"/>
      <c r="L82" s="304" t="s">
        <v>552</v>
      </c>
      <c r="M82" s="43">
        <f>AVERAGE(M78:M80)</f>
        <v>7.8333333333333338E-2</v>
      </c>
      <c r="N82" s="39"/>
      <c r="O82" s="39"/>
      <c r="P82" s="302"/>
      <c r="Q82" s="39"/>
      <c r="R82" s="39"/>
    </row>
    <row r="83" spans="2:18" ht="16.5" x14ac:dyDescent="0.35">
      <c r="D83" s="301"/>
      <c r="E83" s="39"/>
      <c r="F83" s="39"/>
      <c r="G83" s="39"/>
      <c r="H83" s="301" t="s">
        <v>553</v>
      </c>
      <c r="I83" s="305">
        <f>SUM(I78:I80)/2</f>
        <v>3.633333333333333E-3</v>
      </c>
      <c r="J83" s="301" t="s">
        <v>554</v>
      </c>
      <c r="K83" s="305">
        <f>SUM(K78:K80)/2</f>
        <v>1.2999999999999999E-3</v>
      </c>
      <c r="L83" s="301"/>
      <c r="M83" s="39"/>
      <c r="N83" s="301" t="s">
        <v>555</v>
      </c>
      <c r="O83" s="305">
        <f>SUM(O78:O80)/2</f>
        <v>2.3083333333333332E-3</v>
      </c>
      <c r="P83" s="303"/>
      <c r="Q83" s="39"/>
      <c r="R83" s="39"/>
    </row>
    <row r="84" spans="2:18" x14ac:dyDescent="0.25">
      <c r="D84" s="301"/>
      <c r="E84" s="39"/>
      <c r="F84" s="39"/>
      <c r="G84" s="39"/>
      <c r="J84" s="39"/>
      <c r="K84" s="39"/>
      <c r="L84" s="301"/>
      <c r="M84" s="39"/>
      <c r="N84" s="39"/>
      <c r="O84" s="39"/>
      <c r="P84" s="302"/>
      <c r="Q84" s="39"/>
      <c r="R84" s="39"/>
    </row>
    <row r="85" spans="2:18" x14ac:dyDescent="0.25">
      <c r="D85" s="301"/>
      <c r="E85" s="39"/>
      <c r="F85" s="39"/>
      <c r="G85" s="39"/>
      <c r="L85" s="301"/>
      <c r="M85" s="39"/>
      <c r="N85" s="39"/>
      <c r="O85" s="39"/>
      <c r="P85" s="302">
        <f>SUM(P78:P80)/2</f>
        <v>2.15E-3</v>
      </c>
      <c r="Q85" s="39"/>
      <c r="R85" s="39"/>
    </row>
    <row r="86" spans="2:18" ht="16.5" x14ac:dyDescent="0.35">
      <c r="D86" s="301"/>
      <c r="E86" s="304" t="s">
        <v>556</v>
      </c>
      <c r="F86" s="43">
        <f>AVERAGE(F82:G82)</f>
        <v>7.8333333333333338E-2</v>
      </c>
      <c r="G86" s="39"/>
      <c r="L86" s="301"/>
      <c r="M86" s="39"/>
      <c r="N86" s="39"/>
      <c r="O86" s="39"/>
      <c r="P86" s="303"/>
      <c r="Q86" s="306" t="s">
        <v>141</v>
      </c>
      <c r="R86" s="307">
        <f>P85/(I87*K87)</f>
        <v>0.98926845793398832</v>
      </c>
    </row>
    <row r="87" spans="2:18" ht="18.75" x14ac:dyDescent="0.35">
      <c r="D87" s="301"/>
      <c r="E87" s="39"/>
      <c r="F87" s="39"/>
      <c r="G87" s="39"/>
      <c r="H87" s="308" t="s">
        <v>557</v>
      </c>
      <c r="I87" s="309">
        <f>SQRT(I83)</f>
        <v>6.0277137733417079E-2</v>
      </c>
      <c r="J87" s="308" t="s">
        <v>558</v>
      </c>
      <c r="K87" s="309">
        <f>SQRT(K83)</f>
        <v>3.605551275463989E-2</v>
      </c>
      <c r="L87" s="301"/>
      <c r="M87" s="39"/>
      <c r="N87" s="308" t="s">
        <v>559</v>
      </c>
      <c r="O87" s="52">
        <f>SQRT(O83)</f>
        <v>4.8045117684665246E-2</v>
      </c>
      <c r="P87" s="302"/>
      <c r="Q87" s="39"/>
      <c r="R87" s="39"/>
    </row>
    <row r="88" spans="2:18" x14ac:dyDescent="0.25">
      <c r="D88" s="301"/>
      <c r="E88" s="39"/>
      <c r="F88" s="39"/>
      <c r="G88" s="39"/>
      <c r="H88" s="310" t="s">
        <v>560</v>
      </c>
      <c r="I88" s="311">
        <f>_xlfn.STDEV.S(F78:F80)</f>
        <v>6.0277137733417072E-2</v>
      </c>
      <c r="J88" s="310" t="s">
        <v>560</v>
      </c>
      <c r="K88" s="311">
        <f>_xlfn.STDEV.S(G78:G80)</f>
        <v>3.6055512754639904E-2</v>
      </c>
      <c r="L88" s="301"/>
      <c r="M88" s="39"/>
      <c r="N88" s="310" t="s">
        <v>560</v>
      </c>
      <c r="O88" s="311">
        <f>_xlfn.STDEV.S(M78:M80)</f>
        <v>4.8045117684665253E-2</v>
      </c>
      <c r="P88" s="301"/>
      <c r="Q88" s="39"/>
      <c r="R88" s="39"/>
    </row>
    <row r="89" spans="2:18" x14ac:dyDescent="0.25">
      <c r="B89" t="s">
        <v>146</v>
      </c>
      <c r="D89" s="301"/>
      <c r="E89" s="39"/>
      <c r="F89" s="39"/>
      <c r="G89" s="39"/>
      <c r="H89" s="301"/>
      <c r="I89" s="39"/>
      <c r="J89" s="39"/>
      <c r="K89" s="39"/>
      <c r="L89" s="301"/>
      <c r="M89" s="39"/>
      <c r="N89" s="39"/>
      <c r="O89" s="39"/>
      <c r="P89" s="301"/>
      <c r="Q89" s="39"/>
      <c r="R89" s="39"/>
    </row>
    <row r="90" spans="2:18" ht="15.75" thickBot="1" x14ac:dyDescent="0.3">
      <c r="N90" s="312" t="s">
        <v>561</v>
      </c>
    </row>
    <row r="91" spans="2:18" x14ac:dyDescent="0.25">
      <c r="B91" s="34" t="s">
        <v>112</v>
      </c>
      <c r="C91" s="35" t="s">
        <v>113</v>
      </c>
      <c r="D91" s="35" t="s">
        <v>114</v>
      </c>
      <c r="E91" s="35" t="s">
        <v>115</v>
      </c>
      <c r="F91" s="36"/>
      <c r="G91" s="36"/>
      <c r="H91" s="37"/>
    </row>
    <row r="92" spans="2:18" x14ac:dyDescent="0.25">
      <c r="B92" s="38" t="s">
        <v>116</v>
      </c>
      <c r="C92" s="39">
        <v>7.0000000000000007E-2</v>
      </c>
      <c r="D92" s="39">
        <v>0.08</v>
      </c>
      <c r="E92" s="39">
        <v>0.06</v>
      </c>
      <c r="H92" s="40"/>
    </row>
    <row r="93" spans="2:18" x14ac:dyDescent="0.25">
      <c r="B93" s="38" t="s">
        <v>117</v>
      </c>
      <c r="C93" s="39">
        <v>0.12</v>
      </c>
      <c r="D93" s="39">
        <v>0.03</v>
      </c>
      <c r="E93" s="39">
        <v>0.11</v>
      </c>
      <c r="H93" s="40"/>
    </row>
    <row r="94" spans="2:18" x14ac:dyDescent="0.25">
      <c r="B94" s="38" t="s">
        <v>118</v>
      </c>
      <c r="C94" s="39">
        <v>0.04</v>
      </c>
      <c r="D94" s="39">
        <v>0.13</v>
      </c>
      <c r="E94" s="39">
        <v>0.04</v>
      </c>
      <c r="H94" s="40"/>
    </row>
    <row r="95" spans="2:18" x14ac:dyDescent="0.25">
      <c r="B95" s="54"/>
      <c r="H95" s="40"/>
    </row>
    <row r="96" spans="2:18" x14ac:dyDescent="0.25">
      <c r="B96" s="45" t="s">
        <v>119</v>
      </c>
      <c r="C96" s="46"/>
      <c r="H96" s="40"/>
    </row>
    <row r="97" spans="2:19" ht="15.75" thickBot="1" x14ac:dyDescent="0.3">
      <c r="B97" s="47" t="s">
        <v>120</v>
      </c>
      <c r="C97" s="48"/>
      <c r="D97" s="49"/>
      <c r="E97" s="49"/>
      <c r="F97" s="49"/>
      <c r="G97" s="49"/>
      <c r="H97" s="50"/>
    </row>
    <row r="99" spans="2:19" x14ac:dyDescent="0.25">
      <c r="F99" s="44">
        <v>0.5</v>
      </c>
      <c r="G99" s="44">
        <v>0.5</v>
      </c>
    </row>
    <row r="100" spans="2:19" x14ac:dyDescent="0.25">
      <c r="D100" s="299" t="s">
        <v>112</v>
      </c>
      <c r="E100" s="300" t="s">
        <v>113</v>
      </c>
      <c r="F100" s="300" t="s">
        <v>114</v>
      </c>
      <c r="G100" s="300" t="s">
        <v>115</v>
      </c>
      <c r="H100" s="300" t="s">
        <v>544</v>
      </c>
      <c r="I100" s="300" t="s">
        <v>545</v>
      </c>
      <c r="J100" s="300" t="s">
        <v>546</v>
      </c>
      <c r="K100" s="300" t="s">
        <v>547</v>
      </c>
      <c r="M100" s="300" t="s">
        <v>548</v>
      </c>
      <c r="N100" s="300" t="s">
        <v>549</v>
      </c>
      <c r="O100" s="300" t="s">
        <v>550</v>
      </c>
      <c r="P100" s="300" t="s">
        <v>551</v>
      </c>
    </row>
    <row r="101" spans="2:19" x14ac:dyDescent="0.25">
      <c r="D101" s="301" t="s">
        <v>116</v>
      </c>
      <c r="E101" s="39">
        <v>7.0000000000000007E-2</v>
      </c>
      <c r="F101" s="39">
        <v>0.08</v>
      </c>
      <c r="G101" s="39">
        <v>0.06</v>
      </c>
      <c r="H101" s="39">
        <f>F101-F105</f>
        <v>0</v>
      </c>
      <c r="I101" s="302">
        <f>H101^2</f>
        <v>0</v>
      </c>
      <c r="J101" s="39">
        <f>G101-G105</f>
        <v>-9.999999999999995E-3</v>
      </c>
      <c r="K101" s="302">
        <f>J101^2</f>
        <v>9.9999999999999896E-5</v>
      </c>
      <c r="M101" s="51">
        <f>SUMPRODUCT($F$99:$G$99,F101:G101)</f>
        <v>7.0000000000000007E-2</v>
      </c>
      <c r="N101" s="39">
        <f>M101-M105</f>
        <v>-5.0000000000000044E-3</v>
      </c>
      <c r="O101" s="302">
        <f>N101^2</f>
        <v>2.5000000000000045E-5</v>
      </c>
      <c r="P101" s="302">
        <f>H101*J101</f>
        <v>0</v>
      </c>
    </row>
    <row r="102" spans="2:19" x14ac:dyDescent="0.25">
      <c r="D102" s="301" t="s">
        <v>117</v>
      </c>
      <c r="E102" s="39">
        <v>0.12</v>
      </c>
      <c r="F102" s="39">
        <v>0.03</v>
      </c>
      <c r="G102" s="39">
        <v>0.11</v>
      </c>
      <c r="H102" s="39">
        <f>F102-F105</f>
        <v>-0.05</v>
      </c>
      <c r="I102" s="302">
        <f t="shared" ref="I102:I103" si="19">H102^2</f>
        <v>2.5000000000000005E-3</v>
      </c>
      <c r="J102" s="39">
        <f>G102-G105</f>
        <v>4.0000000000000008E-2</v>
      </c>
      <c r="K102" s="302">
        <f t="shared" ref="K102:K103" si="20">J102^2</f>
        <v>1.6000000000000007E-3</v>
      </c>
      <c r="M102" s="51">
        <f>SUMPRODUCT($F$99:$G$99,F102:G102)</f>
        <v>7.0000000000000007E-2</v>
      </c>
      <c r="N102" s="39">
        <f>M102-M105</f>
        <v>-5.0000000000000044E-3</v>
      </c>
      <c r="O102" s="302">
        <f t="shared" ref="O102:O103" si="21">N102^2</f>
        <v>2.5000000000000045E-5</v>
      </c>
      <c r="P102" s="302">
        <f t="shared" ref="P102:P103" si="22">H102*J102</f>
        <v>-2.0000000000000005E-3</v>
      </c>
      <c r="Q102" s="39"/>
      <c r="R102" s="39"/>
    </row>
    <row r="103" spans="2:19" ht="16.5" x14ac:dyDescent="0.35">
      <c r="D103" s="301" t="s">
        <v>118</v>
      </c>
      <c r="E103" s="39">
        <v>0.04</v>
      </c>
      <c r="F103" s="39">
        <v>0.13</v>
      </c>
      <c r="G103" s="39">
        <v>0.04</v>
      </c>
      <c r="H103" s="39">
        <f>F103-F105</f>
        <v>0.05</v>
      </c>
      <c r="I103" s="303">
        <f t="shared" si="19"/>
        <v>2.5000000000000005E-3</v>
      </c>
      <c r="J103" s="39">
        <f>G103-G105</f>
        <v>-2.9999999999999992E-2</v>
      </c>
      <c r="K103" s="303">
        <f t="shared" si="20"/>
        <v>8.9999999999999954E-4</v>
      </c>
      <c r="M103" s="51">
        <f t="shared" ref="M103" si="23">SUMPRODUCT($F$99:$G$99,F103:G103)</f>
        <v>8.5000000000000006E-2</v>
      </c>
      <c r="N103" s="39">
        <f>M103-M105</f>
        <v>9.999999999999995E-3</v>
      </c>
      <c r="O103" s="303">
        <f t="shared" si="21"/>
        <v>9.9999999999999896E-5</v>
      </c>
      <c r="P103" s="303">
        <f t="shared" si="22"/>
        <v>-1.4999999999999996E-3</v>
      </c>
      <c r="Q103" s="39"/>
    </row>
    <row r="104" spans="2:19" x14ac:dyDescent="0.25">
      <c r="D104" s="301"/>
      <c r="E104" s="39"/>
      <c r="F104" s="39"/>
      <c r="G104" s="39"/>
      <c r="H104" s="301"/>
      <c r="I104" s="39"/>
      <c r="J104" s="39"/>
      <c r="K104" s="39"/>
      <c r="L104" s="301"/>
      <c r="M104" s="39"/>
      <c r="N104" s="39"/>
      <c r="O104" s="39"/>
      <c r="P104" s="302"/>
      <c r="Q104" s="39"/>
      <c r="R104" s="39"/>
    </row>
    <row r="105" spans="2:19" x14ac:dyDescent="0.25">
      <c r="D105" s="301"/>
      <c r="E105" s="304" t="s">
        <v>552</v>
      </c>
      <c r="F105" s="304">
        <f>AVERAGE(F101:F103)</f>
        <v>0.08</v>
      </c>
      <c r="G105" s="304">
        <f>AVERAGE(G101:G103)</f>
        <v>6.9999999999999993E-2</v>
      </c>
      <c r="H105" s="301"/>
      <c r="I105" s="39"/>
      <c r="J105" s="39"/>
      <c r="K105" s="39"/>
      <c r="L105" s="304" t="s">
        <v>552</v>
      </c>
      <c r="M105" s="43">
        <f>AVERAGE(M101:M103)</f>
        <v>7.5000000000000011E-2</v>
      </c>
      <c r="N105" s="39"/>
      <c r="O105" s="39"/>
      <c r="P105" s="302"/>
      <c r="Q105" s="39"/>
      <c r="R105" s="39"/>
    </row>
    <row r="106" spans="2:19" ht="16.5" x14ac:dyDescent="0.35">
      <c r="D106" s="301"/>
      <c r="E106" s="39"/>
      <c r="F106" s="39"/>
      <c r="G106" s="39"/>
      <c r="H106" s="301" t="s">
        <v>553</v>
      </c>
      <c r="I106" s="305">
        <f>SUM(I101:I103)/2</f>
        <v>2.5000000000000005E-3</v>
      </c>
      <c r="J106" s="301" t="s">
        <v>554</v>
      </c>
      <c r="K106" s="305">
        <f>SUM(K101:K103)/2</f>
        <v>1.2999999999999999E-3</v>
      </c>
      <c r="L106" s="301"/>
      <c r="M106" s="39"/>
      <c r="N106" s="301" t="s">
        <v>555</v>
      </c>
      <c r="O106" s="305">
        <f>SUM(O101:O103)/2</f>
        <v>7.4999999999999993E-5</v>
      </c>
      <c r="P106" s="303"/>
      <c r="Q106" s="39"/>
      <c r="R106" s="39"/>
    </row>
    <row r="107" spans="2:19" x14ac:dyDescent="0.25">
      <c r="D107" s="301"/>
      <c r="E107" s="39"/>
      <c r="F107" s="39"/>
      <c r="G107" s="39"/>
      <c r="J107" s="39"/>
      <c r="K107" s="39"/>
      <c r="L107" s="301"/>
      <c r="M107" s="39"/>
      <c r="N107" s="39"/>
      <c r="O107" s="39"/>
      <c r="P107" s="302"/>
      <c r="Q107" s="39"/>
      <c r="R107" s="39"/>
    </row>
    <row r="108" spans="2:19" x14ac:dyDescent="0.25">
      <c r="D108" s="301"/>
      <c r="E108" s="39"/>
      <c r="F108" s="39"/>
      <c r="G108" s="39"/>
      <c r="L108" s="301"/>
      <c r="M108" s="39"/>
      <c r="N108" s="39"/>
      <c r="O108" s="39"/>
      <c r="P108" s="302">
        <f>SUM(P101:P103)/2</f>
        <v>-1.75E-3</v>
      </c>
      <c r="Q108" s="39"/>
      <c r="R108" s="39"/>
    </row>
    <row r="109" spans="2:19" ht="16.5" x14ac:dyDescent="0.35">
      <c r="D109" s="301"/>
      <c r="E109" s="304" t="s">
        <v>556</v>
      </c>
      <c r="F109" s="43">
        <f>AVERAGE(F105:G105)</f>
        <v>7.4999999999999997E-2</v>
      </c>
      <c r="G109" s="39"/>
      <c r="L109" s="301"/>
      <c r="M109" s="39"/>
      <c r="N109" s="39"/>
      <c r="O109" s="39"/>
      <c r="P109" s="303"/>
      <c r="Q109" s="306" t="s">
        <v>141</v>
      </c>
      <c r="R109" s="307">
        <f>P108/(I110*K110)</f>
        <v>-0.97072534339415106</v>
      </c>
      <c r="S109" s="52">
        <f>CORREL(F101:F103,G101:G103)</f>
        <v>-0.97072534339415095</v>
      </c>
    </row>
    <row r="110" spans="2:19" ht="18.75" x14ac:dyDescent="0.35">
      <c r="D110" s="301"/>
      <c r="E110" s="39"/>
      <c r="F110" s="39"/>
      <c r="G110" s="39"/>
      <c r="H110" s="308" t="s">
        <v>557</v>
      </c>
      <c r="I110" s="309">
        <f>SQRT(I106)</f>
        <v>0.05</v>
      </c>
      <c r="J110" s="308" t="s">
        <v>558</v>
      </c>
      <c r="K110" s="309">
        <f>SQRT(K106)</f>
        <v>3.605551275463989E-2</v>
      </c>
      <c r="L110" s="301"/>
      <c r="M110" s="39"/>
      <c r="N110" s="313" t="s">
        <v>559</v>
      </c>
      <c r="O110" s="314">
        <f>SQRT(O106)</f>
        <v>8.6602540378443865E-3</v>
      </c>
      <c r="P110" s="302"/>
      <c r="Q110" s="39"/>
      <c r="R110" s="39"/>
    </row>
    <row r="111" spans="2:19" x14ac:dyDescent="0.25">
      <c r="D111" s="301"/>
      <c r="E111" s="39"/>
      <c r="F111" s="39"/>
      <c r="G111" s="39"/>
      <c r="H111" s="310" t="s">
        <v>560</v>
      </c>
      <c r="I111" s="311">
        <f>_xlfn.STDEV.S(F101:F103)</f>
        <v>5.0000000000000024E-2</v>
      </c>
      <c r="J111" s="310" t="s">
        <v>560</v>
      </c>
      <c r="K111" s="311">
        <f>_xlfn.STDEV.S(G101:G103)</f>
        <v>3.6055512754639904E-2</v>
      </c>
      <c r="L111" s="301"/>
      <c r="M111" s="39"/>
      <c r="N111" s="310" t="s">
        <v>560</v>
      </c>
      <c r="O111" s="311">
        <f>_xlfn.STDEV.S(M101:M103)</f>
        <v>8.6602540378443865E-3</v>
      </c>
      <c r="P111" s="301"/>
      <c r="Q111" s="39"/>
      <c r="R111" s="39"/>
    </row>
    <row r="112" spans="2:19" x14ac:dyDescent="0.25">
      <c r="D112" s="301"/>
      <c r="E112" s="39"/>
      <c r="F112" s="39"/>
      <c r="G112" s="39"/>
      <c r="H112" s="301"/>
      <c r="I112" s="39"/>
      <c r="J112" s="39"/>
      <c r="K112" s="39"/>
      <c r="L112" s="301"/>
      <c r="M112" s="39"/>
      <c r="N112" s="39"/>
      <c r="O112" s="39"/>
      <c r="P112" s="301"/>
      <c r="Q112" s="39"/>
      <c r="R112" s="39"/>
    </row>
    <row r="113" spans="2:15" ht="15.75" thickBot="1" x14ac:dyDescent="0.3">
      <c r="N113" s="312" t="s">
        <v>562</v>
      </c>
    </row>
    <row r="114" spans="2:15" x14ac:dyDescent="0.25">
      <c r="C114" s="151"/>
      <c r="D114" s="151" t="s">
        <v>114</v>
      </c>
      <c r="E114" s="151" t="s">
        <v>115</v>
      </c>
    </row>
    <row r="115" spans="2:15" x14ac:dyDescent="0.25">
      <c r="C115" t="s">
        <v>114</v>
      </c>
      <c r="D115">
        <f>VARP([1]Risk!$D$92:$D$94)</f>
        <v>1.6666666666666681E-3</v>
      </c>
      <c r="E115">
        <f>D116</f>
        <v>-1.16666666666667E-3</v>
      </c>
    </row>
    <row r="116" spans="2:15" ht="15.75" thickBot="1" x14ac:dyDescent="0.3">
      <c r="C116" s="49" t="s">
        <v>115</v>
      </c>
      <c r="D116" s="49">
        <v>-1.16666666666667E-3</v>
      </c>
      <c r="E116" s="49">
        <f>VARP([1]Risk!$E$92:$E$94)</f>
        <v>8.666666666666676E-4</v>
      </c>
    </row>
    <row r="117" spans="2:15" ht="15.75" thickBot="1" x14ac:dyDescent="0.3">
      <c r="I117" s="360" t="s">
        <v>160</v>
      </c>
      <c r="J117" s="361"/>
      <c r="K117" s="361"/>
      <c r="L117" s="361"/>
      <c r="M117" s="361"/>
      <c r="N117" s="361"/>
      <c r="O117" s="362"/>
    </row>
    <row r="118" spans="2:15" x14ac:dyDescent="0.25">
      <c r="I118" s="96"/>
      <c r="J118" s="31"/>
      <c r="K118" s="31"/>
      <c r="L118" s="31"/>
      <c r="M118" s="31"/>
      <c r="N118" s="31"/>
      <c r="O118" s="97"/>
    </row>
    <row r="119" spans="2:15" ht="15.75" thickBot="1" x14ac:dyDescent="0.3">
      <c r="B119" t="s">
        <v>563</v>
      </c>
      <c r="C119" cm="1">
        <f t="array" ref="C119:D119">MMULT(F99:G99,D115:E116)</f>
        <v>2.4999999999999903E-4</v>
      </c>
      <c r="D119">
        <v>-1.5000000000000121E-4</v>
      </c>
      <c r="I119" s="96"/>
      <c r="J119" s="31"/>
      <c r="K119" s="31"/>
      <c r="L119" s="31"/>
      <c r="M119" s="31"/>
      <c r="N119" s="31"/>
      <c r="O119" s="97"/>
    </row>
    <row r="120" spans="2:15" ht="18.75" thickBot="1" x14ac:dyDescent="0.4">
      <c r="I120" s="98" t="s">
        <v>161</v>
      </c>
      <c r="J120" s="99" t="s">
        <v>30</v>
      </c>
      <c r="K120" s="100" t="s">
        <v>162</v>
      </c>
      <c r="L120" s="99"/>
      <c r="M120" s="99"/>
      <c r="N120" s="99"/>
      <c r="O120" s="101"/>
    </row>
    <row r="121" spans="2:15" x14ac:dyDescent="0.25">
      <c r="B121" t="s">
        <v>256</v>
      </c>
      <c r="C121" s="104" cm="1">
        <f t="array" ref="C121">MMULT(_xlfn.ANCHORARRAY(C119),TRANSPOSE(F99:G99))</f>
        <v>4.9999999999998911E-5</v>
      </c>
    </row>
    <row r="122" spans="2:15" x14ac:dyDescent="0.25">
      <c r="B122" t="s">
        <v>257</v>
      </c>
      <c r="C122" s="104">
        <f>SQRT(C121)</f>
        <v>7.0710678118653982E-3</v>
      </c>
      <c r="E122" t="s">
        <v>564</v>
      </c>
      <c r="F122" s="15">
        <f>SUMPRODUCT(F99:G99,F105:G105)</f>
        <v>7.4999999999999997E-2</v>
      </c>
    </row>
    <row r="124" spans="2:15" x14ac:dyDescent="0.25">
      <c r="L124" s="314">
        <f>SQRT(0.5^2*I110^2+0.5^2*K110^2+2*0.5*0.5*R109*I110*K110)</f>
        <v>8.6602540378443917E-3</v>
      </c>
    </row>
    <row r="126" spans="2:15" x14ac:dyDescent="0.25">
      <c r="L126" t="s">
        <v>565</v>
      </c>
    </row>
  </sheetData>
  <mergeCells count="1">
    <mergeCell ref="I117:O11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3D82-D207-4005-B3BB-8C04D5B56AC1}">
  <dimension ref="B2:M58"/>
  <sheetViews>
    <sheetView workbookViewId="0">
      <selection activeCell="P19" sqref="P19"/>
    </sheetView>
  </sheetViews>
  <sheetFormatPr defaultRowHeight="15" x14ac:dyDescent="0.25"/>
  <cols>
    <col min="2" max="2" width="3.28515625" bestFit="1" customWidth="1"/>
    <col min="5" max="5" width="11.7109375" customWidth="1"/>
    <col min="6" max="6" width="11.7109375" bestFit="1" customWidth="1"/>
    <col min="11" max="11" width="12.140625" customWidth="1"/>
  </cols>
  <sheetData>
    <row r="2" spans="2:13" ht="15.75" thickBot="1" x14ac:dyDescent="0.3"/>
    <row r="3" spans="2:13" x14ac:dyDescent="0.25">
      <c r="B3" s="53" t="s">
        <v>128</v>
      </c>
      <c r="C3" s="36" t="s">
        <v>129</v>
      </c>
      <c r="D3" s="36"/>
      <c r="E3" s="36"/>
      <c r="F3" s="36"/>
      <c r="G3" s="36"/>
      <c r="H3" s="36"/>
      <c r="I3" s="36"/>
      <c r="J3" s="36"/>
      <c r="K3" s="36"/>
      <c r="L3" s="36"/>
      <c r="M3" s="37"/>
    </row>
    <row r="4" spans="2:13" x14ac:dyDescent="0.25">
      <c r="B4" s="54"/>
      <c r="M4" s="40"/>
    </row>
    <row r="5" spans="2:13" x14ac:dyDescent="0.25">
      <c r="B5" s="54"/>
      <c r="F5" s="4" t="s">
        <v>130</v>
      </c>
      <c r="M5" s="40"/>
    </row>
    <row r="6" spans="2:13" x14ac:dyDescent="0.25">
      <c r="B6" s="54"/>
      <c r="D6" t="s">
        <v>131</v>
      </c>
      <c r="F6" s="55">
        <v>400000</v>
      </c>
      <c r="M6" s="40"/>
    </row>
    <row r="7" spans="2:13" x14ac:dyDescent="0.25">
      <c r="B7" s="54"/>
      <c r="D7" t="s">
        <v>132</v>
      </c>
      <c r="F7" s="55">
        <v>600000</v>
      </c>
      <c r="M7" s="40"/>
    </row>
    <row r="8" spans="2:13" x14ac:dyDescent="0.25">
      <c r="B8" s="54"/>
      <c r="M8" s="40"/>
    </row>
    <row r="9" spans="2:13" x14ac:dyDescent="0.25">
      <c r="B9" s="54"/>
      <c r="C9" t="s">
        <v>133</v>
      </c>
      <c r="M9" s="40"/>
    </row>
    <row r="10" spans="2:13" x14ac:dyDescent="0.25">
      <c r="B10" s="54"/>
      <c r="M10" s="40"/>
    </row>
    <row r="11" spans="2:13" x14ac:dyDescent="0.25">
      <c r="B11" s="54"/>
      <c r="C11" t="s">
        <v>134</v>
      </c>
      <c r="M11" s="40"/>
    </row>
    <row r="12" spans="2:13" x14ac:dyDescent="0.25">
      <c r="B12" s="54"/>
      <c r="M12" s="40"/>
    </row>
    <row r="13" spans="2:13" x14ac:dyDescent="0.25">
      <c r="B13" s="54"/>
      <c r="C13" t="s">
        <v>73</v>
      </c>
      <c r="M13" s="40"/>
    </row>
    <row r="14" spans="2:13" x14ac:dyDescent="0.25">
      <c r="B14" s="54"/>
      <c r="M14" s="40"/>
    </row>
    <row r="15" spans="2:13" x14ac:dyDescent="0.25">
      <c r="B15" s="54"/>
      <c r="C15" t="s">
        <v>135</v>
      </c>
      <c r="M15" s="40"/>
    </row>
    <row r="16" spans="2:13" ht="15.75" thickBot="1" x14ac:dyDescent="0.3">
      <c r="B16" s="56"/>
      <c r="C16" s="49" t="s">
        <v>136</v>
      </c>
      <c r="D16" s="49"/>
      <c r="E16" s="49"/>
      <c r="F16" s="49"/>
      <c r="G16" s="49"/>
      <c r="H16" s="49"/>
      <c r="I16" s="49"/>
      <c r="J16" s="49"/>
      <c r="K16" s="49"/>
      <c r="L16" s="49"/>
      <c r="M16" s="50"/>
    </row>
    <row r="20" spans="5:11" s="4" customFormat="1" x14ac:dyDescent="0.25">
      <c r="E20" s="4" t="s">
        <v>127</v>
      </c>
      <c r="F20" s="4" t="s">
        <v>137</v>
      </c>
      <c r="G20" s="4" t="s">
        <v>138</v>
      </c>
      <c r="H20" s="4" t="s">
        <v>56</v>
      </c>
      <c r="I20" s="4" t="s">
        <v>124</v>
      </c>
    </row>
    <row r="21" spans="5:11" s="10" customFormat="1" x14ac:dyDescent="0.25">
      <c r="E21" s="10" t="s">
        <v>139</v>
      </c>
      <c r="F21" s="55">
        <v>400000</v>
      </c>
      <c r="G21" s="10">
        <f>F21/F23</f>
        <v>0.4</v>
      </c>
      <c r="H21" s="57">
        <v>0.16</v>
      </c>
      <c r="I21" s="57">
        <v>0.24</v>
      </c>
    </row>
    <row r="22" spans="5:11" s="10" customFormat="1" ht="17.25" x14ac:dyDescent="0.4">
      <c r="E22" s="10" t="s">
        <v>140</v>
      </c>
      <c r="F22" s="58">
        <v>600000</v>
      </c>
      <c r="G22" s="10">
        <f>F22/F23</f>
        <v>0.6</v>
      </c>
      <c r="H22" s="57">
        <v>0.08</v>
      </c>
      <c r="I22" s="57">
        <v>0.06</v>
      </c>
    </row>
    <row r="23" spans="5:11" s="10" customFormat="1" x14ac:dyDescent="0.25">
      <c r="F23" s="59">
        <f>F21+F22</f>
        <v>1000000</v>
      </c>
    </row>
    <row r="24" spans="5:11" s="10" customFormat="1" x14ac:dyDescent="0.25">
      <c r="H24" s="10" t="s">
        <v>141</v>
      </c>
      <c r="I24" s="10">
        <v>-0.28000000000000003</v>
      </c>
    </row>
    <row r="26" spans="5:11" ht="15.75" thickBot="1" x14ac:dyDescent="0.3"/>
    <row r="27" spans="5:11" x14ac:dyDescent="0.25">
      <c r="F27" s="60" t="s">
        <v>142</v>
      </c>
      <c r="G27" s="61">
        <f>SUMPRODUCT(G21:G22,H21:H22)</f>
        <v>0.112</v>
      </c>
      <c r="K27" s="62" t="s">
        <v>143</v>
      </c>
    </row>
    <row r="28" spans="5:11" x14ac:dyDescent="0.25">
      <c r="F28" s="54"/>
      <c r="G28" s="40"/>
    </row>
    <row r="29" spans="5:11" ht="15.75" thickBot="1" x14ac:dyDescent="0.3">
      <c r="F29" s="56" t="s">
        <v>144</v>
      </c>
      <c r="G29" s="63">
        <f>SQRT(G21^2*I21^2+G22^2*I22^2+2*G21*G22*I21*I22*I24)</f>
        <v>9.2610150631558752E-2</v>
      </c>
      <c r="K29" s="62" t="s">
        <v>145</v>
      </c>
    </row>
    <row r="36" spans="2:11" x14ac:dyDescent="0.25">
      <c r="B36" s="31" t="s">
        <v>146</v>
      </c>
      <c r="C36" t="s">
        <v>147</v>
      </c>
    </row>
    <row r="38" spans="2:11" ht="15.75" thickBot="1" x14ac:dyDescent="0.3"/>
    <row r="39" spans="2:11" s="10" customFormat="1" x14ac:dyDescent="0.25">
      <c r="D39" s="11" t="s">
        <v>112</v>
      </c>
      <c r="E39" s="10" t="s">
        <v>148</v>
      </c>
      <c r="F39" s="10" t="s">
        <v>149</v>
      </c>
      <c r="H39" s="64"/>
      <c r="I39" s="65"/>
      <c r="J39" s="65"/>
      <c r="K39" s="66"/>
    </row>
    <row r="40" spans="2:11" s="10" customFormat="1" x14ac:dyDescent="0.25">
      <c r="D40" s="11" t="s">
        <v>117</v>
      </c>
      <c r="E40" s="23">
        <v>0.25</v>
      </c>
      <c r="F40" s="57">
        <v>0.21</v>
      </c>
      <c r="H40" s="67" t="s">
        <v>150</v>
      </c>
      <c r="I40" s="68"/>
      <c r="J40" s="69" t="s">
        <v>151</v>
      </c>
      <c r="K40" s="70"/>
    </row>
    <row r="41" spans="2:11" s="10" customFormat="1" x14ac:dyDescent="0.25">
      <c r="D41" s="11" t="s">
        <v>116</v>
      </c>
      <c r="E41" s="23">
        <v>0.35</v>
      </c>
      <c r="F41" s="57">
        <v>0.14000000000000001</v>
      </c>
      <c r="H41" s="71"/>
      <c r="I41" s="68"/>
      <c r="J41" s="68"/>
      <c r="K41" s="70"/>
    </row>
    <row r="42" spans="2:11" s="10" customFormat="1" x14ac:dyDescent="0.25">
      <c r="D42" s="11" t="s">
        <v>118</v>
      </c>
      <c r="E42" s="23">
        <v>0.4</v>
      </c>
      <c r="F42" s="57">
        <v>7.0000000000000007E-2</v>
      </c>
      <c r="H42" s="67" t="s">
        <v>152</v>
      </c>
      <c r="I42" s="68"/>
      <c r="J42" s="69" t="s">
        <v>153</v>
      </c>
      <c r="K42" s="70"/>
    </row>
    <row r="43" spans="2:11" s="10" customFormat="1" ht="15.75" thickBot="1" x14ac:dyDescent="0.3">
      <c r="H43" s="72"/>
      <c r="I43" s="73"/>
      <c r="J43" s="73"/>
      <c r="K43" s="74"/>
    </row>
    <row r="49" spans="5:11" s="10" customFormat="1" x14ac:dyDescent="0.25">
      <c r="E49" s="4" t="s">
        <v>112</v>
      </c>
      <c r="F49" s="4" t="s">
        <v>148</v>
      </c>
      <c r="G49" s="4" t="s">
        <v>149</v>
      </c>
      <c r="H49" s="75" t="s">
        <v>154</v>
      </c>
      <c r="I49" s="4" t="s">
        <v>155</v>
      </c>
      <c r="J49" s="4" t="s">
        <v>156</v>
      </c>
      <c r="K49" s="4" t="s">
        <v>157</v>
      </c>
    </row>
    <row r="50" spans="5:11" s="10" customFormat="1" x14ac:dyDescent="0.25">
      <c r="E50" s="10" t="s">
        <v>117</v>
      </c>
      <c r="F50" s="23">
        <v>0.25</v>
      </c>
      <c r="G50" s="57">
        <v>0.21</v>
      </c>
      <c r="H50" s="76">
        <f>G50*F50</f>
        <v>5.2499999999999998E-2</v>
      </c>
      <c r="I50" s="77">
        <f>G50-$H$54</f>
        <v>8.0499999999999988E-2</v>
      </c>
      <c r="J50" s="10">
        <f>I50^2</f>
        <v>6.4802499999999982E-3</v>
      </c>
      <c r="K50" s="78">
        <f>J50*F50</f>
        <v>1.6200624999999995E-3</v>
      </c>
    </row>
    <row r="51" spans="5:11" s="10" customFormat="1" x14ac:dyDescent="0.25">
      <c r="E51" s="10" t="s">
        <v>116</v>
      </c>
      <c r="F51" s="23">
        <v>0.35</v>
      </c>
      <c r="G51" s="57">
        <v>0.14000000000000001</v>
      </c>
      <c r="H51" s="76">
        <f t="shared" ref="H51:H52" si="0">G51*F51</f>
        <v>4.9000000000000002E-2</v>
      </c>
      <c r="I51" s="77">
        <f t="shared" ref="I51:I52" si="1">G51-$H$54</f>
        <v>1.0500000000000009E-2</v>
      </c>
      <c r="J51" s="10">
        <f t="shared" ref="J51:J52" si="2">I51^2</f>
        <v>1.102500000000002E-4</v>
      </c>
      <c r="K51" s="78">
        <f t="shared" ref="K51:K52" si="3">J51*F51</f>
        <v>3.8587500000000071E-5</v>
      </c>
    </row>
    <row r="52" spans="5:11" s="10" customFormat="1" ht="17.25" x14ac:dyDescent="0.4">
      <c r="E52" s="10" t="s">
        <v>118</v>
      </c>
      <c r="F52" s="23">
        <v>0.4</v>
      </c>
      <c r="G52" s="57">
        <v>7.0000000000000007E-2</v>
      </c>
      <c r="H52" s="79">
        <f t="shared" si="0"/>
        <v>2.8000000000000004E-2</v>
      </c>
      <c r="I52" s="77">
        <f t="shared" si="1"/>
        <v>-5.9499999999999997E-2</v>
      </c>
      <c r="J52" s="10">
        <f t="shared" si="2"/>
        <v>3.5402499999999996E-3</v>
      </c>
      <c r="K52" s="80">
        <f t="shared" si="3"/>
        <v>1.4161E-3</v>
      </c>
    </row>
    <row r="53" spans="5:11" s="10" customFormat="1" x14ac:dyDescent="0.25">
      <c r="H53" s="81"/>
    </row>
    <row r="54" spans="5:11" s="10" customFormat="1" x14ac:dyDescent="0.25">
      <c r="H54" s="82">
        <f>SUM(H50:H52)</f>
        <v>0.1295</v>
      </c>
    </row>
    <row r="55" spans="5:11" s="10" customFormat="1" x14ac:dyDescent="0.25">
      <c r="H55" s="33">
        <f>SUMPRODUCT(F50:F52,G50:G52)</f>
        <v>0.1295</v>
      </c>
      <c r="J55" s="10" t="s">
        <v>79</v>
      </c>
      <c r="K55" s="83">
        <f>SUM(K50:K52)</f>
        <v>3.0747499999999994E-3</v>
      </c>
    </row>
    <row r="56" spans="5:11" s="10" customFormat="1" x14ac:dyDescent="0.25"/>
    <row r="57" spans="5:11" s="10" customFormat="1" x14ac:dyDescent="0.25">
      <c r="J57" s="84" t="s">
        <v>158</v>
      </c>
      <c r="K57" s="85">
        <f>SQRT(K55)</f>
        <v>5.5450428312142003E-2</v>
      </c>
    </row>
    <row r="58" spans="5:11" s="10" customForma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D9DF-DB06-4495-8355-2BF1EBEADAD1}">
  <dimension ref="B3:N100"/>
  <sheetViews>
    <sheetView topLeftCell="A48" workbookViewId="0">
      <selection activeCell="G110" sqref="G110"/>
    </sheetView>
  </sheetViews>
  <sheetFormatPr defaultRowHeight="15" x14ac:dyDescent="0.25"/>
  <cols>
    <col min="6" max="6" width="10.28515625" bestFit="1" customWidth="1"/>
    <col min="11" max="11" width="9.7109375" bestFit="1" customWidth="1"/>
    <col min="15" max="15" width="9.7109375" bestFit="1" customWidth="1"/>
    <col min="17" max="17" width="9.7109375" bestFit="1" customWidth="1"/>
  </cols>
  <sheetData>
    <row r="3" spans="3:13" ht="15.75" thickBot="1" x14ac:dyDescent="0.3"/>
    <row r="4" spans="3:13" ht="16.5" thickBot="1" x14ac:dyDescent="0.3">
      <c r="C4" s="98" t="s">
        <v>168</v>
      </c>
      <c r="D4" s="105" t="s">
        <v>169</v>
      </c>
      <c r="E4" s="105"/>
      <c r="F4" s="106"/>
    </row>
    <row r="9" spans="3:13" x14ac:dyDescent="0.25">
      <c r="G9" s="31" t="s">
        <v>170</v>
      </c>
    </row>
    <row r="11" spans="3:13" x14ac:dyDescent="0.25">
      <c r="G11" t="s">
        <v>171</v>
      </c>
    </row>
    <row r="12" spans="3:13" x14ac:dyDescent="0.25">
      <c r="G12" t="s">
        <v>172</v>
      </c>
    </row>
    <row r="14" spans="3:13" ht="15.75" thickBot="1" x14ac:dyDescent="0.3"/>
    <row r="15" spans="3:13" ht="15.75" thickBot="1" x14ac:dyDescent="0.3">
      <c r="K15" s="360" t="s">
        <v>173</v>
      </c>
      <c r="L15" s="361"/>
      <c r="M15" s="362"/>
    </row>
    <row r="16" spans="3:13" ht="15.75" thickBot="1" x14ac:dyDescent="0.3">
      <c r="C16" s="360" t="s">
        <v>174</v>
      </c>
      <c r="D16" s="362"/>
      <c r="F16" s="366" t="s">
        <v>175</v>
      </c>
      <c r="G16" s="367"/>
      <c r="H16" s="368"/>
    </row>
    <row r="17" spans="3:13" ht="15.75" thickBot="1" x14ac:dyDescent="0.3">
      <c r="K17" s="4" t="s">
        <v>124</v>
      </c>
      <c r="L17" s="4" t="s">
        <v>176</v>
      </c>
      <c r="M17" s="4" t="s">
        <v>177</v>
      </c>
    </row>
    <row r="18" spans="3:13" ht="15.75" thickBot="1" x14ac:dyDescent="0.3">
      <c r="C18" t="s">
        <v>15</v>
      </c>
      <c r="D18">
        <v>2</v>
      </c>
      <c r="F18" s="107" t="s">
        <v>176</v>
      </c>
      <c r="G18" s="108" t="s">
        <v>30</v>
      </c>
      <c r="H18" s="109">
        <f>D20+1/2*D18*D19^2</f>
        <v>6.0000000000000005E-2</v>
      </c>
      <c r="J18" s="10" t="s">
        <v>178</v>
      </c>
      <c r="K18" s="110">
        <f>D19</f>
        <v>0.1</v>
      </c>
      <c r="L18" s="111">
        <f>H18</f>
        <v>6.0000000000000005E-2</v>
      </c>
      <c r="M18" s="112"/>
    </row>
    <row r="19" spans="3:13" x14ac:dyDescent="0.25">
      <c r="C19" t="s">
        <v>83</v>
      </c>
      <c r="D19" s="5">
        <v>0.1</v>
      </c>
      <c r="J19" s="33">
        <f t="shared" ref="J19:J24" si="0">$D$20+1/2*$D$18*K19^2</f>
        <v>0.05</v>
      </c>
      <c r="K19" s="57">
        <v>0</v>
      </c>
      <c r="L19" s="33">
        <v>0.05</v>
      </c>
      <c r="M19" s="57"/>
    </row>
    <row r="20" spans="3:13" x14ac:dyDescent="0.25">
      <c r="C20" t="s">
        <v>177</v>
      </c>
      <c r="D20">
        <v>0.05</v>
      </c>
      <c r="J20" s="33">
        <f t="shared" si="0"/>
        <v>5.2500000000000005E-2</v>
      </c>
      <c r="K20" s="57">
        <v>0.05</v>
      </c>
      <c r="L20" s="33">
        <v>5.2500000000000005E-2</v>
      </c>
      <c r="M20" s="57"/>
    </row>
    <row r="21" spans="3:13" x14ac:dyDescent="0.25">
      <c r="J21" s="33">
        <f t="shared" si="0"/>
        <v>6.0000000000000005E-2</v>
      </c>
      <c r="K21" s="57">
        <v>0.1</v>
      </c>
      <c r="L21" s="33">
        <v>6.0000000000000005E-2</v>
      </c>
      <c r="M21" s="57"/>
    </row>
    <row r="22" spans="3:13" x14ac:dyDescent="0.25">
      <c r="J22" s="33">
        <f t="shared" si="0"/>
        <v>7.2500000000000009E-2</v>
      </c>
      <c r="K22" s="57">
        <v>0.15</v>
      </c>
      <c r="L22" s="33">
        <v>7.2500000000000009E-2</v>
      </c>
      <c r="M22" s="57"/>
    </row>
    <row r="23" spans="3:13" x14ac:dyDescent="0.25">
      <c r="J23" s="33">
        <f t="shared" si="0"/>
        <v>9.0000000000000011E-2</v>
      </c>
      <c r="K23" s="57">
        <v>0.2</v>
      </c>
      <c r="L23" s="33">
        <v>9.0000000000000011E-2</v>
      </c>
      <c r="M23" s="57"/>
    </row>
    <row r="24" spans="3:13" x14ac:dyDescent="0.25">
      <c r="J24" s="33">
        <f t="shared" si="0"/>
        <v>0.1125</v>
      </c>
      <c r="K24" s="57">
        <v>0.25</v>
      </c>
      <c r="L24" s="33">
        <v>0.1125</v>
      </c>
      <c r="M24" s="57"/>
    </row>
    <row r="25" spans="3:13" ht="15.75" thickBot="1" x14ac:dyDescent="0.3"/>
    <row r="26" spans="3:13" ht="15.75" thickBot="1" x14ac:dyDescent="0.3">
      <c r="K26" s="360" t="s">
        <v>179</v>
      </c>
      <c r="L26" s="361"/>
      <c r="M26" s="362"/>
    </row>
    <row r="27" spans="3:13" ht="15.75" thickBot="1" x14ac:dyDescent="0.3">
      <c r="C27" t="s">
        <v>15</v>
      </c>
      <c r="D27">
        <v>3</v>
      </c>
      <c r="F27" s="107" t="s">
        <v>176</v>
      </c>
      <c r="G27" s="108" t="s">
        <v>30</v>
      </c>
      <c r="H27" s="109">
        <f>D29+1/2*D27*D28^2</f>
        <v>7.4999999999999997E-2</v>
      </c>
    </row>
    <row r="28" spans="3:13" x14ac:dyDescent="0.25">
      <c r="C28" t="s">
        <v>83</v>
      </c>
      <c r="D28" s="5">
        <v>0.1</v>
      </c>
      <c r="K28" s="4" t="s">
        <v>124</v>
      </c>
      <c r="L28" s="4" t="s">
        <v>176</v>
      </c>
      <c r="M28" s="4" t="s">
        <v>177</v>
      </c>
    </row>
    <row r="29" spans="3:13" x14ac:dyDescent="0.25">
      <c r="C29" t="s">
        <v>177</v>
      </c>
      <c r="D29">
        <v>0.06</v>
      </c>
      <c r="J29" s="10" t="s">
        <v>178</v>
      </c>
      <c r="K29" s="110">
        <f>D28</f>
        <v>0.1</v>
      </c>
      <c r="L29" s="111">
        <f>H27</f>
        <v>7.4999999999999997E-2</v>
      </c>
      <c r="M29" s="112"/>
    </row>
    <row r="30" spans="3:13" x14ac:dyDescent="0.25">
      <c r="J30" s="33">
        <f t="shared" ref="J30:J35" si="1">$D$29+1/2*$D$27*K30^2</f>
        <v>0.06</v>
      </c>
      <c r="K30" s="57">
        <v>0</v>
      </c>
      <c r="L30" s="33">
        <v>0.06</v>
      </c>
      <c r="M30" s="57"/>
    </row>
    <row r="31" spans="3:13" x14ac:dyDescent="0.25">
      <c r="J31" s="33">
        <f t="shared" si="1"/>
        <v>6.3750000000000001E-2</v>
      </c>
      <c r="K31" s="57">
        <v>0.05</v>
      </c>
      <c r="L31" s="33">
        <v>6.3750000000000001E-2</v>
      </c>
      <c r="M31" s="57"/>
    </row>
    <row r="32" spans="3:13" x14ac:dyDescent="0.25">
      <c r="J32" s="33">
        <f t="shared" si="1"/>
        <v>7.4999999999999997E-2</v>
      </c>
      <c r="K32" s="57">
        <v>0.1</v>
      </c>
      <c r="L32" s="33">
        <v>7.4999999999999997E-2</v>
      </c>
      <c r="M32" s="57"/>
    </row>
    <row r="33" spans="3:13" x14ac:dyDescent="0.25">
      <c r="J33" s="33">
        <f t="shared" si="1"/>
        <v>9.375E-2</v>
      </c>
      <c r="K33" s="57">
        <v>0.15</v>
      </c>
      <c r="L33" s="33">
        <v>9.375E-2</v>
      </c>
      <c r="M33" s="57"/>
    </row>
    <row r="34" spans="3:13" x14ac:dyDescent="0.25">
      <c r="J34" s="33">
        <f t="shared" si="1"/>
        <v>0.12000000000000001</v>
      </c>
      <c r="K34" s="57">
        <v>0.2</v>
      </c>
      <c r="L34" s="33">
        <v>0.12000000000000001</v>
      </c>
      <c r="M34" s="57"/>
    </row>
    <row r="35" spans="3:13" x14ac:dyDescent="0.25">
      <c r="J35" s="33">
        <f t="shared" si="1"/>
        <v>0.15375</v>
      </c>
      <c r="K35" s="57">
        <v>0.25</v>
      </c>
      <c r="L35" s="33">
        <v>0.15375</v>
      </c>
      <c r="M35" s="57"/>
    </row>
    <row r="36" spans="3:13" ht="15.75" thickBot="1" x14ac:dyDescent="0.3"/>
    <row r="37" spans="3:13" ht="15.75" thickBot="1" x14ac:dyDescent="0.3">
      <c r="K37" s="360" t="s">
        <v>180</v>
      </c>
      <c r="L37" s="361"/>
      <c r="M37" s="362"/>
    </row>
    <row r="38" spans="3:13" ht="15.75" thickBot="1" x14ac:dyDescent="0.3">
      <c r="C38" t="s">
        <v>15</v>
      </c>
      <c r="D38">
        <v>4</v>
      </c>
      <c r="F38" s="107" t="s">
        <v>176</v>
      </c>
      <c r="G38" s="108" t="s">
        <v>30</v>
      </c>
      <c r="H38" s="109">
        <f>D40+1/2*D38*D39^2</f>
        <v>9.0000000000000011E-2</v>
      </c>
    </row>
    <row r="39" spans="3:13" x14ac:dyDescent="0.25">
      <c r="C39" t="s">
        <v>83</v>
      </c>
      <c r="D39" s="5">
        <v>0.1</v>
      </c>
      <c r="K39" s="4" t="s">
        <v>124</v>
      </c>
      <c r="L39" s="4" t="s">
        <v>176</v>
      </c>
      <c r="M39" s="4" t="s">
        <v>177</v>
      </c>
    </row>
    <row r="40" spans="3:13" x14ac:dyDescent="0.25">
      <c r="C40" t="s">
        <v>177</v>
      </c>
      <c r="D40">
        <v>7.0000000000000007E-2</v>
      </c>
      <c r="J40" s="10" t="s">
        <v>178</v>
      </c>
      <c r="K40" s="110">
        <f>D39</f>
        <v>0.1</v>
      </c>
      <c r="L40" s="111">
        <f>H38</f>
        <v>9.0000000000000011E-2</v>
      </c>
      <c r="M40" s="112"/>
    </row>
    <row r="41" spans="3:13" x14ac:dyDescent="0.25">
      <c r="J41" s="33">
        <f t="shared" ref="J41:J46" si="2">$D$40+1/2*$D$38*K41^2</f>
        <v>7.0000000000000007E-2</v>
      </c>
      <c r="K41" s="57">
        <v>0</v>
      </c>
      <c r="L41" s="33">
        <v>7.0000000000000007E-2</v>
      </c>
      <c r="M41" s="57"/>
    </row>
    <row r="42" spans="3:13" x14ac:dyDescent="0.25">
      <c r="J42" s="33">
        <f t="shared" si="2"/>
        <v>7.5000000000000011E-2</v>
      </c>
      <c r="K42" s="57">
        <v>0.05</v>
      </c>
      <c r="L42" s="33">
        <v>7.5000000000000011E-2</v>
      </c>
      <c r="M42" s="57"/>
    </row>
    <row r="43" spans="3:13" x14ac:dyDescent="0.25">
      <c r="J43" s="33">
        <f t="shared" si="2"/>
        <v>9.0000000000000011E-2</v>
      </c>
      <c r="K43" s="57">
        <v>0.1</v>
      </c>
      <c r="L43" s="33">
        <v>9.0000000000000011E-2</v>
      </c>
      <c r="M43" s="57"/>
    </row>
    <row r="44" spans="3:13" x14ac:dyDescent="0.25">
      <c r="J44" s="33">
        <f t="shared" si="2"/>
        <v>0.115</v>
      </c>
      <c r="K44" s="57">
        <v>0.15</v>
      </c>
      <c r="L44" s="33">
        <v>0.115</v>
      </c>
      <c r="M44" s="57"/>
    </row>
    <row r="45" spans="3:13" x14ac:dyDescent="0.25">
      <c r="J45" s="33">
        <f t="shared" si="2"/>
        <v>0.15000000000000002</v>
      </c>
      <c r="K45" s="57">
        <v>0.2</v>
      </c>
      <c r="L45" s="33">
        <v>0.15000000000000002</v>
      </c>
      <c r="M45" s="57"/>
    </row>
    <row r="46" spans="3:13" x14ac:dyDescent="0.25">
      <c r="J46" s="33">
        <f t="shared" si="2"/>
        <v>0.19500000000000001</v>
      </c>
      <c r="K46" s="57">
        <v>0.25</v>
      </c>
      <c r="L46" s="33">
        <v>0.19500000000000001</v>
      </c>
      <c r="M46" s="57"/>
    </row>
    <row r="53" spans="3:13" ht="15.75" thickBot="1" x14ac:dyDescent="0.3"/>
    <row r="54" spans="3:13" ht="15.75" thickBot="1" x14ac:dyDescent="0.3">
      <c r="K54" s="360" t="s">
        <v>173</v>
      </c>
      <c r="L54" s="361"/>
      <c r="M54" s="362"/>
    </row>
    <row r="55" spans="3:13" ht="15.75" thickBot="1" x14ac:dyDescent="0.3">
      <c r="C55" s="360" t="s">
        <v>174</v>
      </c>
      <c r="D55" s="362"/>
      <c r="F55" s="366" t="s">
        <v>175</v>
      </c>
      <c r="G55" s="367"/>
      <c r="H55" s="368"/>
    </row>
    <row r="56" spans="3:13" ht="15.75" thickBot="1" x14ac:dyDescent="0.3">
      <c r="K56" s="4" t="s">
        <v>124</v>
      </c>
      <c r="L56" s="4" t="s">
        <v>176</v>
      </c>
      <c r="M56" s="4" t="s">
        <v>177</v>
      </c>
    </row>
    <row r="57" spans="3:13" ht="15.75" thickBot="1" x14ac:dyDescent="0.3">
      <c r="C57" t="s">
        <v>15</v>
      </c>
      <c r="D57">
        <v>2</v>
      </c>
      <c r="F57" s="107" t="s">
        <v>176</v>
      </c>
      <c r="G57" s="108" t="s">
        <v>30</v>
      </c>
      <c r="H57" s="109">
        <f>D59+1/2*D57*D58^2</f>
        <v>6.0000000000000005E-2</v>
      </c>
      <c r="J57" s="10"/>
      <c r="K57" s="110">
        <f>D58</f>
        <v>0.1</v>
      </c>
      <c r="L57" s="111">
        <f>H57</f>
        <v>6.0000000000000005E-2</v>
      </c>
      <c r="M57" s="112"/>
    </row>
    <row r="58" spans="3:13" x14ac:dyDescent="0.25">
      <c r="C58" t="s">
        <v>83</v>
      </c>
      <c r="D58" s="5">
        <v>0.1</v>
      </c>
      <c r="J58" s="33"/>
      <c r="K58" s="57">
        <v>0</v>
      </c>
      <c r="L58" s="33">
        <v>0.05</v>
      </c>
      <c r="M58" s="57"/>
    </row>
    <row r="59" spans="3:13" x14ac:dyDescent="0.25">
      <c r="C59" t="s">
        <v>177</v>
      </c>
      <c r="D59">
        <v>0.05</v>
      </c>
      <c r="J59" s="33"/>
      <c r="K59" s="57">
        <v>0.05</v>
      </c>
      <c r="L59" s="33">
        <v>5.2500000000000005E-2</v>
      </c>
      <c r="M59" s="57"/>
    </row>
    <row r="60" spans="3:13" x14ac:dyDescent="0.25">
      <c r="J60" s="33"/>
      <c r="K60" s="57">
        <v>0.1</v>
      </c>
      <c r="L60" s="33">
        <v>6.0000000000000005E-2</v>
      </c>
      <c r="M60" s="57"/>
    </row>
    <row r="61" spans="3:13" x14ac:dyDescent="0.25">
      <c r="J61" s="33"/>
      <c r="K61" s="57">
        <v>0.15</v>
      </c>
      <c r="L61" s="33">
        <v>7.2500000000000009E-2</v>
      </c>
      <c r="M61" s="57"/>
    </row>
    <row r="62" spans="3:13" x14ac:dyDescent="0.25">
      <c r="J62" s="33"/>
      <c r="K62" s="57">
        <v>0.2</v>
      </c>
      <c r="L62" s="33">
        <v>9.0000000000000011E-2</v>
      </c>
      <c r="M62" s="57"/>
    </row>
    <row r="63" spans="3:13" x14ac:dyDescent="0.25">
      <c r="J63" s="33"/>
      <c r="K63" s="57">
        <v>0.25</v>
      </c>
      <c r="L63" s="33">
        <v>0.1125</v>
      </c>
      <c r="M63" s="57"/>
    </row>
    <row r="64" spans="3:13" ht="15.75" thickBot="1" x14ac:dyDescent="0.3"/>
    <row r="65" spans="3:13" ht="15.75" thickBot="1" x14ac:dyDescent="0.3">
      <c r="K65" s="360" t="s">
        <v>181</v>
      </c>
      <c r="L65" s="361"/>
      <c r="M65" s="362"/>
    </row>
    <row r="66" spans="3:13" ht="15.75" thickBot="1" x14ac:dyDescent="0.3">
      <c r="C66" t="s">
        <v>15</v>
      </c>
      <c r="D66">
        <v>2</v>
      </c>
      <c r="F66" s="107" t="s">
        <v>176</v>
      </c>
      <c r="G66" s="108" t="s">
        <v>30</v>
      </c>
      <c r="H66" s="109">
        <f>D68+1/2*D66*D67^2</f>
        <v>7.0000000000000007E-2</v>
      </c>
    </row>
    <row r="67" spans="3:13" x14ac:dyDescent="0.25">
      <c r="C67" t="s">
        <v>83</v>
      </c>
      <c r="D67" s="5">
        <v>0.1</v>
      </c>
      <c r="K67" s="4" t="s">
        <v>124</v>
      </c>
      <c r="L67" s="4" t="s">
        <v>176</v>
      </c>
      <c r="M67" s="4" t="s">
        <v>177</v>
      </c>
    </row>
    <row r="68" spans="3:13" x14ac:dyDescent="0.25">
      <c r="C68" t="s">
        <v>177</v>
      </c>
      <c r="D68">
        <v>0.06</v>
      </c>
      <c r="J68" s="10"/>
      <c r="K68" s="110">
        <f>D67</f>
        <v>0.1</v>
      </c>
      <c r="L68" s="111">
        <f>H66</f>
        <v>7.0000000000000007E-2</v>
      </c>
      <c r="M68" s="112"/>
    </row>
    <row r="69" spans="3:13" x14ac:dyDescent="0.25">
      <c r="J69" s="33"/>
      <c r="K69" s="57">
        <v>0</v>
      </c>
      <c r="L69" s="33">
        <v>0.06</v>
      </c>
      <c r="M69" s="57"/>
    </row>
    <row r="70" spans="3:13" x14ac:dyDescent="0.25">
      <c r="J70" s="33"/>
      <c r="K70" s="57">
        <v>0.05</v>
      </c>
      <c r="L70" s="33">
        <v>6.25E-2</v>
      </c>
      <c r="M70" s="57"/>
    </row>
    <row r="71" spans="3:13" x14ac:dyDescent="0.25">
      <c r="J71" s="33"/>
      <c r="K71" s="57">
        <v>0.1</v>
      </c>
      <c r="L71" s="33">
        <v>7.0000000000000007E-2</v>
      </c>
      <c r="M71" s="57"/>
    </row>
    <row r="72" spans="3:13" x14ac:dyDescent="0.25">
      <c r="J72" s="33"/>
      <c r="K72" s="57">
        <v>0.15</v>
      </c>
      <c r="L72" s="33">
        <v>8.249999999999999E-2</v>
      </c>
      <c r="M72" s="57"/>
    </row>
    <row r="73" spans="3:13" x14ac:dyDescent="0.25">
      <c r="J73" s="33"/>
      <c r="K73" s="57">
        <v>0.2</v>
      </c>
      <c r="L73" s="33">
        <v>0.1</v>
      </c>
      <c r="M73" s="57"/>
    </row>
    <row r="74" spans="3:13" x14ac:dyDescent="0.25">
      <c r="J74" s="33"/>
      <c r="K74" s="57">
        <v>0.25</v>
      </c>
      <c r="L74" s="33">
        <v>0.1225</v>
      </c>
      <c r="M74" s="57"/>
    </row>
    <row r="75" spans="3:13" ht="15.75" thickBot="1" x14ac:dyDescent="0.3"/>
    <row r="76" spans="3:13" ht="15.75" thickBot="1" x14ac:dyDescent="0.3">
      <c r="K76" s="360" t="s">
        <v>182</v>
      </c>
      <c r="L76" s="361"/>
      <c r="M76" s="362"/>
    </row>
    <row r="77" spans="3:13" ht="15.75" thickBot="1" x14ac:dyDescent="0.3">
      <c r="C77" t="s">
        <v>15</v>
      </c>
      <c r="D77">
        <v>2</v>
      </c>
      <c r="F77" s="107" t="s">
        <v>176</v>
      </c>
      <c r="G77" s="108" t="s">
        <v>30</v>
      </c>
      <c r="H77" s="109">
        <f>D79+1/2*D77*D78^2</f>
        <v>8.0000000000000016E-2</v>
      </c>
    </row>
    <row r="78" spans="3:13" x14ac:dyDescent="0.25">
      <c r="C78" t="s">
        <v>83</v>
      </c>
      <c r="D78" s="5">
        <v>0.1</v>
      </c>
      <c r="K78" s="4" t="s">
        <v>124</v>
      </c>
      <c r="L78" s="4" t="s">
        <v>176</v>
      </c>
      <c r="M78" s="4" t="s">
        <v>177</v>
      </c>
    </row>
    <row r="79" spans="3:13" x14ac:dyDescent="0.25">
      <c r="C79" t="s">
        <v>177</v>
      </c>
      <c r="D79">
        <v>7.0000000000000007E-2</v>
      </c>
      <c r="J79" s="10" t="s">
        <v>178</v>
      </c>
      <c r="K79" s="110">
        <f>D78</f>
        <v>0.1</v>
      </c>
      <c r="L79" s="111">
        <f>H77</f>
        <v>8.0000000000000016E-2</v>
      </c>
      <c r="M79" s="112"/>
    </row>
    <row r="80" spans="3:13" x14ac:dyDescent="0.25">
      <c r="J80" s="33">
        <f t="shared" ref="J80:J85" si="3">$D$40+1/2*$D$38*K80^2</f>
        <v>7.0000000000000007E-2</v>
      </c>
      <c r="K80" s="57">
        <v>0</v>
      </c>
      <c r="L80" s="33">
        <v>7.0000000000000007E-2</v>
      </c>
      <c r="M80" s="57"/>
    </row>
    <row r="81" spans="2:14" x14ac:dyDescent="0.25">
      <c r="J81" s="33">
        <f t="shared" si="3"/>
        <v>7.5000000000000011E-2</v>
      </c>
      <c r="K81" s="57">
        <v>0.05</v>
      </c>
      <c r="L81" s="33">
        <v>7.2500000000000009E-2</v>
      </c>
      <c r="M81" s="57"/>
    </row>
    <row r="82" spans="2:14" x14ac:dyDescent="0.25">
      <c r="J82" s="33">
        <f t="shared" si="3"/>
        <v>9.0000000000000011E-2</v>
      </c>
      <c r="K82" s="57">
        <v>0.1</v>
      </c>
      <c r="L82" s="33">
        <v>8.0000000000000016E-2</v>
      </c>
      <c r="M82" s="57"/>
    </row>
    <row r="83" spans="2:14" x14ac:dyDescent="0.25">
      <c r="J83" s="33">
        <f t="shared" si="3"/>
        <v>0.115</v>
      </c>
      <c r="K83" s="57">
        <v>0.15</v>
      </c>
      <c r="L83" s="33">
        <v>9.2499999999999999E-2</v>
      </c>
      <c r="M83" s="57"/>
    </row>
    <row r="84" spans="2:14" x14ac:dyDescent="0.25">
      <c r="J84" s="33">
        <f t="shared" si="3"/>
        <v>0.15000000000000002</v>
      </c>
      <c r="K84" s="57">
        <v>0.2</v>
      </c>
      <c r="L84" s="33">
        <v>0.11000000000000001</v>
      </c>
      <c r="M84" s="57"/>
    </row>
    <row r="85" spans="2:14" x14ac:dyDescent="0.25">
      <c r="J85" s="33">
        <f t="shared" si="3"/>
        <v>0.19500000000000001</v>
      </c>
      <c r="K85" s="57">
        <v>0.25</v>
      </c>
      <c r="L85" s="33">
        <v>0.13250000000000001</v>
      </c>
      <c r="M85" s="57"/>
    </row>
    <row r="90" spans="2:14" x14ac:dyDescent="0.25"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</row>
    <row r="91" spans="2:14" ht="15.75" x14ac:dyDescent="0.25">
      <c r="B91" s="113"/>
      <c r="C91" s="114" t="s">
        <v>183</v>
      </c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</row>
    <row r="92" spans="2:14" x14ac:dyDescent="0.25"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</row>
    <row r="93" spans="2:14" x14ac:dyDescent="0.25">
      <c r="B93" s="113"/>
      <c r="C93" s="115" t="s">
        <v>184</v>
      </c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</row>
    <row r="94" spans="2:14" x14ac:dyDescent="0.25">
      <c r="B94" s="113"/>
      <c r="C94" s="115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</row>
    <row r="95" spans="2:14" x14ac:dyDescent="0.25">
      <c r="B95" s="113"/>
      <c r="C95" s="115" t="s">
        <v>185</v>
      </c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</row>
    <row r="96" spans="2:14" x14ac:dyDescent="0.25">
      <c r="B96" s="113"/>
      <c r="C96" s="115" t="s">
        <v>186</v>
      </c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</row>
    <row r="97" spans="2:14" x14ac:dyDescent="0.25">
      <c r="B97" s="113"/>
      <c r="C97" s="115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</row>
    <row r="98" spans="2:14" x14ac:dyDescent="0.25">
      <c r="B98" s="113"/>
      <c r="C98" s="115" t="s">
        <v>187</v>
      </c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</row>
    <row r="99" spans="2:14" x14ac:dyDescent="0.25">
      <c r="B99" s="113"/>
      <c r="C99" s="115" t="s">
        <v>188</v>
      </c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</row>
    <row r="100" spans="2:14" x14ac:dyDescent="0.25"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</row>
  </sheetData>
  <mergeCells count="10">
    <mergeCell ref="C55:D55"/>
    <mergeCell ref="F55:H55"/>
    <mergeCell ref="K65:M65"/>
    <mergeCell ref="K76:M76"/>
    <mergeCell ref="K15:M15"/>
    <mergeCell ref="C16:D16"/>
    <mergeCell ref="F16:H16"/>
    <mergeCell ref="K26:M26"/>
    <mergeCell ref="K37:M37"/>
    <mergeCell ref="K54:M5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417F-4E61-4DA4-BDD2-70A9C6F39892}">
  <dimension ref="B2:Q70"/>
  <sheetViews>
    <sheetView workbookViewId="0">
      <selection activeCell="O12" sqref="O12"/>
    </sheetView>
  </sheetViews>
  <sheetFormatPr defaultRowHeight="15" x14ac:dyDescent="0.25"/>
  <sheetData>
    <row r="2" spans="2:14" x14ac:dyDescent="0.25">
      <c r="B2" s="30" t="s">
        <v>189</v>
      </c>
    </row>
    <row r="4" spans="2:14" ht="18" x14ac:dyDescent="0.35">
      <c r="C4" t="s">
        <v>190</v>
      </c>
      <c r="D4" t="s">
        <v>30</v>
      </c>
      <c r="E4" s="116" t="s">
        <v>191</v>
      </c>
    </row>
    <row r="5" spans="2:14" ht="22.5" x14ac:dyDescent="0.4">
      <c r="E5" t="s">
        <v>192</v>
      </c>
    </row>
    <row r="6" spans="2:14" ht="15.75" thickBot="1" x14ac:dyDescent="0.3"/>
    <row r="7" spans="2:14" x14ac:dyDescent="0.25">
      <c r="B7" s="60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2:14" x14ac:dyDescent="0.25">
      <c r="B8" s="54"/>
      <c r="C8" s="30" t="s">
        <v>193</v>
      </c>
      <c r="N8" s="40"/>
    </row>
    <row r="9" spans="2:14" x14ac:dyDescent="0.25">
      <c r="B9" s="54"/>
      <c r="N9" s="40"/>
    </row>
    <row r="10" spans="2:14" x14ac:dyDescent="0.25">
      <c r="B10" s="54"/>
      <c r="C10" t="s">
        <v>194</v>
      </c>
      <c r="N10" s="40"/>
    </row>
    <row r="11" spans="2:14" x14ac:dyDescent="0.25">
      <c r="B11" s="54"/>
      <c r="N11" s="40"/>
    </row>
    <row r="12" spans="2:14" x14ac:dyDescent="0.25">
      <c r="B12" s="54"/>
      <c r="C12" t="s">
        <v>195</v>
      </c>
      <c r="N12" s="40"/>
    </row>
    <row r="13" spans="2:14" x14ac:dyDescent="0.25">
      <c r="B13" s="54"/>
      <c r="N13" s="40"/>
    </row>
    <row r="14" spans="2:14" x14ac:dyDescent="0.25">
      <c r="B14" s="54" t="s">
        <v>93</v>
      </c>
      <c r="C14" t="s">
        <v>196</v>
      </c>
      <c r="N14" s="40"/>
    </row>
    <row r="15" spans="2:14" x14ac:dyDescent="0.25">
      <c r="B15" s="54"/>
      <c r="C15" t="s">
        <v>197</v>
      </c>
      <c r="N15" s="40"/>
    </row>
    <row r="16" spans="2:14" x14ac:dyDescent="0.25">
      <c r="B16" s="54"/>
      <c r="N16" s="40"/>
    </row>
    <row r="17" spans="2:17" x14ac:dyDescent="0.25">
      <c r="B17" s="54" t="s">
        <v>198</v>
      </c>
      <c r="C17" t="s">
        <v>199</v>
      </c>
      <c r="N17" s="40"/>
    </row>
    <row r="18" spans="2:17" ht="15.75" thickBot="1" x14ac:dyDescent="0.3">
      <c r="B18" s="56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</row>
    <row r="21" spans="2:17" ht="15.75" thickBot="1" x14ac:dyDescent="0.3"/>
    <row r="22" spans="2:17" ht="15.75" thickBot="1" x14ac:dyDescent="0.3">
      <c r="D22" s="360" t="s">
        <v>200</v>
      </c>
      <c r="E22" s="361"/>
      <c r="F22" s="361"/>
      <c r="G22" s="362"/>
      <c r="I22" s="360" t="s">
        <v>201</v>
      </c>
      <c r="J22" s="361"/>
      <c r="K22" s="361"/>
      <c r="L22" s="362"/>
      <c r="N22" s="360" t="s">
        <v>202</v>
      </c>
      <c r="O22" s="361"/>
      <c r="P22" s="361"/>
      <c r="Q22" s="362"/>
    </row>
    <row r="24" spans="2:17" x14ac:dyDescent="0.25">
      <c r="D24" t="s">
        <v>127</v>
      </c>
      <c r="E24" t="s">
        <v>69</v>
      </c>
      <c r="F24" t="s">
        <v>203</v>
      </c>
      <c r="G24" t="s">
        <v>138</v>
      </c>
      <c r="I24" t="s">
        <v>127</v>
      </c>
      <c r="J24" t="s">
        <v>69</v>
      </c>
      <c r="K24" t="s">
        <v>203</v>
      </c>
      <c r="L24" t="s">
        <v>138</v>
      </c>
      <c r="N24" t="s">
        <v>127</v>
      </c>
      <c r="O24" t="s">
        <v>69</v>
      </c>
      <c r="P24" t="s">
        <v>203</v>
      </c>
      <c r="Q24" t="s">
        <v>138</v>
      </c>
    </row>
    <row r="25" spans="2:17" x14ac:dyDescent="0.25">
      <c r="D25" t="s">
        <v>204</v>
      </c>
      <c r="E25" s="5">
        <v>0.24</v>
      </c>
      <c r="F25" s="5">
        <v>0.36</v>
      </c>
      <c r="G25">
        <v>0.25</v>
      </c>
      <c r="I25" t="s">
        <v>204</v>
      </c>
      <c r="J25" s="5">
        <v>0.24</v>
      </c>
      <c r="K25" s="5">
        <v>0.36</v>
      </c>
      <c r="L25" s="117">
        <f>(J25-J26)/(4*K25^2)</f>
        <v>0.32793209876543211</v>
      </c>
      <c r="N25" t="s">
        <v>204</v>
      </c>
      <c r="O25" s="5">
        <v>0.24</v>
      </c>
      <c r="P25" s="5">
        <v>0.36</v>
      </c>
      <c r="Q25" s="118">
        <v>0.32793209816760621</v>
      </c>
    </row>
    <row r="26" spans="2:17" x14ac:dyDescent="0.25">
      <c r="D26" t="s">
        <v>205</v>
      </c>
      <c r="E26" s="5">
        <v>7.0000000000000007E-2</v>
      </c>
      <c r="F26" s="5">
        <v>0</v>
      </c>
      <c r="G26">
        <v>0.75</v>
      </c>
      <c r="I26" t="s">
        <v>205</v>
      </c>
      <c r="J26" s="5">
        <v>7.0000000000000007E-2</v>
      </c>
      <c r="K26" s="5">
        <v>0</v>
      </c>
      <c r="L26" s="117">
        <f>1-L25</f>
        <v>0.67206790123456783</v>
      </c>
      <c r="N26" t="s">
        <v>205</v>
      </c>
      <c r="O26" s="5">
        <v>7.0000000000000007E-2</v>
      </c>
      <c r="P26" s="5">
        <v>0</v>
      </c>
      <c r="Q26" s="119">
        <v>0.67206790183239373</v>
      </c>
    </row>
    <row r="27" spans="2:17" x14ac:dyDescent="0.25">
      <c r="Q27" s="120">
        <f>Q25+Q26</f>
        <v>1</v>
      </c>
    </row>
    <row r="29" spans="2:17" x14ac:dyDescent="0.25">
      <c r="E29" t="s">
        <v>206</v>
      </c>
      <c r="G29" s="15">
        <f>SUMPRODUCT(G25:G26,E25:E26)</f>
        <v>0.1125</v>
      </c>
      <c r="J29" t="s">
        <v>206</v>
      </c>
      <c r="L29" s="15">
        <f>SUMPRODUCT(L25:L26,J25:J26)</f>
        <v>0.12574845679012348</v>
      </c>
      <c r="O29" t="s">
        <v>206</v>
      </c>
      <c r="Q29" s="15">
        <f>SUMPRODUCT(Q25:Q26,O25:O26)</f>
        <v>0.12574845668849305</v>
      </c>
    </row>
    <row r="31" spans="2:17" ht="19.5" x14ac:dyDescent="0.3">
      <c r="E31" t="s">
        <v>207</v>
      </c>
      <c r="G31" s="15">
        <f>G25*F25</f>
        <v>0.09</v>
      </c>
      <c r="J31" t="s">
        <v>207</v>
      </c>
      <c r="L31" s="15">
        <f>L25*K25</f>
        <v>0.11805555555555555</v>
      </c>
      <c r="O31" t="s">
        <v>207</v>
      </c>
      <c r="Q31" s="15">
        <f>Q25*P25</f>
        <v>0.11805555534033824</v>
      </c>
    </row>
    <row r="33" spans="2:17" x14ac:dyDescent="0.25">
      <c r="E33" s="121" t="s">
        <v>208</v>
      </c>
      <c r="F33" s="121"/>
      <c r="G33" s="122">
        <f>G29-1/2*4*G31^2</f>
        <v>9.6299999999999997E-2</v>
      </c>
      <c r="J33" s="123" t="s">
        <v>208</v>
      </c>
      <c r="K33" s="123"/>
      <c r="L33" s="124">
        <f>L29-1/2*4*L31^2</f>
        <v>9.7874228395061741E-2</v>
      </c>
      <c r="O33" s="121" t="s">
        <v>208</v>
      </c>
      <c r="P33" s="121"/>
      <c r="Q33" s="122">
        <f>Q29-1/2*4*Q31^2</f>
        <v>9.7874228395061713E-2</v>
      </c>
    </row>
    <row r="36" spans="2:17" ht="15.75" thickBot="1" x14ac:dyDescent="0.3"/>
    <row r="37" spans="2:17" x14ac:dyDescent="0.25">
      <c r="B37" s="60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7"/>
    </row>
    <row r="38" spans="2:17" x14ac:dyDescent="0.25">
      <c r="B38" s="54"/>
      <c r="C38" s="30" t="s">
        <v>209</v>
      </c>
      <c r="N38" s="40"/>
    </row>
    <row r="39" spans="2:17" x14ac:dyDescent="0.25">
      <c r="B39" s="54"/>
      <c r="N39" s="40"/>
    </row>
    <row r="40" spans="2:17" x14ac:dyDescent="0.25">
      <c r="B40" s="54"/>
      <c r="C40" t="s">
        <v>210</v>
      </c>
      <c r="N40" s="40"/>
    </row>
    <row r="41" spans="2:17" x14ac:dyDescent="0.25">
      <c r="B41" s="54"/>
      <c r="N41" s="40"/>
    </row>
    <row r="42" spans="2:17" x14ac:dyDescent="0.25">
      <c r="B42" s="54"/>
      <c r="C42" t="s">
        <v>211</v>
      </c>
      <c r="N42" s="40"/>
    </row>
    <row r="43" spans="2:17" x14ac:dyDescent="0.25">
      <c r="B43" s="54"/>
      <c r="N43" s="40"/>
    </row>
    <row r="44" spans="2:17" x14ac:dyDescent="0.25">
      <c r="B44" s="54"/>
      <c r="C44" t="s">
        <v>212</v>
      </c>
      <c r="N44" s="40"/>
    </row>
    <row r="45" spans="2:17" x14ac:dyDescent="0.25">
      <c r="B45" s="54"/>
      <c r="N45" s="40"/>
    </row>
    <row r="46" spans="2:17" x14ac:dyDescent="0.25">
      <c r="B46" s="54"/>
      <c r="C46" s="29" t="s">
        <v>213</v>
      </c>
      <c r="N46" s="40"/>
    </row>
    <row r="47" spans="2:17" x14ac:dyDescent="0.25">
      <c r="B47" s="54"/>
      <c r="N47" s="40"/>
    </row>
    <row r="48" spans="2:17" x14ac:dyDescent="0.25">
      <c r="B48" s="54"/>
      <c r="C48" s="30" t="s">
        <v>73</v>
      </c>
      <c r="N48" s="40"/>
    </row>
    <row r="49" spans="2:15" x14ac:dyDescent="0.25">
      <c r="B49" s="54"/>
      <c r="N49" s="40"/>
    </row>
    <row r="50" spans="2:15" x14ac:dyDescent="0.25">
      <c r="B50" s="54"/>
      <c r="C50" t="s">
        <v>214</v>
      </c>
      <c r="N50" s="40"/>
    </row>
    <row r="51" spans="2:15" x14ac:dyDescent="0.25">
      <c r="B51" s="54"/>
      <c r="C51" t="s">
        <v>215</v>
      </c>
      <c r="N51" s="40"/>
    </row>
    <row r="52" spans="2:15" ht="15.75" thickBot="1" x14ac:dyDescent="0.3">
      <c r="B52" s="56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50"/>
    </row>
    <row r="53" spans="2:15" ht="15.75" thickBot="1" x14ac:dyDescent="0.3"/>
    <row r="54" spans="2:15" ht="15.75" thickBot="1" x14ac:dyDescent="0.3">
      <c r="C54" s="360" t="s">
        <v>200</v>
      </c>
      <c r="D54" s="361"/>
      <c r="E54" s="361"/>
      <c r="F54" s="362"/>
      <c r="H54" s="360" t="s">
        <v>216</v>
      </c>
      <c r="I54" s="361"/>
      <c r="J54" s="361"/>
      <c r="K54" s="362"/>
    </row>
    <row r="55" spans="2:15" x14ac:dyDescent="0.25">
      <c r="C55" s="54"/>
      <c r="F55" s="40"/>
      <c r="H55" s="54"/>
      <c r="K55" s="40"/>
    </row>
    <row r="56" spans="2:15" x14ac:dyDescent="0.25">
      <c r="C56" s="54" t="s">
        <v>127</v>
      </c>
      <c r="D56" t="s">
        <v>56</v>
      </c>
      <c r="E56" t="s">
        <v>124</v>
      </c>
      <c r="F56" s="40" t="s">
        <v>138</v>
      </c>
      <c r="H56" s="54" t="s">
        <v>127</v>
      </c>
      <c r="I56" t="s">
        <v>56</v>
      </c>
      <c r="J56" t="s">
        <v>124</v>
      </c>
      <c r="K56" s="40" t="s">
        <v>138</v>
      </c>
    </row>
    <row r="57" spans="2:15" x14ac:dyDescent="0.25">
      <c r="C57" s="54" t="s">
        <v>217</v>
      </c>
      <c r="D57" s="5">
        <v>0.18</v>
      </c>
      <c r="E57" s="5">
        <v>0.27</v>
      </c>
      <c r="F57" s="125">
        <v>0.5</v>
      </c>
      <c r="H57" s="54" t="s">
        <v>217</v>
      </c>
      <c r="I57" s="5">
        <v>0.18</v>
      </c>
      <c r="J57" s="5">
        <v>0.27</v>
      </c>
      <c r="K57" s="40">
        <v>0.50511694990328659</v>
      </c>
      <c r="M57" t="s">
        <v>218</v>
      </c>
      <c r="N57" t="s">
        <v>219</v>
      </c>
      <c r="O57" t="s">
        <v>177</v>
      </c>
    </row>
    <row r="58" spans="2:15" x14ac:dyDescent="0.25">
      <c r="C58" s="54" t="s">
        <v>140</v>
      </c>
      <c r="D58" s="5">
        <v>0.11</v>
      </c>
      <c r="E58" s="5">
        <v>0.06</v>
      </c>
      <c r="F58" s="125">
        <f>1-F57</f>
        <v>0.5</v>
      </c>
      <c r="H58" s="54" t="s">
        <v>140</v>
      </c>
      <c r="I58" s="5">
        <v>0.11</v>
      </c>
      <c r="J58" s="5">
        <v>0.06</v>
      </c>
      <c r="K58" s="126">
        <v>0.49488305009671341</v>
      </c>
      <c r="M58" s="123">
        <f>F57</f>
        <v>0.5</v>
      </c>
      <c r="N58" s="123">
        <f>1-M58</f>
        <v>0.5</v>
      </c>
      <c r="O58" s="127">
        <f>F67</f>
        <v>0.12384999999999999</v>
      </c>
    </row>
    <row r="59" spans="2:15" x14ac:dyDescent="0.25">
      <c r="C59" s="54"/>
      <c r="F59" s="40"/>
      <c r="H59" s="54"/>
      <c r="K59" s="40">
        <f>K57+K58</f>
        <v>1</v>
      </c>
      <c r="M59">
        <v>0</v>
      </c>
      <c r="N59">
        <v>1</v>
      </c>
      <c r="O59" s="128">
        <v>0.10639999999999999</v>
      </c>
    </row>
    <row r="60" spans="2:15" x14ac:dyDescent="0.25">
      <c r="C60" s="54"/>
      <c r="E60" t="s">
        <v>141</v>
      </c>
      <c r="F60" s="40">
        <v>0.25</v>
      </c>
      <c r="H60" s="54"/>
      <c r="J60" t="s">
        <v>141</v>
      </c>
      <c r="K60" s="40">
        <v>0.25</v>
      </c>
      <c r="M60">
        <v>0.1</v>
      </c>
      <c r="N60">
        <v>0.9</v>
      </c>
      <c r="O60" s="128">
        <v>0.112626</v>
      </c>
    </row>
    <row r="61" spans="2:15" x14ac:dyDescent="0.25">
      <c r="C61" s="54"/>
      <c r="F61" s="40"/>
      <c r="H61" s="54"/>
      <c r="K61" s="40"/>
      <c r="M61">
        <v>0.2</v>
      </c>
      <c r="N61">
        <v>0.8</v>
      </c>
      <c r="O61" s="128">
        <v>0.11748400000000001</v>
      </c>
    </row>
    <row r="62" spans="2:15" x14ac:dyDescent="0.25">
      <c r="C62" s="54"/>
      <c r="F62" s="40"/>
      <c r="H62" s="54"/>
      <c r="K62" s="40"/>
      <c r="M62">
        <v>0.3</v>
      </c>
      <c r="N62">
        <v>0.7</v>
      </c>
      <c r="O62" s="128">
        <v>0.12097400000000001</v>
      </c>
    </row>
    <row r="63" spans="2:15" x14ac:dyDescent="0.25">
      <c r="C63" s="54"/>
      <c r="D63" t="s">
        <v>220</v>
      </c>
      <c r="F63" s="129">
        <f>SUMPRODUCT(F57:F58,D57:D58)</f>
        <v>0.14499999999999999</v>
      </c>
      <c r="H63" s="54"/>
      <c r="I63" t="s">
        <v>220</v>
      </c>
      <c r="K63" s="129">
        <f>SUMPRODUCT(K57:K58,I57:I58)</f>
        <v>0.14535818649323007</v>
      </c>
      <c r="M63">
        <v>0.4</v>
      </c>
      <c r="N63">
        <v>0.6</v>
      </c>
      <c r="O63" s="128">
        <v>0.12309600000000001</v>
      </c>
    </row>
    <row r="64" spans="2:15" x14ac:dyDescent="0.25">
      <c r="C64" s="54"/>
      <c r="F64" s="40"/>
      <c r="H64" s="54"/>
      <c r="K64" s="40"/>
      <c r="M64">
        <v>0.5</v>
      </c>
      <c r="N64">
        <v>0.5</v>
      </c>
      <c r="O64" s="128">
        <v>0.12384999999999999</v>
      </c>
    </row>
    <row r="65" spans="3:15" ht="15.75" thickBot="1" x14ac:dyDescent="0.3">
      <c r="C65" s="56"/>
      <c r="D65" s="49" t="s">
        <v>221</v>
      </c>
      <c r="E65" s="49"/>
      <c r="F65" s="130">
        <f>SQRT(F57^2*E57^2+F58^2*E58^2+2*F57*F58*E57*E58*F60)</f>
        <v>0.14543039572248989</v>
      </c>
      <c r="H65" s="56"/>
      <c r="I65" s="49" t="s">
        <v>221</v>
      </c>
      <c r="J65" s="49"/>
      <c r="K65" s="130">
        <f>SQRT(K57^2*J57^2+K58^2*J58^2+2*K57*K58*J57*J58*K60)</f>
        <v>0.14665059003480879</v>
      </c>
      <c r="M65" s="131">
        <v>0.50511694990328659</v>
      </c>
      <c r="N65" s="131">
        <v>0.49488305009671341</v>
      </c>
      <c r="O65" s="132">
        <v>0.1238517909356725</v>
      </c>
    </row>
    <row r="66" spans="3:15" x14ac:dyDescent="0.25">
      <c r="M66">
        <v>0.6</v>
      </c>
      <c r="N66">
        <v>0.4</v>
      </c>
      <c r="O66" s="128">
        <v>0.123236</v>
      </c>
    </row>
    <row r="67" spans="3:15" x14ac:dyDescent="0.25">
      <c r="D67" t="s">
        <v>222</v>
      </c>
      <c r="F67" s="128">
        <f>F63-1/2*2*F65^2</f>
        <v>0.12384999999999999</v>
      </c>
      <c r="I67" t="s">
        <v>222</v>
      </c>
      <c r="K67" s="128">
        <f>K63-1/2*2*K65^2</f>
        <v>0.1238517909356725</v>
      </c>
      <c r="M67">
        <v>0.7</v>
      </c>
      <c r="N67">
        <v>0.30000000000000004</v>
      </c>
      <c r="O67" s="128">
        <v>0.12125400000000001</v>
      </c>
    </row>
    <row r="68" spans="3:15" x14ac:dyDescent="0.25">
      <c r="M68">
        <v>0.8</v>
      </c>
      <c r="N68">
        <v>0.19999999999999996</v>
      </c>
      <c r="O68" s="128">
        <v>0.11790399999999998</v>
      </c>
    </row>
    <row r="69" spans="3:15" x14ac:dyDescent="0.25">
      <c r="M69">
        <v>0.9</v>
      </c>
      <c r="N69">
        <v>9.9999999999999978E-2</v>
      </c>
      <c r="O69" s="128">
        <v>0.11318600000000001</v>
      </c>
    </row>
    <row r="70" spans="3:15" x14ac:dyDescent="0.25">
      <c r="M70">
        <v>1</v>
      </c>
      <c r="N70">
        <v>0</v>
      </c>
      <c r="O70" s="128">
        <v>0.10709999999999999</v>
      </c>
    </row>
  </sheetData>
  <mergeCells count="5">
    <mergeCell ref="N22:Q22"/>
    <mergeCell ref="C54:F54"/>
    <mergeCell ref="H54:K54"/>
    <mergeCell ref="D22:G22"/>
    <mergeCell ref="I22:L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0393-402C-4199-80BE-04FB23C41632}">
  <dimension ref="B2:T68"/>
  <sheetViews>
    <sheetView topLeftCell="A21" workbookViewId="0">
      <selection activeCell="P46" sqref="P46"/>
    </sheetView>
  </sheetViews>
  <sheetFormatPr defaultRowHeight="15" x14ac:dyDescent="0.25"/>
  <cols>
    <col min="2" max="2" width="2.28515625" bestFit="1" customWidth="1"/>
  </cols>
  <sheetData>
    <row r="2" spans="2:16" ht="15.75" thickBot="1" x14ac:dyDescent="0.3"/>
    <row r="3" spans="2:16" x14ac:dyDescent="0.25">
      <c r="B3" s="138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2:16" x14ac:dyDescent="0.25">
      <c r="B4" s="315" t="s">
        <v>12</v>
      </c>
      <c r="C4" t="s">
        <v>566</v>
      </c>
      <c r="P4" s="40"/>
    </row>
    <row r="5" spans="2:16" x14ac:dyDescent="0.25">
      <c r="B5" s="315"/>
      <c r="C5" t="s">
        <v>567</v>
      </c>
      <c r="P5" s="40"/>
    </row>
    <row r="6" spans="2:16" x14ac:dyDescent="0.25">
      <c r="B6" s="315"/>
      <c r="P6" s="40"/>
    </row>
    <row r="7" spans="2:16" x14ac:dyDescent="0.25">
      <c r="B7" s="315"/>
      <c r="C7" s="31" t="s">
        <v>568</v>
      </c>
      <c r="P7" s="40"/>
    </row>
    <row r="8" spans="2:16" x14ac:dyDescent="0.25">
      <c r="B8" s="315"/>
      <c r="P8" s="40"/>
    </row>
    <row r="9" spans="2:16" x14ac:dyDescent="0.25">
      <c r="B9" s="315"/>
      <c r="C9" t="s">
        <v>135</v>
      </c>
      <c r="P9" s="40"/>
    </row>
    <row r="10" spans="2:16" x14ac:dyDescent="0.25">
      <c r="B10" s="315"/>
      <c r="C10" t="s">
        <v>136</v>
      </c>
      <c r="P10" s="40"/>
    </row>
    <row r="11" spans="2:16" x14ac:dyDescent="0.25">
      <c r="B11" s="315"/>
      <c r="C11" t="s">
        <v>569</v>
      </c>
      <c r="P11" s="40"/>
    </row>
    <row r="12" spans="2:16" x14ac:dyDescent="0.25">
      <c r="B12" s="315"/>
      <c r="C12" t="s">
        <v>570</v>
      </c>
      <c r="P12" s="40"/>
    </row>
    <row r="13" spans="2:16" ht="15.75" thickBot="1" x14ac:dyDescent="0.3">
      <c r="B13" s="145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50"/>
    </row>
    <row r="15" spans="2:16" ht="15.75" thickBot="1" x14ac:dyDescent="0.3"/>
    <row r="16" spans="2:16" ht="15.75" thickBot="1" x14ac:dyDescent="0.3">
      <c r="F16" s="360" t="s">
        <v>200</v>
      </c>
      <c r="G16" s="361"/>
      <c r="H16" s="361"/>
      <c r="I16" s="362"/>
      <c r="K16" s="360" t="s">
        <v>263</v>
      </c>
      <c r="L16" s="361"/>
      <c r="M16" s="361"/>
      <c r="N16" s="362"/>
    </row>
    <row r="18" spans="6:20" s="4" customFormat="1" x14ac:dyDescent="0.25">
      <c r="F18" s="4" t="s">
        <v>127</v>
      </c>
      <c r="G18" s="4" t="s">
        <v>56</v>
      </c>
      <c r="H18" s="4" t="s">
        <v>124</v>
      </c>
      <c r="I18" s="4" t="s">
        <v>138</v>
      </c>
      <c r="K18" s="4" t="s">
        <v>127</v>
      </c>
      <c r="L18" s="4" t="s">
        <v>56</v>
      </c>
      <c r="M18" s="4" t="s">
        <v>124</v>
      </c>
      <c r="N18" s="4" t="s">
        <v>138</v>
      </c>
      <c r="Q18" s="4" t="s">
        <v>127</v>
      </c>
      <c r="R18" s="4" t="s">
        <v>56</v>
      </c>
      <c r="S18" s="4" t="s">
        <v>124</v>
      </c>
      <c r="T18" s="4" t="s">
        <v>138</v>
      </c>
    </row>
    <row r="19" spans="6:20" s="10" customFormat="1" x14ac:dyDescent="0.25">
      <c r="F19" s="10" t="s">
        <v>15</v>
      </c>
      <c r="G19" s="57">
        <v>0.24</v>
      </c>
      <c r="H19" s="57">
        <v>0.16</v>
      </c>
      <c r="I19" s="10">
        <v>0.67500000000000004</v>
      </c>
      <c r="K19" s="10" t="s">
        <v>15</v>
      </c>
      <c r="L19" s="57">
        <v>0.24</v>
      </c>
      <c r="M19" s="57">
        <v>0.16</v>
      </c>
      <c r="N19" s="316">
        <v>0.65625000781508802</v>
      </c>
      <c r="Q19" s="10" t="s">
        <v>15</v>
      </c>
      <c r="R19" s="57">
        <v>0.24</v>
      </c>
      <c r="S19" s="57">
        <v>0.16</v>
      </c>
      <c r="T19" s="10">
        <v>0.65625000781508802</v>
      </c>
    </row>
    <row r="20" spans="6:20" s="10" customFormat="1" x14ac:dyDescent="0.25">
      <c r="F20" s="10" t="s">
        <v>72</v>
      </c>
      <c r="G20" s="57">
        <v>0.15</v>
      </c>
      <c r="H20" s="57">
        <v>0.24</v>
      </c>
      <c r="I20" s="10">
        <f>1-I19</f>
        <v>0.32499999999999996</v>
      </c>
      <c r="K20" s="10" t="s">
        <v>72</v>
      </c>
      <c r="L20" s="57">
        <v>0.15</v>
      </c>
      <c r="M20" s="57">
        <v>0.24</v>
      </c>
      <c r="N20" s="317">
        <v>0.34374999320379401</v>
      </c>
      <c r="Q20" s="10" t="s">
        <v>72</v>
      </c>
      <c r="R20" s="57">
        <v>0.15</v>
      </c>
      <c r="S20" s="57">
        <v>0.24</v>
      </c>
      <c r="T20" s="10">
        <v>0.34374999320379435</v>
      </c>
    </row>
    <row r="21" spans="6:20" s="10" customFormat="1" x14ac:dyDescent="0.25">
      <c r="N21" s="281">
        <f>N19+N20</f>
        <v>1.0000000010188821</v>
      </c>
      <c r="T21" s="10">
        <f>T19+T20</f>
        <v>1.0000000010188823</v>
      </c>
    </row>
    <row r="22" spans="6:20" x14ac:dyDescent="0.25">
      <c r="H22" t="s">
        <v>141</v>
      </c>
      <c r="I22">
        <v>-0.25</v>
      </c>
      <c r="M22" t="s">
        <v>141</v>
      </c>
      <c r="N22">
        <v>-0.25</v>
      </c>
      <c r="S22" t="s">
        <v>141</v>
      </c>
      <c r="T22">
        <v>-0.25</v>
      </c>
    </row>
    <row r="25" spans="6:20" x14ac:dyDescent="0.25">
      <c r="G25" t="s">
        <v>206</v>
      </c>
      <c r="I25" s="104">
        <f>SUMPRODUCT(I19:I20,G19:G20)</f>
        <v>0.21074999999999999</v>
      </c>
      <c r="L25" t="s">
        <v>206</v>
      </c>
      <c r="N25" s="104">
        <f>SUMPRODUCT(N19:N20,L19:L20)</f>
        <v>0.20906250085619024</v>
      </c>
      <c r="R25" t="s">
        <v>206</v>
      </c>
      <c r="T25" s="104">
        <f>SUMPRODUCT(T19:T20,R19:R20)</f>
        <v>0.20906250085619027</v>
      </c>
    </row>
    <row r="27" spans="6:20" x14ac:dyDescent="0.25">
      <c r="G27" t="s">
        <v>260</v>
      </c>
      <c r="I27" s="104">
        <f>SQRT(I19^2*H19^2+I20^2*H20^2+2*I19*I20*H19*H20*I22)</f>
        <v>0.11634431657799189</v>
      </c>
      <c r="L27" s="117" t="s">
        <v>260</v>
      </c>
      <c r="M27" s="117"/>
      <c r="N27" s="318">
        <f>SQRT(N19^2*M19^2+N20^2*M20^2+2*N19*N20*M19*M20*N22)</f>
        <v>0.11618950050460593</v>
      </c>
      <c r="R27" t="s">
        <v>260</v>
      </c>
      <c r="T27" s="104">
        <f>SQRT(T19^2*S19^2+T20^2*S20^2+2*T19*T20*S19*S20*T22)</f>
        <v>0.11618950050460597</v>
      </c>
    </row>
    <row r="30" spans="6:20" ht="15.75" thickBot="1" x14ac:dyDescent="0.3"/>
    <row r="31" spans="6:20" ht="15.75" thickBot="1" x14ac:dyDescent="0.3">
      <c r="H31" s="360" t="s">
        <v>571</v>
      </c>
      <c r="I31" s="361"/>
      <c r="J31" s="361"/>
      <c r="K31" s="362"/>
    </row>
    <row r="33" spans="5:14" x14ac:dyDescent="0.25">
      <c r="H33" s="4" t="s">
        <v>127</v>
      </c>
      <c r="I33" s="4" t="s">
        <v>56</v>
      </c>
      <c r="J33" s="4" t="s">
        <v>124</v>
      </c>
      <c r="K33" s="4" t="s">
        <v>138</v>
      </c>
    </row>
    <row r="34" spans="5:14" x14ac:dyDescent="0.25">
      <c r="H34" s="10" t="s">
        <v>15</v>
      </c>
      <c r="I34" s="57">
        <v>0.24</v>
      </c>
      <c r="J34" s="57">
        <v>0.16</v>
      </c>
      <c r="K34" s="319">
        <v>0.60000001245012158</v>
      </c>
    </row>
    <row r="35" spans="5:14" x14ac:dyDescent="0.25">
      <c r="H35" s="10" t="s">
        <v>72</v>
      </c>
      <c r="I35" s="57">
        <v>0.15</v>
      </c>
      <c r="J35" s="57">
        <v>0.24</v>
      </c>
      <c r="K35" s="320">
        <v>0.39999999162540922</v>
      </c>
    </row>
    <row r="36" spans="5:14" x14ac:dyDescent="0.25">
      <c r="H36" s="10"/>
      <c r="I36" s="10"/>
      <c r="J36" s="10"/>
      <c r="K36" s="10">
        <f>K34+K35</f>
        <v>1.0000000040755308</v>
      </c>
    </row>
    <row r="38" spans="5:14" x14ac:dyDescent="0.25">
      <c r="J38" s="321" t="s">
        <v>141</v>
      </c>
      <c r="K38" s="321">
        <v>-1</v>
      </c>
    </row>
    <row r="40" spans="5:14" x14ac:dyDescent="0.25">
      <c r="I40" t="s">
        <v>206</v>
      </c>
      <c r="K40" s="104">
        <f>SUMPRODUCT(K34:K35,I34:I35)</f>
        <v>0.20400000173184055</v>
      </c>
    </row>
    <row r="42" spans="5:14" x14ac:dyDescent="0.25">
      <c r="I42" s="295" t="s">
        <v>260</v>
      </c>
      <c r="J42" s="295"/>
      <c r="K42" s="322">
        <f>SQRT(K34^2*J34^2+K35^2*J35^2+2*K34*K35*J34*J35*K38)</f>
        <v>3.7252902984619141E-9</v>
      </c>
    </row>
    <row r="46" spans="5:14" x14ac:dyDescent="0.25">
      <c r="E46" s="30" t="s">
        <v>572</v>
      </c>
      <c r="L46" s="30" t="s">
        <v>573</v>
      </c>
    </row>
    <row r="48" spans="5:14" ht="18.75" thickBot="1" x14ac:dyDescent="0.4">
      <c r="L48" s="4" t="s">
        <v>574</v>
      </c>
      <c r="M48" s="4" t="s">
        <v>575</v>
      </c>
      <c r="N48" s="4" t="s">
        <v>124</v>
      </c>
    </row>
    <row r="49" spans="3:16" ht="22.5" x14ac:dyDescent="0.4">
      <c r="G49" s="60" t="s">
        <v>576</v>
      </c>
      <c r="H49" s="36" t="s">
        <v>30</v>
      </c>
      <c r="I49" s="323" t="s">
        <v>577</v>
      </c>
      <c r="L49" s="324">
        <f>F60</f>
        <v>0.67500000000000004</v>
      </c>
      <c r="M49" s="324">
        <f>1-L49</f>
        <v>0.32499999999999996</v>
      </c>
      <c r="N49" s="325">
        <f>F68</f>
        <v>3.0000000000000023E-2</v>
      </c>
    </row>
    <row r="50" spans="3:16" ht="18.75" thickBot="1" x14ac:dyDescent="0.4">
      <c r="G50" s="56"/>
      <c r="H50" s="49"/>
      <c r="I50" s="50" t="s">
        <v>578</v>
      </c>
      <c r="L50" s="10">
        <v>0</v>
      </c>
      <c r="M50" s="10">
        <v>1</v>
      </c>
      <c r="N50" s="32">
        <v>0.24</v>
      </c>
    </row>
    <row r="51" spans="3:16" x14ac:dyDescent="0.25">
      <c r="L51" s="10">
        <v>0.1</v>
      </c>
      <c r="M51" s="10">
        <v>0.9</v>
      </c>
      <c r="N51" s="32">
        <v>0.2</v>
      </c>
    </row>
    <row r="52" spans="3:16" x14ac:dyDescent="0.25">
      <c r="L52" s="10">
        <v>0.2</v>
      </c>
      <c r="M52" s="10">
        <v>0.8</v>
      </c>
      <c r="N52" s="32">
        <v>0.16</v>
      </c>
    </row>
    <row r="53" spans="3:16" ht="15.75" thickBot="1" x14ac:dyDescent="0.3">
      <c r="L53" s="10">
        <v>0.3</v>
      </c>
      <c r="M53" s="10">
        <v>0.7</v>
      </c>
      <c r="N53" s="32">
        <v>0.11999999999999998</v>
      </c>
    </row>
    <row r="54" spans="3:16" ht="18" x14ac:dyDescent="0.35">
      <c r="G54" s="60" t="s">
        <v>576</v>
      </c>
      <c r="H54" s="36" t="s">
        <v>30</v>
      </c>
      <c r="I54" s="326">
        <f>H20/(H19+H20)</f>
        <v>0.6</v>
      </c>
      <c r="L54" s="10">
        <v>0.4</v>
      </c>
      <c r="M54" s="10">
        <v>0.6</v>
      </c>
      <c r="N54" s="32">
        <v>8.0000000000000016E-2</v>
      </c>
    </row>
    <row r="55" spans="3:16" ht="18.75" thickBot="1" x14ac:dyDescent="0.4">
      <c r="G55" s="56" t="s">
        <v>579</v>
      </c>
      <c r="H55" s="49" t="s">
        <v>30</v>
      </c>
      <c r="I55" s="327">
        <f>1-I54</f>
        <v>0.4</v>
      </c>
      <c r="L55" s="10">
        <v>0.5</v>
      </c>
      <c r="M55" s="10">
        <v>0.5</v>
      </c>
      <c r="N55" s="32">
        <v>4.0000000000000008E-2</v>
      </c>
    </row>
    <row r="56" spans="3:16" ht="15.75" thickBot="1" x14ac:dyDescent="0.3">
      <c r="L56" s="328">
        <v>0.6</v>
      </c>
      <c r="M56" s="328">
        <v>0.4</v>
      </c>
      <c r="N56" s="329">
        <v>2.6341780319308772E-9</v>
      </c>
    </row>
    <row r="57" spans="3:16" ht="15.75" thickBot="1" x14ac:dyDescent="0.3">
      <c r="C57" s="360" t="s">
        <v>580</v>
      </c>
      <c r="D57" s="361"/>
      <c r="E57" s="361"/>
      <c r="F57" s="362"/>
      <c r="L57" s="10">
        <v>0.7</v>
      </c>
      <c r="M57" s="10">
        <v>0.30000000000000004</v>
      </c>
      <c r="N57" s="32">
        <v>3.9999999999999966E-2</v>
      </c>
    </row>
    <row r="58" spans="3:16" x14ac:dyDescent="0.25">
      <c r="L58" s="10">
        <v>0.8</v>
      </c>
      <c r="M58" s="10">
        <v>0.19999999999999996</v>
      </c>
      <c r="N58" s="32">
        <v>8.0000000000000029E-2</v>
      </c>
    </row>
    <row r="59" spans="3:16" x14ac:dyDescent="0.25">
      <c r="C59" s="4" t="s">
        <v>127</v>
      </c>
      <c r="D59" s="4" t="s">
        <v>56</v>
      </c>
      <c r="E59" s="4" t="s">
        <v>124</v>
      </c>
      <c r="F59" s="4" t="s">
        <v>138</v>
      </c>
      <c r="L59" s="10">
        <v>0.9</v>
      </c>
      <c r="M59" s="10">
        <v>9.9999999999999978E-2</v>
      </c>
      <c r="N59" s="32">
        <v>0.12000000000000001</v>
      </c>
    </row>
    <row r="60" spans="3:16" x14ac:dyDescent="0.25">
      <c r="C60" s="10" t="s">
        <v>15</v>
      </c>
      <c r="D60" s="57">
        <v>0.24</v>
      </c>
      <c r="E60" s="57">
        <v>0.16</v>
      </c>
      <c r="F60" s="10">
        <v>0.67500000000000004</v>
      </c>
      <c r="L60" s="10">
        <v>1</v>
      </c>
      <c r="M60" s="10">
        <v>0</v>
      </c>
      <c r="N60" s="32">
        <v>0.16</v>
      </c>
    </row>
    <row r="61" spans="3:16" x14ac:dyDescent="0.25">
      <c r="C61" s="10" t="s">
        <v>72</v>
      </c>
      <c r="D61" s="57">
        <v>0.15</v>
      </c>
      <c r="E61" s="57">
        <v>0.24</v>
      </c>
      <c r="F61" s="10">
        <f>1-F60</f>
        <v>0.32499999999999996</v>
      </c>
    </row>
    <row r="62" spans="3:16" ht="15.75" thickBot="1" x14ac:dyDescent="0.3">
      <c r="C62" s="10"/>
      <c r="D62" s="10"/>
      <c r="E62" s="10"/>
      <c r="F62" s="10"/>
    </row>
    <row r="63" spans="3:16" x14ac:dyDescent="0.25">
      <c r="E63" t="s">
        <v>141</v>
      </c>
      <c r="F63">
        <v>-1</v>
      </c>
      <c r="K63" s="330"/>
      <c r="L63" s="331"/>
      <c r="M63" s="331"/>
      <c r="N63" s="331"/>
      <c r="O63" s="331"/>
      <c r="P63" s="332"/>
    </row>
    <row r="64" spans="3:16" x14ac:dyDescent="0.25">
      <c r="K64" s="333"/>
      <c r="L64" s="334" t="s">
        <v>581</v>
      </c>
      <c r="M64" s="283"/>
      <c r="N64" s="283"/>
      <c r="O64" s="283"/>
      <c r="P64" s="335"/>
    </row>
    <row r="65" spans="4:16" x14ac:dyDescent="0.25">
      <c r="K65" s="333"/>
      <c r="L65" s="334" t="s">
        <v>582</v>
      </c>
      <c r="M65" s="283"/>
      <c r="N65" s="283"/>
      <c r="O65" s="283"/>
      <c r="P65" s="335"/>
    </row>
    <row r="66" spans="4:16" x14ac:dyDescent="0.25">
      <c r="D66" t="s">
        <v>206</v>
      </c>
      <c r="F66" s="104">
        <f>SUMPRODUCT(F60:F61,D60:D61)</f>
        <v>0.21074999999999999</v>
      </c>
      <c r="K66" s="333"/>
      <c r="L66" s="334" t="s">
        <v>583</v>
      </c>
      <c r="M66" s="283"/>
      <c r="N66" s="283"/>
      <c r="O66" s="283"/>
      <c r="P66" s="335"/>
    </row>
    <row r="67" spans="4:16" ht="15.75" thickBot="1" x14ac:dyDescent="0.3">
      <c r="K67" s="336"/>
      <c r="L67" s="337"/>
      <c r="M67" s="337"/>
      <c r="N67" s="337"/>
      <c r="O67" s="337"/>
      <c r="P67" s="338"/>
    </row>
    <row r="68" spans="4:16" x14ac:dyDescent="0.25">
      <c r="D68" t="s">
        <v>260</v>
      </c>
      <c r="F68" s="104">
        <f>SQRT(F60^2*E60^2+F61^2*E61^2+2*F60*F61*E60*E61*F63)</f>
        <v>3.0000000000000023E-2</v>
      </c>
    </row>
  </sheetData>
  <mergeCells count="4">
    <mergeCell ref="F16:I16"/>
    <mergeCell ref="K16:N16"/>
    <mergeCell ref="H31:K31"/>
    <mergeCell ref="C57:F5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B518-E6DA-4B47-9202-D554AE9DA24C}">
  <dimension ref="C3:R44"/>
  <sheetViews>
    <sheetView topLeftCell="A6" workbookViewId="0">
      <selection activeCell="R35" sqref="R35"/>
    </sheetView>
  </sheetViews>
  <sheetFormatPr defaultRowHeight="15" x14ac:dyDescent="0.25"/>
  <cols>
    <col min="1" max="1" width="4" customWidth="1"/>
    <col min="2" max="2" width="3.85546875" customWidth="1"/>
    <col min="8" max="8" width="7.140625" bestFit="1" customWidth="1"/>
    <col min="9" max="9" width="2.140625" customWidth="1"/>
    <col min="13" max="13" width="7.7109375" bestFit="1" customWidth="1"/>
    <col min="14" max="14" width="1.5703125" customWidth="1"/>
    <col min="18" max="18" width="7.7109375" bestFit="1" customWidth="1"/>
  </cols>
  <sheetData>
    <row r="3" spans="3:6" x14ac:dyDescent="0.25">
      <c r="C3" s="22" t="s">
        <v>223</v>
      </c>
    </row>
    <row r="4" spans="3:6" x14ac:dyDescent="0.25">
      <c r="C4" s="10"/>
    </row>
    <row r="5" spans="3:6" ht="15.75" thickBot="1" x14ac:dyDescent="0.3">
      <c r="C5" s="10"/>
    </row>
    <row r="6" spans="3:6" x14ac:dyDescent="0.25">
      <c r="C6" s="10"/>
      <c r="D6" s="53" t="s">
        <v>127</v>
      </c>
      <c r="E6" s="133" t="s">
        <v>224</v>
      </c>
      <c r="F6" s="134" t="s">
        <v>225</v>
      </c>
    </row>
    <row r="7" spans="3:6" x14ac:dyDescent="0.25">
      <c r="C7" s="10"/>
      <c r="D7" s="54" t="s">
        <v>140</v>
      </c>
      <c r="E7" s="57">
        <v>0.06</v>
      </c>
      <c r="F7" s="135">
        <f>10%</f>
        <v>0.1</v>
      </c>
    </row>
    <row r="8" spans="3:6" ht="15.75" thickBot="1" x14ac:dyDescent="0.3">
      <c r="C8" s="10"/>
      <c r="D8" s="56" t="s">
        <v>139</v>
      </c>
      <c r="E8" s="136">
        <v>0.13</v>
      </c>
      <c r="F8" s="137">
        <f>30%</f>
        <v>0.3</v>
      </c>
    </row>
    <row r="9" spans="3:6" x14ac:dyDescent="0.25">
      <c r="C9" s="10"/>
    </row>
    <row r="10" spans="3:6" x14ac:dyDescent="0.25">
      <c r="C10" s="10"/>
      <c r="D10" t="s">
        <v>226</v>
      </c>
    </row>
    <row r="11" spans="3:6" x14ac:dyDescent="0.25">
      <c r="C11" s="10"/>
    </row>
    <row r="12" spans="3:6" x14ac:dyDescent="0.25">
      <c r="C12" s="10"/>
      <c r="D12" t="s">
        <v>227</v>
      </c>
    </row>
    <row r="13" spans="3:6" x14ac:dyDescent="0.25">
      <c r="C13" s="10"/>
      <c r="D13" t="s">
        <v>228</v>
      </c>
    </row>
    <row r="14" spans="3:6" x14ac:dyDescent="0.25">
      <c r="C14" s="10"/>
      <c r="D14" t="s">
        <v>229</v>
      </c>
    </row>
    <row r="15" spans="3:6" ht="18" x14ac:dyDescent="0.35">
      <c r="C15" s="10"/>
      <c r="D15" t="s">
        <v>230</v>
      </c>
    </row>
    <row r="16" spans="3:6" ht="15.75" thickBot="1" x14ac:dyDescent="0.3">
      <c r="C16" s="10"/>
    </row>
    <row r="17" spans="5:18" ht="15.75" thickBot="1" x14ac:dyDescent="0.3">
      <c r="E17" s="360" t="s">
        <v>200</v>
      </c>
      <c r="F17" s="361"/>
      <c r="G17" s="361"/>
      <c r="H17" s="362"/>
      <c r="J17" s="360" t="s">
        <v>263</v>
      </c>
      <c r="K17" s="361"/>
      <c r="L17" s="361"/>
      <c r="M17" s="362"/>
      <c r="O17" s="360" t="s">
        <v>264</v>
      </c>
      <c r="P17" s="361"/>
      <c r="Q17" s="361"/>
      <c r="R17" s="362"/>
    </row>
    <row r="18" spans="5:18" ht="15.75" thickBot="1" x14ac:dyDescent="0.3"/>
    <row r="19" spans="5:18" x14ac:dyDescent="0.25">
      <c r="E19" s="53" t="s">
        <v>127</v>
      </c>
      <c r="F19" s="133" t="s">
        <v>224</v>
      </c>
      <c r="G19" s="133" t="s">
        <v>225</v>
      </c>
      <c r="H19" s="134" t="s">
        <v>138</v>
      </c>
      <c r="J19" s="53" t="s">
        <v>127</v>
      </c>
      <c r="K19" s="133" t="s">
        <v>224</v>
      </c>
      <c r="L19" s="133" t="s">
        <v>225</v>
      </c>
      <c r="M19" s="134" t="s">
        <v>138</v>
      </c>
      <c r="O19" s="53" t="s">
        <v>127</v>
      </c>
      <c r="P19" s="133" t="s">
        <v>224</v>
      </c>
      <c r="Q19" s="133" t="s">
        <v>225</v>
      </c>
      <c r="R19" s="134" t="s">
        <v>138</v>
      </c>
    </row>
    <row r="20" spans="5:18" x14ac:dyDescent="0.25">
      <c r="E20" s="54" t="s">
        <v>140</v>
      </c>
      <c r="F20" s="57">
        <v>0.06</v>
      </c>
      <c r="G20" s="57">
        <f>10%</f>
        <v>0.1</v>
      </c>
      <c r="H20" s="125">
        <v>0.25</v>
      </c>
      <c r="J20" s="54" t="s">
        <v>140</v>
      </c>
      <c r="K20" s="57">
        <v>0.06</v>
      </c>
      <c r="L20" s="57">
        <f>10%</f>
        <v>0.1</v>
      </c>
      <c r="M20" s="183">
        <v>0.82258064519720075</v>
      </c>
      <c r="O20" s="54" t="s">
        <v>140</v>
      </c>
      <c r="P20" s="57">
        <v>0.06</v>
      </c>
      <c r="Q20" s="57">
        <f>10%</f>
        <v>0.1</v>
      </c>
      <c r="R20" s="183">
        <v>0.74144486676823473</v>
      </c>
    </row>
    <row r="21" spans="5:18" ht="15.75" thickBot="1" x14ac:dyDescent="0.3">
      <c r="E21" s="56" t="s">
        <v>139</v>
      </c>
      <c r="F21" s="136">
        <v>0.13</v>
      </c>
      <c r="G21" s="136">
        <f>30%</f>
        <v>0.3</v>
      </c>
      <c r="H21" s="150">
        <f>1-H20</f>
        <v>0.75</v>
      </c>
      <c r="J21" s="56" t="s">
        <v>139</v>
      </c>
      <c r="K21" s="136">
        <v>0.13</v>
      </c>
      <c r="L21" s="136">
        <f>30%</f>
        <v>0.3</v>
      </c>
      <c r="M21" s="184">
        <v>0.17741935480279919</v>
      </c>
      <c r="O21" s="56" t="s">
        <v>139</v>
      </c>
      <c r="P21" s="136">
        <v>0.13</v>
      </c>
      <c r="Q21" s="136">
        <f>30%</f>
        <v>0.3</v>
      </c>
      <c r="R21" s="184">
        <v>0.2585551332317651</v>
      </c>
    </row>
    <row r="22" spans="5:18" x14ac:dyDescent="0.25">
      <c r="H22" s="6"/>
      <c r="M22" s="6"/>
      <c r="R22" s="6"/>
    </row>
    <row r="23" spans="5:18" x14ac:dyDescent="0.25">
      <c r="H23" s="6">
        <f>H20+H21</f>
        <v>1</v>
      </c>
      <c r="M23" s="6">
        <f>M20+M21</f>
        <v>1</v>
      </c>
      <c r="R23" s="6">
        <f>R20+R21</f>
        <v>0.99999999999999978</v>
      </c>
    </row>
    <row r="25" spans="5:18" x14ac:dyDescent="0.25">
      <c r="G25" t="s">
        <v>141</v>
      </c>
      <c r="H25">
        <v>-0.4</v>
      </c>
      <c r="L25" t="s">
        <v>141</v>
      </c>
      <c r="M25">
        <v>-0.4</v>
      </c>
      <c r="Q25" t="s">
        <v>141</v>
      </c>
      <c r="R25">
        <v>-0.4</v>
      </c>
    </row>
    <row r="28" spans="5:18" x14ac:dyDescent="0.25">
      <c r="F28" t="s">
        <v>206</v>
      </c>
      <c r="H28" s="15">
        <f>SUMPRODUCT(H20:H21,F20:F21)</f>
        <v>0.1125</v>
      </c>
      <c r="K28" t="s">
        <v>206</v>
      </c>
      <c r="M28" s="15">
        <f>SUMPRODUCT(M20:M21,K20:K21)</f>
        <v>7.2419354836195937E-2</v>
      </c>
      <c r="P28" t="s">
        <v>206</v>
      </c>
      <c r="R28" s="15">
        <f>SUMPRODUCT(R20:R21,P20:P21)</f>
        <v>7.8098859326223541E-2</v>
      </c>
    </row>
    <row r="30" spans="5:18" x14ac:dyDescent="0.25">
      <c r="F30" t="s">
        <v>260</v>
      </c>
      <c r="H30" s="15">
        <f>SQRT(H20^2*G20^2+H21^2*G21^2+2*H20*H21*G20*G21*H25)</f>
        <v>0.21621748310439654</v>
      </c>
      <c r="K30" t="s">
        <v>260</v>
      </c>
      <c r="M30" s="15">
        <f>SQRT(M20^2*L20^2+M21^2*L21^2+2*M20*M21*L20*L21*M25)</f>
        <v>7.8081842918494099E-2</v>
      </c>
      <c r="P30" t="s">
        <v>260</v>
      </c>
      <c r="R30" s="15">
        <f>SQRT(R20^2*Q20^2+R21^2*Q21^2+2*R20*R21*Q20*Q21*R25)</f>
        <v>8.3144861512566198E-2</v>
      </c>
    </row>
    <row r="32" spans="5:18" x14ac:dyDescent="0.25">
      <c r="P32" s="185" t="s">
        <v>265</v>
      </c>
      <c r="Q32" s="185"/>
      <c r="R32" s="186">
        <f>(R28-3%)/R30</f>
        <v>0.57849467124260068</v>
      </c>
    </row>
    <row r="33" spans="6:16" x14ac:dyDescent="0.25">
      <c r="P33" t="s">
        <v>651</v>
      </c>
    </row>
    <row r="35" spans="6:16" x14ac:dyDescent="0.25">
      <c r="J35" s="113"/>
      <c r="K35" s="113" t="s">
        <v>149</v>
      </c>
      <c r="L35" s="113" t="s">
        <v>124</v>
      </c>
    </row>
    <row r="36" spans="6:16" x14ac:dyDescent="0.25">
      <c r="J36" s="113" t="s">
        <v>266</v>
      </c>
      <c r="K36" s="339">
        <f>M28</f>
        <v>7.2419354836195937E-2</v>
      </c>
      <c r="L36" s="339">
        <f>M30</f>
        <v>7.8081842918494099E-2</v>
      </c>
    </row>
    <row r="37" spans="6:16" x14ac:dyDescent="0.25">
      <c r="J37" s="113" t="s">
        <v>267</v>
      </c>
      <c r="K37" s="340">
        <f>R28</f>
        <v>7.8098859326223541E-2</v>
      </c>
      <c r="L37" s="340">
        <f>R30</f>
        <v>8.3144861512566198E-2</v>
      </c>
    </row>
    <row r="38" spans="6:16" x14ac:dyDescent="0.25">
      <c r="J38" s="113"/>
      <c r="K38" s="113"/>
      <c r="L38" s="113"/>
    </row>
    <row r="39" spans="6:16" x14ac:dyDescent="0.25">
      <c r="J39" s="113" t="s">
        <v>268</v>
      </c>
      <c r="K39" s="339">
        <f>K37-K36</f>
        <v>5.6795044900276037E-3</v>
      </c>
      <c r="L39" s="339">
        <f>L37-L36</f>
        <v>5.0630185940720995E-3</v>
      </c>
    </row>
    <row r="42" spans="6:16" x14ac:dyDescent="0.25">
      <c r="F42" s="148"/>
      <c r="G42" s="148"/>
    </row>
    <row r="44" spans="6:16" x14ac:dyDescent="0.25">
      <c r="F44" s="57"/>
      <c r="G44" s="57"/>
    </row>
  </sheetData>
  <mergeCells count="3">
    <mergeCell ref="E17:H17"/>
    <mergeCell ref="J17:M17"/>
    <mergeCell ref="O17:R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56E3-5675-4B7A-A261-65D756F2027E}">
  <dimension ref="B3:N55"/>
  <sheetViews>
    <sheetView workbookViewId="0">
      <selection activeCell="I62" sqref="I62"/>
    </sheetView>
  </sheetViews>
  <sheetFormatPr defaultRowHeight="15" x14ac:dyDescent="0.25"/>
  <sheetData>
    <row r="3" spans="2:13" ht="15.75" thickBot="1" x14ac:dyDescent="0.3">
      <c r="C3" s="10"/>
      <c r="D3" s="10"/>
      <c r="E3" s="369" t="s">
        <v>250</v>
      </c>
      <c r="F3" s="369"/>
      <c r="G3" s="369"/>
    </row>
    <row r="4" spans="2:13" ht="15.75" thickBot="1" x14ac:dyDescent="0.3">
      <c r="C4" s="164" t="s">
        <v>138</v>
      </c>
      <c r="D4" s="165" t="s">
        <v>176</v>
      </c>
      <c r="E4" s="166" t="s">
        <v>251</v>
      </c>
      <c r="F4" s="167" t="s">
        <v>252</v>
      </c>
      <c r="G4" s="168" t="s">
        <v>253</v>
      </c>
    </row>
    <row r="5" spans="2:13" x14ac:dyDescent="0.25">
      <c r="B5" t="s">
        <v>251</v>
      </c>
      <c r="C5" s="169">
        <v>0.33329999999999999</v>
      </c>
      <c r="D5" s="170">
        <v>0.2</v>
      </c>
      <c r="E5" s="171">
        <v>0.09</v>
      </c>
      <c r="F5" s="172">
        <v>4.4999999999999998E-2</v>
      </c>
      <c r="G5" s="173">
        <v>0.05</v>
      </c>
    </row>
    <row r="6" spans="2:13" x14ac:dyDescent="0.25">
      <c r="B6" t="s">
        <v>252</v>
      </c>
      <c r="C6" s="169">
        <v>0.33339999999999997</v>
      </c>
      <c r="D6" s="170">
        <v>0.12</v>
      </c>
      <c r="E6" s="174">
        <v>4.4999999999999998E-2</v>
      </c>
      <c r="F6" s="175">
        <v>7.0000000000000007E-2</v>
      </c>
      <c r="G6" s="176">
        <v>0.04</v>
      </c>
    </row>
    <row r="7" spans="2:13" ht="15.75" thickBot="1" x14ac:dyDescent="0.3">
      <c r="B7" t="s">
        <v>253</v>
      </c>
      <c r="C7" s="177">
        <f>1-SUM(C5:C6)</f>
        <v>0.33330000000000004</v>
      </c>
      <c r="D7" s="178">
        <v>0.15</v>
      </c>
      <c r="E7" s="179">
        <v>0.05</v>
      </c>
      <c r="F7" s="180">
        <v>0.04</v>
      </c>
      <c r="G7" s="181">
        <v>0.06</v>
      </c>
    </row>
    <row r="8" spans="2:13" x14ac:dyDescent="0.25">
      <c r="C8" s="182">
        <f>SUM(C5:C7)</f>
        <v>1</v>
      </c>
    </row>
    <row r="9" spans="2:13" x14ac:dyDescent="0.25">
      <c r="I9" cm="1">
        <f t="array" ref="I9:K9">MMULT(TRANSPOSE(C5:C7),E5:G7)</f>
        <v>6.1664999999999998E-2</v>
      </c>
      <c r="J9">
        <v>5.1668499999999999E-2</v>
      </c>
      <c r="K9">
        <v>4.9999000000000002E-2</v>
      </c>
    </row>
    <row r="11" spans="2:13" x14ac:dyDescent="0.25">
      <c r="B11" s="31" t="s">
        <v>254</v>
      </c>
      <c r="C11" t="s">
        <v>255</v>
      </c>
      <c r="I11" t="s">
        <v>256</v>
      </c>
      <c r="J11" s="14" cm="1">
        <f t="array" ref="J11">MMULT(_xlfn.ANCHORARRAY(I9),C5:C7)</f>
        <v>5.4443889100000004E-2</v>
      </c>
      <c r="L11" t="s">
        <v>159</v>
      </c>
      <c r="M11" s="15">
        <f>SUMPRODUCT(D5:D7,C5:C7)</f>
        <v>0.156663</v>
      </c>
    </row>
    <row r="12" spans="2:13" x14ac:dyDescent="0.25">
      <c r="I12" t="s">
        <v>257</v>
      </c>
      <c r="J12" s="15">
        <f>SQRT(J11)</f>
        <v>0.23333214330648919</v>
      </c>
      <c r="L12" t="s">
        <v>258</v>
      </c>
      <c r="M12" s="14">
        <f>M11*252</f>
        <v>39.479075999999999</v>
      </c>
    </row>
    <row r="13" spans="2:13" x14ac:dyDescent="0.25">
      <c r="D13" t="s">
        <v>206</v>
      </c>
      <c r="F13" s="15">
        <f>SUMPRODUCT(C5:C7,D5:D7)</f>
        <v>0.156663</v>
      </c>
      <c r="I13" s="13" t="s">
        <v>259</v>
      </c>
      <c r="J13" s="14">
        <f>J12*SQRT(252)</f>
        <v>3.7040329443999283</v>
      </c>
    </row>
    <row r="15" spans="2:13" x14ac:dyDescent="0.25">
      <c r="D15" t="s">
        <v>260</v>
      </c>
      <c r="F15" s="15">
        <f>SQRT(C5^2*E5+C6^2*F6+C7^2*G7+2*C5*C6*F5+2*C6*C7*G6+2*C7*C5*E7)</f>
        <v>0.23333214330648919</v>
      </c>
      <c r="K15" s="15"/>
    </row>
    <row r="19" spans="2:9" x14ac:dyDescent="0.25">
      <c r="B19" s="31" t="s">
        <v>261</v>
      </c>
      <c r="C19" t="s">
        <v>262</v>
      </c>
    </row>
    <row r="23" spans="2:9" ht="15.75" thickBot="1" x14ac:dyDescent="0.3">
      <c r="E23" s="10"/>
      <c r="F23" s="10"/>
      <c r="G23" s="369" t="s">
        <v>250</v>
      </c>
      <c r="H23" s="369"/>
      <c r="I23" s="369"/>
    </row>
    <row r="24" spans="2:9" ht="15.75" thickBot="1" x14ac:dyDescent="0.3">
      <c r="E24" s="164" t="s">
        <v>138</v>
      </c>
      <c r="F24" s="165" t="s">
        <v>176</v>
      </c>
      <c r="G24" s="166" t="s">
        <v>251</v>
      </c>
      <c r="H24" s="167" t="s">
        <v>252</v>
      </c>
      <c r="I24" s="168" t="s">
        <v>253</v>
      </c>
    </row>
    <row r="25" spans="2:9" x14ac:dyDescent="0.25">
      <c r="D25" t="s">
        <v>251</v>
      </c>
      <c r="E25" s="169">
        <v>8.7912021747442101E-2</v>
      </c>
      <c r="F25" s="170">
        <v>0.2</v>
      </c>
      <c r="G25" s="171">
        <v>0.09</v>
      </c>
      <c r="H25" s="172">
        <v>4.4999999999999998E-2</v>
      </c>
      <c r="I25" s="173">
        <v>0.05</v>
      </c>
    </row>
    <row r="26" spans="2:9" x14ac:dyDescent="0.25">
      <c r="D26" t="s">
        <v>252</v>
      </c>
      <c r="E26" s="169">
        <v>0.373626010325388</v>
      </c>
      <c r="F26" s="170">
        <v>0.12</v>
      </c>
      <c r="G26" s="174">
        <v>4.4999999999999998E-2</v>
      </c>
      <c r="H26" s="175">
        <v>7.0000000000000007E-2</v>
      </c>
      <c r="I26" s="176">
        <v>0.04</v>
      </c>
    </row>
    <row r="27" spans="2:9" ht="15.75" thickBot="1" x14ac:dyDescent="0.3">
      <c r="D27" t="s">
        <v>253</v>
      </c>
      <c r="E27" s="177">
        <v>0.53846196792717005</v>
      </c>
      <c r="F27" s="178">
        <v>0.15</v>
      </c>
      <c r="G27" s="179">
        <v>0.05</v>
      </c>
      <c r="H27" s="180">
        <v>0.04</v>
      </c>
      <c r="I27" s="181">
        <v>0.06</v>
      </c>
    </row>
    <row r="28" spans="2:9" x14ac:dyDescent="0.25">
      <c r="E28" s="182">
        <f>SUM(E25:E27)</f>
        <v>1.0000000000000002</v>
      </c>
    </row>
    <row r="33" spans="3:8" x14ac:dyDescent="0.25">
      <c r="F33" t="s">
        <v>206</v>
      </c>
      <c r="H33" s="15">
        <f>SUMPRODUCT(E25:E27,F25:F27)</f>
        <v>0.1431868207776105</v>
      </c>
    </row>
    <row r="35" spans="3:8" x14ac:dyDescent="0.25">
      <c r="F35" t="s">
        <v>260</v>
      </c>
      <c r="H35" s="15">
        <f>SQRT(E25^2*G25+E26^2*H26+E27^2*I27+2*E25*E26*H25+2*E26*E27*I26+2*E27*E25*G27)</f>
        <v>0.22726273704318359</v>
      </c>
    </row>
    <row r="43" spans="3:8" ht="15.75" thickBot="1" x14ac:dyDescent="0.3">
      <c r="D43" s="10"/>
      <c r="E43" s="10"/>
      <c r="F43" s="369" t="s">
        <v>250</v>
      </c>
      <c r="G43" s="369"/>
      <c r="H43" s="369"/>
    </row>
    <row r="44" spans="3:8" ht="15.75" thickBot="1" x14ac:dyDescent="0.3">
      <c r="D44" s="164" t="s">
        <v>138</v>
      </c>
      <c r="E44" s="165" t="s">
        <v>176</v>
      </c>
      <c r="F44" s="166" t="s">
        <v>251</v>
      </c>
      <c r="G44" s="167" t="s">
        <v>252</v>
      </c>
      <c r="H44" s="168" t="s">
        <v>253</v>
      </c>
    </row>
    <row r="45" spans="3:8" x14ac:dyDescent="0.25">
      <c r="C45" t="s">
        <v>251</v>
      </c>
      <c r="D45" s="169">
        <v>8.791202174744249E-2</v>
      </c>
      <c r="E45" s="170">
        <v>0.2</v>
      </c>
      <c r="F45" s="171">
        <v>0.09</v>
      </c>
      <c r="G45" s="172">
        <v>4.4999999999999998E-2</v>
      </c>
      <c r="H45" s="173">
        <v>0.05</v>
      </c>
    </row>
    <row r="46" spans="3:8" x14ac:dyDescent="0.25">
      <c r="C46" t="s">
        <v>252</v>
      </c>
      <c r="D46" s="169">
        <v>0.37362601032538767</v>
      </c>
      <c r="E46" s="170">
        <v>0.12</v>
      </c>
      <c r="F46" s="174">
        <v>4.4999999999999998E-2</v>
      </c>
      <c r="G46" s="175">
        <v>7.0000000000000007E-2</v>
      </c>
      <c r="H46" s="176">
        <v>0.04</v>
      </c>
    </row>
    <row r="47" spans="3:8" ht="15.75" thickBot="1" x14ac:dyDescent="0.3">
      <c r="C47" t="s">
        <v>253</v>
      </c>
      <c r="D47" s="177">
        <v>0.53846196792716983</v>
      </c>
      <c r="E47" s="178">
        <v>0.15</v>
      </c>
      <c r="F47" s="179">
        <v>0.05</v>
      </c>
      <c r="G47" s="180">
        <v>0.04</v>
      </c>
      <c r="H47" s="181">
        <v>0.06</v>
      </c>
    </row>
    <row r="48" spans="3:8" x14ac:dyDescent="0.25">
      <c r="D48" s="182">
        <f>SUM(D45:D47)</f>
        <v>1</v>
      </c>
    </row>
    <row r="49" spans="2:14" x14ac:dyDescent="0.25">
      <c r="J49" cm="1">
        <f t="array" ref="J49:L49">MMULT(TRANSPOSE(D45:D47),F45:H47)</f>
        <v>5.1648350818270766E-2</v>
      </c>
      <c r="K49">
        <v>5.1648340418498841E-2</v>
      </c>
      <c r="L49">
        <v>5.1648359576017822E-2</v>
      </c>
    </row>
    <row r="50" spans="2:14" ht="29.25" customHeight="1" x14ac:dyDescent="0.25">
      <c r="B50" s="31" t="s">
        <v>261</v>
      </c>
      <c r="C50" s="370" t="s">
        <v>262</v>
      </c>
      <c r="D50" s="370"/>
      <c r="E50" s="370"/>
      <c r="F50" s="370"/>
      <c r="G50" s="370"/>
      <c r="H50" s="370"/>
      <c r="I50" s="370"/>
    </row>
    <row r="51" spans="2:14" x14ac:dyDescent="0.25">
      <c r="C51" s="31"/>
      <c r="J51" t="s">
        <v>256</v>
      </c>
      <c r="K51" s="14" cm="1">
        <f t="array" ref="K51">MMULT(_xlfn.ANCHORARRAY(J49),D45:D47)</f>
        <v>5.1648351648359188E-2</v>
      </c>
      <c r="M51" t="s">
        <v>159</v>
      </c>
      <c r="N51" s="15">
        <f>SUMPRODUCT(E45:E47,D45:D47)</f>
        <v>0.14318682077761047</v>
      </c>
    </row>
    <row r="52" spans="2:14" x14ac:dyDescent="0.25">
      <c r="J52" t="s">
        <v>257</v>
      </c>
      <c r="K52" s="15">
        <f>SQRT(K51)</f>
        <v>0.22726273704318353</v>
      </c>
      <c r="M52" t="s">
        <v>258</v>
      </c>
      <c r="N52" s="14">
        <f>N51*252</f>
        <v>36.083078835957835</v>
      </c>
    </row>
    <row r="53" spans="2:14" x14ac:dyDescent="0.25">
      <c r="E53" t="s">
        <v>206</v>
      </c>
      <c r="G53" s="15">
        <f>SUMPRODUCT(D45:D47,E45:E47)</f>
        <v>0.14318682077761047</v>
      </c>
      <c r="J53" s="13" t="s">
        <v>259</v>
      </c>
      <c r="K53" s="14">
        <f>K52*SQRT(252)</f>
        <v>3.6076841069287808</v>
      </c>
    </row>
    <row r="55" spans="2:14" x14ac:dyDescent="0.25">
      <c r="E55" t="s">
        <v>260</v>
      </c>
      <c r="G55" s="15">
        <f>SQRT(D45^2*F45+D46^2*G46+D47^2*H47+2*D45*D46*G45+2*D46*D47*H46+2*D47*D45*F47)</f>
        <v>0.22726273704318353</v>
      </c>
      <c r="L55" s="15"/>
    </row>
  </sheetData>
  <mergeCells count="4">
    <mergeCell ref="E3:G3"/>
    <mergeCell ref="G23:I23"/>
    <mergeCell ref="F43:H43"/>
    <mergeCell ref="C50:I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2136-58B0-4455-8AAA-AAB2DE376DF8}">
  <dimension ref="A1:I491"/>
  <sheetViews>
    <sheetView workbookViewId="0">
      <selection activeCell="L28" sqref="L28"/>
    </sheetView>
  </sheetViews>
  <sheetFormatPr defaultRowHeight="15" x14ac:dyDescent="0.25"/>
  <cols>
    <col min="1" max="5" width="11.85546875" customWidth="1"/>
  </cols>
  <sheetData>
    <row r="1" spans="1:9" ht="15.75" thickBot="1" x14ac:dyDescent="0.3">
      <c r="A1" s="16" t="s">
        <v>231</v>
      </c>
      <c r="B1" s="17" t="s">
        <v>232</v>
      </c>
      <c r="C1" s="17" t="s">
        <v>233</v>
      </c>
      <c r="D1" s="17" t="s">
        <v>234</v>
      </c>
      <c r="E1" s="18" t="s">
        <v>235</v>
      </c>
      <c r="F1" s="360" t="s">
        <v>123</v>
      </c>
      <c r="G1" s="361"/>
      <c r="H1" s="361"/>
      <c r="I1" s="362"/>
    </row>
    <row r="2" spans="1:9" ht="15.75" thickBot="1" x14ac:dyDescent="0.3">
      <c r="A2" s="139">
        <v>43395</v>
      </c>
      <c r="B2" s="140">
        <v>2240.15</v>
      </c>
      <c r="C2" s="140">
        <v>213.55</v>
      </c>
      <c r="D2" s="140">
        <v>1200.4000000000001</v>
      </c>
      <c r="E2" s="141">
        <v>211.5</v>
      </c>
      <c r="F2" s="145" t="s">
        <v>232</v>
      </c>
      <c r="G2" s="146" t="s">
        <v>233</v>
      </c>
      <c r="H2" s="146" t="s">
        <v>234</v>
      </c>
      <c r="I2" s="147" t="s">
        <v>235</v>
      </c>
    </row>
    <row r="3" spans="1:9" x14ac:dyDescent="0.25">
      <c r="A3" s="139">
        <v>43396</v>
      </c>
      <c r="B3" s="140">
        <v>2198.4499999999998</v>
      </c>
      <c r="C3" s="140">
        <v>210.35</v>
      </c>
      <c r="D3" s="140">
        <v>1138.45</v>
      </c>
      <c r="E3" s="141">
        <v>213.2</v>
      </c>
      <c r="F3">
        <f>(B3-B2)/B2</f>
        <v>-1.8614824900118416E-2</v>
      </c>
      <c r="G3">
        <f>(C3-C2)/C2</f>
        <v>-1.4984781081713963E-2</v>
      </c>
      <c r="H3">
        <f t="shared" ref="H3:I3" si="0">(D3-D2)/D2</f>
        <v>-5.1607797400866413E-2</v>
      </c>
      <c r="I3">
        <f t="shared" si="0"/>
        <v>8.0378250591016005E-3</v>
      </c>
    </row>
    <row r="4" spans="1:9" x14ac:dyDescent="0.25">
      <c r="A4" s="139">
        <v>43397</v>
      </c>
      <c r="B4" s="140">
        <v>2170.75</v>
      </c>
      <c r="C4" s="140">
        <v>211.9</v>
      </c>
      <c r="D4" s="140">
        <v>1186.9000000000001</v>
      </c>
      <c r="E4" s="141">
        <v>204</v>
      </c>
      <c r="F4">
        <f t="shared" ref="F4:F67" si="1">(B4-B3)/B3</f>
        <v>-1.2599786213013633E-2</v>
      </c>
      <c r="G4">
        <f t="shared" ref="G4:G67" si="2">(C4-C3)/C3</f>
        <v>7.3686712621821322E-3</v>
      </c>
      <c r="H4">
        <f t="shared" ref="H4:H67" si="3">(D4-D3)/D3</f>
        <v>4.2557863762132761E-2</v>
      </c>
      <c r="I4">
        <f t="shared" ref="I4:I67" si="4">(E4-E3)/E3</f>
        <v>-4.3151969981238221E-2</v>
      </c>
    </row>
    <row r="5" spans="1:9" x14ac:dyDescent="0.25">
      <c r="A5" s="139">
        <v>43398</v>
      </c>
      <c r="B5" s="140">
        <v>2105.3000000000002</v>
      </c>
      <c r="C5" s="140">
        <v>204.6</v>
      </c>
      <c r="D5" s="140">
        <v>1200.05</v>
      </c>
      <c r="E5" s="141">
        <v>198.35</v>
      </c>
      <c r="F5">
        <f t="shared" si="1"/>
        <v>-3.0150869515144452E-2</v>
      </c>
      <c r="G5">
        <f t="shared" si="2"/>
        <v>-3.4450212364322844E-2</v>
      </c>
      <c r="H5">
        <f t="shared" si="3"/>
        <v>1.1079282163619397E-2</v>
      </c>
      <c r="I5">
        <f t="shared" si="4"/>
        <v>-2.7696078431372576E-2</v>
      </c>
    </row>
    <row r="6" spans="1:9" x14ac:dyDescent="0.25">
      <c r="A6" s="139">
        <v>43399</v>
      </c>
      <c r="B6" s="140">
        <v>2084.25</v>
      </c>
      <c r="C6" s="140">
        <v>203.65</v>
      </c>
      <c r="D6" s="140">
        <v>1190.3</v>
      </c>
      <c r="E6" s="141">
        <v>180.7</v>
      </c>
      <c r="F6">
        <f t="shared" si="1"/>
        <v>-9.9985750249371487E-3</v>
      </c>
      <c r="G6">
        <f t="shared" si="2"/>
        <v>-4.6432062561094266E-3</v>
      </c>
      <c r="H6">
        <f t="shared" si="3"/>
        <v>-8.124661472438649E-3</v>
      </c>
      <c r="I6">
        <f t="shared" si="4"/>
        <v>-8.898411898159822E-2</v>
      </c>
    </row>
    <row r="7" spans="1:9" x14ac:dyDescent="0.25">
      <c r="A7" s="139">
        <v>43402</v>
      </c>
      <c r="B7" s="140">
        <v>2102.1999999999998</v>
      </c>
      <c r="C7" s="140">
        <v>211.4</v>
      </c>
      <c r="D7" s="140">
        <v>1196.05</v>
      </c>
      <c r="E7" s="141">
        <v>181.3</v>
      </c>
      <c r="F7">
        <f t="shared" si="1"/>
        <v>8.6122106273238894E-3</v>
      </c>
      <c r="G7">
        <f t="shared" si="2"/>
        <v>3.8055487355757422E-2</v>
      </c>
      <c r="H7">
        <f t="shared" si="3"/>
        <v>4.8307149458119807E-3</v>
      </c>
      <c r="I7">
        <f t="shared" si="4"/>
        <v>3.3204205866077629E-3</v>
      </c>
    </row>
    <row r="8" spans="1:9" x14ac:dyDescent="0.25">
      <c r="A8" s="139">
        <v>43403</v>
      </c>
      <c r="B8" s="140">
        <v>2080.0500000000002</v>
      </c>
      <c r="C8" s="140">
        <v>211.2</v>
      </c>
      <c r="D8" s="140">
        <v>1196.3</v>
      </c>
      <c r="E8" s="141">
        <v>182.05</v>
      </c>
      <c r="F8">
        <f t="shared" si="1"/>
        <v>-1.0536580724954637E-2</v>
      </c>
      <c r="G8">
        <f t="shared" si="2"/>
        <v>-9.4607379375599363E-4</v>
      </c>
      <c r="H8">
        <f t="shared" si="3"/>
        <v>2.0902136198319468E-4</v>
      </c>
      <c r="I8">
        <f t="shared" si="4"/>
        <v>4.1367898510755651E-3</v>
      </c>
    </row>
    <row r="9" spans="1:9" x14ac:dyDescent="0.25">
      <c r="A9" s="139">
        <v>43404</v>
      </c>
      <c r="B9" s="140">
        <v>2094.4</v>
      </c>
      <c r="C9" s="140">
        <v>211.15</v>
      </c>
      <c r="D9" s="140">
        <v>1230.4000000000001</v>
      </c>
      <c r="E9" s="141">
        <v>188.1</v>
      </c>
      <c r="F9">
        <f t="shared" si="1"/>
        <v>6.8988726232542047E-3</v>
      </c>
      <c r="G9">
        <f t="shared" si="2"/>
        <v>-2.367424242423435E-4</v>
      </c>
      <c r="H9">
        <f t="shared" si="3"/>
        <v>2.8504555713449918E-2</v>
      </c>
      <c r="I9">
        <f t="shared" si="4"/>
        <v>3.3232628398791444E-2</v>
      </c>
    </row>
    <row r="10" spans="1:9" x14ac:dyDescent="0.25">
      <c r="A10" s="139">
        <v>43405</v>
      </c>
      <c r="B10" s="140">
        <v>2098.85</v>
      </c>
      <c r="C10" s="140">
        <v>212.8</v>
      </c>
      <c r="D10" s="140">
        <v>1217.8</v>
      </c>
      <c r="E10" s="141">
        <v>204.05</v>
      </c>
      <c r="F10">
        <f t="shared" si="1"/>
        <v>2.1247135217722585E-3</v>
      </c>
      <c r="G10">
        <f t="shared" si="2"/>
        <v>7.8143499881601023E-3</v>
      </c>
      <c r="H10">
        <f t="shared" si="3"/>
        <v>-1.0240572171651606E-2</v>
      </c>
      <c r="I10">
        <f t="shared" si="4"/>
        <v>8.4795321637426993E-2</v>
      </c>
    </row>
    <row r="11" spans="1:9" x14ac:dyDescent="0.25">
      <c r="A11" s="139">
        <v>43406</v>
      </c>
      <c r="B11" s="140">
        <v>2140.3000000000002</v>
      </c>
      <c r="C11" s="140">
        <v>225.9</v>
      </c>
      <c r="D11" s="140">
        <v>1247</v>
      </c>
      <c r="E11" s="141">
        <v>209.1</v>
      </c>
      <c r="F11">
        <f t="shared" si="1"/>
        <v>1.9748910117445399E-2</v>
      </c>
      <c r="G11">
        <f t="shared" si="2"/>
        <v>6.1560150375939822E-2</v>
      </c>
      <c r="H11">
        <f t="shared" si="3"/>
        <v>2.3977664641156221E-2</v>
      </c>
      <c r="I11">
        <f t="shared" si="4"/>
        <v>2.4748836069590701E-2</v>
      </c>
    </row>
    <row r="12" spans="1:9" x14ac:dyDescent="0.25">
      <c r="A12" s="139">
        <v>43409</v>
      </c>
      <c r="B12" s="140">
        <v>2149.8000000000002</v>
      </c>
      <c r="C12" s="140">
        <v>222.45</v>
      </c>
      <c r="D12" s="140">
        <v>1244.05</v>
      </c>
      <c r="E12" s="141">
        <v>210.1</v>
      </c>
      <c r="F12">
        <f t="shared" si="1"/>
        <v>4.4386300985843098E-3</v>
      </c>
      <c r="G12">
        <f t="shared" si="2"/>
        <v>-1.5272244355909769E-2</v>
      </c>
      <c r="H12">
        <f t="shared" si="3"/>
        <v>-2.3656776263031639E-3</v>
      </c>
      <c r="I12">
        <f t="shared" si="4"/>
        <v>4.7824007651841227E-3</v>
      </c>
    </row>
    <row r="13" spans="1:9" x14ac:dyDescent="0.25">
      <c r="A13" s="139">
        <v>43410</v>
      </c>
      <c r="B13" s="140">
        <v>2124.4499999999998</v>
      </c>
      <c r="C13" s="140">
        <v>207.4</v>
      </c>
      <c r="D13" s="140">
        <v>1238.5</v>
      </c>
      <c r="E13" s="141">
        <v>214.45</v>
      </c>
      <c r="F13">
        <f t="shared" si="1"/>
        <v>-1.1791794585543009E-2</v>
      </c>
      <c r="G13">
        <f t="shared" si="2"/>
        <v>-6.7655652955720319E-2</v>
      </c>
      <c r="H13">
        <f t="shared" si="3"/>
        <v>-4.4612354808889953E-3</v>
      </c>
      <c r="I13">
        <f t="shared" si="4"/>
        <v>2.0704426463588742E-2</v>
      </c>
    </row>
    <row r="14" spans="1:9" x14ac:dyDescent="0.25">
      <c r="A14" s="139">
        <v>43411</v>
      </c>
      <c r="B14" s="140">
        <v>2136.25</v>
      </c>
      <c r="C14" s="140">
        <v>209.75</v>
      </c>
      <c r="D14" s="140">
        <v>1250.95</v>
      </c>
      <c r="E14" s="141">
        <v>215.95</v>
      </c>
      <c r="F14">
        <f t="shared" si="1"/>
        <v>5.5543787803903049E-3</v>
      </c>
      <c r="G14">
        <f t="shared" si="2"/>
        <v>1.1330761812921862E-2</v>
      </c>
      <c r="H14">
        <f t="shared" si="3"/>
        <v>1.0052482842147796E-2</v>
      </c>
      <c r="I14">
        <f t="shared" si="4"/>
        <v>6.9946374446257873E-3</v>
      </c>
    </row>
    <row r="15" spans="1:9" x14ac:dyDescent="0.25">
      <c r="A15" s="139">
        <v>43413</v>
      </c>
      <c r="B15" s="140">
        <v>2140.6</v>
      </c>
      <c r="C15" s="140">
        <v>209.05</v>
      </c>
      <c r="D15" s="140">
        <v>1295.5999999999999</v>
      </c>
      <c r="E15" s="141">
        <v>227.9</v>
      </c>
      <c r="F15">
        <f t="shared" si="1"/>
        <v>2.0362785254534389E-3</v>
      </c>
      <c r="G15">
        <f t="shared" si="2"/>
        <v>-3.3373063170440459E-3</v>
      </c>
      <c r="H15">
        <f t="shared" si="3"/>
        <v>3.5692873416203572E-2</v>
      </c>
      <c r="I15">
        <f t="shared" si="4"/>
        <v>5.5336883537856069E-2</v>
      </c>
    </row>
    <row r="16" spans="1:9" x14ac:dyDescent="0.25">
      <c r="A16" s="139">
        <v>43416</v>
      </c>
      <c r="B16" s="140">
        <v>2142.1999999999998</v>
      </c>
      <c r="C16" s="140">
        <v>203.15</v>
      </c>
      <c r="D16" s="140">
        <v>1278.8</v>
      </c>
      <c r="E16" s="141">
        <v>223.05</v>
      </c>
      <c r="F16">
        <f t="shared" si="1"/>
        <v>7.4745398486401437E-4</v>
      </c>
      <c r="G16">
        <f t="shared" si="2"/>
        <v>-2.8222913178665418E-2</v>
      </c>
      <c r="H16">
        <f t="shared" si="3"/>
        <v>-1.2966965112689067E-2</v>
      </c>
      <c r="I16">
        <f t="shared" si="4"/>
        <v>-2.1281263712154427E-2</v>
      </c>
    </row>
    <row r="17" spans="1:9" x14ac:dyDescent="0.25">
      <c r="A17" s="139">
        <v>43417</v>
      </c>
      <c r="B17" s="140">
        <v>2116.35</v>
      </c>
      <c r="C17" s="140">
        <v>205.6</v>
      </c>
      <c r="D17" s="140">
        <v>1284.9000000000001</v>
      </c>
      <c r="E17" s="141">
        <v>225.45</v>
      </c>
      <c r="F17">
        <f t="shared" si="1"/>
        <v>-1.2067033890393012E-2</v>
      </c>
      <c r="G17">
        <f t="shared" si="2"/>
        <v>1.206005414718183E-2</v>
      </c>
      <c r="H17">
        <f t="shared" si="3"/>
        <v>4.7700969659056434E-3</v>
      </c>
      <c r="I17">
        <f t="shared" si="4"/>
        <v>1.0759919300605143E-2</v>
      </c>
    </row>
    <row r="18" spans="1:9" x14ac:dyDescent="0.25">
      <c r="A18" s="139">
        <v>43418</v>
      </c>
      <c r="B18" s="140">
        <v>2104.5</v>
      </c>
      <c r="C18" s="140">
        <v>204.1</v>
      </c>
      <c r="D18" s="140">
        <v>1320.55</v>
      </c>
      <c r="E18" s="141">
        <v>222.4</v>
      </c>
      <c r="F18">
        <f t="shared" si="1"/>
        <v>-5.5992628818484231E-3</v>
      </c>
      <c r="G18">
        <f t="shared" si="2"/>
        <v>-7.2957198443579768E-3</v>
      </c>
      <c r="H18">
        <f t="shared" si="3"/>
        <v>2.7745349832671694E-2</v>
      </c>
      <c r="I18">
        <f t="shared" si="4"/>
        <v>-1.3528498558438603E-2</v>
      </c>
    </row>
    <row r="19" spans="1:9" x14ac:dyDescent="0.25">
      <c r="A19" s="139">
        <v>43419</v>
      </c>
      <c r="B19" s="140">
        <v>2055.6999999999998</v>
      </c>
      <c r="C19" s="140">
        <v>207.55</v>
      </c>
      <c r="D19" s="140">
        <v>1318.3</v>
      </c>
      <c r="E19" s="141">
        <v>205.85</v>
      </c>
      <c r="F19">
        <f t="shared" si="1"/>
        <v>-2.3188405797101536E-2</v>
      </c>
      <c r="G19">
        <f t="shared" si="2"/>
        <v>1.6903478686918261E-2</v>
      </c>
      <c r="H19">
        <f t="shared" si="3"/>
        <v>-1.7038355230775057E-3</v>
      </c>
      <c r="I19">
        <f t="shared" si="4"/>
        <v>-7.4415467625899331E-2</v>
      </c>
    </row>
    <row r="20" spans="1:9" x14ac:dyDescent="0.25">
      <c r="A20" s="139">
        <v>43420</v>
      </c>
      <c r="B20" s="140">
        <v>1994.1</v>
      </c>
      <c r="C20" s="140">
        <v>206.8</v>
      </c>
      <c r="D20" s="140">
        <v>1321.3</v>
      </c>
      <c r="E20" s="141">
        <v>191</v>
      </c>
      <c r="F20">
        <f t="shared" si="1"/>
        <v>-2.9965461886461989E-2</v>
      </c>
      <c r="G20">
        <f t="shared" si="2"/>
        <v>-3.6135870874488074E-3</v>
      </c>
      <c r="H20">
        <f t="shared" si="3"/>
        <v>2.2756580444511874E-3</v>
      </c>
      <c r="I20">
        <f t="shared" si="4"/>
        <v>-7.2139907699781375E-2</v>
      </c>
    </row>
    <row r="21" spans="1:9" x14ac:dyDescent="0.25">
      <c r="A21" s="139">
        <v>43423</v>
      </c>
      <c r="B21" s="140">
        <v>2049.0500000000002</v>
      </c>
      <c r="C21" s="140">
        <v>211.35</v>
      </c>
      <c r="D21" s="140">
        <v>1312.15</v>
      </c>
      <c r="E21" s="141">
        <v>204.8</v>
      </c>
      <c r="F21">
        <f t="shared" si="1"/>
        <v>2.7556291058623075E-2</v>
      </c>
      <c r="G21">
        <f t="shared" si="2"/>
        <v>2.2001934235976704E-2</v>
      </c>
      <c r="H21">
        <f t="shared" si="3"/>
        <v>-6.924998107923911E-3</v>
      </c>
      <c r="I21">
        <f t="shared" si="4"/>
        <v>7.2251308900523614E-2</v>
      </c>
    </row>
    <row r="22" spans="1:9" x14ac:dyDescent="0.25">
      <c r="A22" s="139">
        <v>43424</v>
      </c>
      <c r="B22" s="140">
        <v>2033.5</v>
      </c>
      <c r="C22" s="140">
        <v>205.25</v>
      </c>
      <c r="D22" s="140">
        <v>1306.8499999999999</v>
      </c>
      <c r="E22" s="141">
        <v>192.1</v>
      </c>
      <c r="F22">
        <f t="shared" si="1"/>
        <v>-7.5888826529368148E-3</v>
      </c>
      <c r="G22">
        <f t="shared" si="2"/>
        <v>-2.8862077123255239E-2</v>
      </c>
      <c r="H22">
        <f t="shared" si="3"/>
        <v>-4.0391723507222357E-3</v>
      </c>
      <c r="I22">
        <f t="shared" si="4"/>
        <v>-6.2011718750000083E-2</v>
      </c>
    </row>
    <row r="23" spans="1:9" x14ac:dyDescent="0.25">
      <c r="A23" s="139">
        <v>43425</v>
      </c>
      <c r="B23" s="140">
        <v>2039.75</v>
      </c>
      <c r="C23" s="140">
        <v>201.9</v>
      </c>
      <c r="D23" s="140">
        <v>1324.2</v>
      </c>
      <c r="E23" s="141">
        <v>198.15</v>
      </c>
      <c r="F23">
        <f t="shared" si="1"/>
        <v>3.073518564052127E-3</v>
      </c>
      <c r="G23">
        <f t="shared" si="2"/>
        <v>-1.6321559074299608E-2</v>
      </c>
      <c r="H23">
        <f t="shared" si="3"/>
        <v>1.3276198492558547E-2</v>
      </c>
      <c r="I23">
        <f t="shared" si="4"/>
        <v>3.1494013534617449E-2</v>
      </c>
    </row>
    <row r="24" spans="1:9" x14ac:dyDescent="0.25">
      <c r="A24" s="139">
        <v>43426</v>
      </c>
      <c r="B24" s="140">
        <v>2059.8000000000002</v>
      </c>
      <c r="C24" s="140">
        <v>199.6</v>
      </c>
      <c r="D24" s="140">
        <v>1314.4</v>
      </c>
      <c r="E24" s="141">
        <v>195.55</v>
      </c>
      <c r="F24">
        <f t="shared" si="1"/>
        <v>9.8296359848021476E-3</v>
      </c>
      <c r="G24">
        <f t="shared" si="2"/>
        <v>-1.1391778107974301E-2</v>
      </c>
      <c r="H24">
        <f t="shared" si="3"/>
        <v>-7.4006947590997988E-3</v>
      </c>
      <c r="I24">
        <f t="shared" si="4"/>
        <v>-1.3121372697451396E-2</v>
      </c>
    </row>
    <row r="25" spans="1:9" x14ac:dyDescent="0.25">
      <c r="A25" s="139">
        <v>43430</v>
      </c>
      <c r="B25" s="140">
        <v>2050.5500000000002</v>
      </c>
      <c r="C25" s="140">
        <v>195.8</v>
      </c>
      <c r="D25" s="140">
        <v>1349.5</v>
      </c>
      <c r="E25" s="141">
        <v>187.9</v>
      </c>
      <c r="F25">
        <f t="shared" si="1"/>
        <v>-4.4907272550733079E-3</v>
      </c>
      <c r="G25">
        <f t="shared" si="2"/>
        <v>-1.9038076152304524E-2</v>
      </c>
      <c r="H25">
        <f t="shared" si="3"/>
        <v>2.6704199634814293E-2</v>
      </c>
      <c r="I25">
        <f t="shared" si="4"/>
        <v>-3.9120429557657918E-2</v>
      </c>
    </row>
    <row r="26" spans="1:9" x14ac:dyDescent="0.25">
      <c r="A26" s="139">
        <v>43431</v>
      </c>
      <c r="B26" s="140">
        <v>2066.8000000000002</v>
      </c>
      <c r="C26" s="140">
        <v>195</v>
      </c>
      <c r="D26" s="140">
        <v>1339.6</v>
      </c>
      <c r="E26" s="141">
        <v>182.65</v>
      </c>
      <c r="F26">
        <f t="shared" si="1"/>
        <v>7.9247031284289567E-3</v>
      </c>
      <c r="G26">
        <f t="shared" si="2"/>
        <v>-4.0858018386108856E-3</v>
      </c>
      <c r="H26">
        <f t="shared" si="3"/>
        <v>-7.336050389033043E-3</v>
      </c>
      <c r="I26">
        <f t="shared" si="4"/>
        <v>-2.7940393826503457E-2</v>
      </c>
    </row>
    <row r="27" spans="1:9" x14ac:dyDescent="0.25">
      <c r="A27" s="139">
        <v>43432</v>
      </c>
      <c r="B27" s="140">
        <v>2049.4</v>
      </c>
      <c r="C27" s="140">
        <v>192.95</v>
      </c>
      <c r="D27" s="140">
        <v>1324.25</v>
      </c>
      <c r="E27" s="141">
        <v>162.1</v>
      </c>
      <c r="F27">
        <f t="shared" si="1"/>
        <v>-8.4188116895684579E-3</v>
      </c>
      <c r="G27">
        <f t="shared" si="2"/>
        <v>-1.0512820512820572E-2</v>
      </c>
      <c r="H27">
        <f t="shared" si="3"/>
        <v>-1.1458644371454099E-2</v>
      </c>
      <c r="I27">
        <f t="shared" si="4"/>
        <v>-0.11251026553517662</v>
      </c>
    </row>
    <row r="28" spans="1:9" x14ac:dyDescent="0.25">
      <c r="A28" s="139">
        <v>43433</v>
      </c>
      <c r="B28" s="140">
        <v>2065</v>
      </c>
      <c r="C28" s="140">
        <v>198.8</v>
      </c>
      <c r="D28" s="140">
        <v>1350.3</v>
      </c>
      <c r="E28" s="141">
        <v>160.44999999999999</v>
      </c>
      <c r="F28">
        <f t="shared" si="1"/>
        <v>7.6119839953156573E-3</v>
      </c>
      <c r="G28">
        <f t="shared" si="2"/>
        <v>3.0318735423685014E-2</v>
      </c>
      <c r="H28">
        <f t="shared" si="3"/>
        <v>1.9671512176703761E-2</v>
      </c>
      <c r="I28">
        <f t="shared" si="4"/>
        <v>-1.0178901912399788E-2</v>
      </c>
    </row>
    <row r="29" spans="1:9" x14ac:dyDescent="0.25">
      <c r="A29" s="139">
        <v>43434</v>
      </c>
      <c r="B29" s="140">
        <v>2038.05</v>
      </c>
      <c r="C29" s="140">
        <v>195.85</v>
      </c>
      <c r="D29" s="140">
        <v>1345.95</v>
      </c>
      <c r="E29" s="141">
        <v>169.8</v>
      </c>
      <c r="F29">
        <f t="shared" si="1"/>
        <v>-1.305084745762714E-2</v>
      </c>
      <c r="G29">
        <f t="shared" si="2"/>
        <v>-1.4839034205231473E-2</v>
      </c>
      <c r="H29">
        <f t="shared" si="3"/>
        <v>-3.2215063319261713E-3</v>
      </c>
      <c r="I29">
        <f t="shared" si="4"/>
        <v>5.8273605484574782E-2</v>
      </c>
    </row>
    <row r="30" spans="1:9" x14ac:dyDescent="0.25">
      <c r="A30" s="139">
        <v>43437</v>
      </c>
      <c r="B30" s="140">
        <v>2051.1999999999998</v>
      </c>
      <c r="C30" s="140">
        <v>202.95</v>
      </c>
      <c r="D30" s="140">
        <v>1338.7</v>
      </c>
      <c r="E30" s="141">
        <v>178</v>
      </c>
      <c r="F30">
        <f t="shared" si="1"/>
        <v>6.4522460194793374E-3</v>
      </c>
      <c r="G30">
        <f t="shared" si="2"/>
        <v>3.6252233852438059E-2</v>
      </c>
      <c r="H30">
        <f t="shared" si="3"/>
        <v>-5.3865299602511236E-3</v>
      </c>
      <c r="I30">
        <f t="shared" si="4"/>
        <v>4.8292108362779668E-2</v>
      </c>
    </row>
    <row r="31" spans="1:9" x14ac:dyDescent="0.25">
      <c r="A31" s="139">
        <v>43438</v>
      </c>
      <c r="B31" s="140">
        <v>2053.1</v>
      </c>
      <c r="C31" s="140">
        <v>206.2</v>
      </c>
      <c r="D31" s="140">
        <v>1329.45</v>
      </c>
      <c r="E31" s="141">
        <v>176.5</v>
      </c>
      <c r="F31">
        <f t="shared" si="1"/>
        <v>9.2628705148210366E-4</v>
      </c>
      <c r="G31">
        <f t="shared" si="2"/>
        <v>1.6013796501601382E-2</v>
      </c>
      <c r="H31">
        <f t="shared" si="3"/>
        <v>-6.9096885037723162E-3</v>
      </c>
      <c r="I31">
        <f t="shared" si="4"/>
        <v>-8.4269662921348312E-3</v>
      </c>
    </row>
    <row r="32" spans="1:9" x14ac:dyDescent="0.25">
      <c r="A32" s="139">
        <v>43439</v>
      </c>
      <c r="B32" s="140">
        <v>2027.1</v>
      </c>
      <c r="C32" s="140">
        <v>198.4</v>
      </c>
      <c r="D32" s="140">
        <v>1329.5</v>
      </c>
      <c r="E32" s="141">
        <v>173.4</v>
      </c>
      <c r="F32">
        <f t="shared" si="1"/>
        <v>-1.2663776727874922E-2</v>
      </c>
      <c r="G32">
        <f t="shared" si="2"/>
        <v>-3.7827352085353948E-2</v>
      </c>
      <c r="H32">
        <f t="shared" si="3"/>
        <v>3.7609537778746494E-5</v>
      </c>
      <c r="I32">
        <f t="shared" si="4"/>
        <v>-1.7563739376770506E-2</v>
      </c>
    </row>
    <row r="33" spans="1:9" x14ac:dyDescent="0.25">
      <c r="A33" s="139">
        <v>43440</v>
      </c>
      <c r="B33" s="140">
        <v>1983.2</v>
      </c>
      <c r="C33" s="140">
        <v>195.35</v>
      </c>
      <c r="D33" s="140">
        <v>1295.0999999999999</v>
      </c>
      <c r="E33" s="141">
        <v>168.45</v>
      </c>
      <c r="F33">
        <f t="shared" si="1"/>
        <v>-2.165655369740016E-2</v>
      </c>
      <c r="G33">
        <f t="shared" si="2"/>
        <v>-1.5372983870967799E-2</v>
      </c>
      <c r="H33">
        <f t="shared" si="3"/>
        <v>-2.5874388867995556E-2</v>
      </c>
      <c r="I33">
        <f t="shared" si="4"/>
        <v>-2.8546712802768263E-2</v>
      </c>
    </row>
    <row r="34" spans="1:9" x14ac:dyDescent="0.25">
      <c r="A34" s="139">
        <v>43441</v>
      </c>
      <c r="B34" s="140">
        <v>1957.3</v>
      </c>
      <c r="C34" s="140">
        <v>195.7</v>
      </c>
      <c r="D34" s="140">
        <v>1318.65</v>
      </c>
      <c r="E34" s="141">
        <v>166.2</v>
      </c>
      <c r="F34">
        <f t="shared" si="1"/>
        <v>-1.305970149253736E-2</v>
      </c>
      <c r="G34">
        <f t="shared" si="2"/>
        <v>1.7916560020475778E-3</v>
      </c>
      <c r="H34">
        <f t="shared" si="3"/>
        <v>1.8183924021311238E-2</v>
      </c>
      <c r="I34">
        <f t="shared" si="4"/>
        <v>-1.3357079252003563E-2</v>
      </c>
    </row>
    <row r="35" spans="1:9" x14ac:dyDescent="0.25">
      <c r="A35" s="139">
        <v>43444</v>
      </c>
      <c r="B35" s="140">
        <v>1914.8</v>
      </c>
      <c r="C35" s="140">
        <v>192.55</v>
      </c>
      <c r="D35" s="140">
        <v>1274.2</v>
      </c>
      <c r="E35" s="141">
        <v>165.65</v>
      </c>
      <c r="F35">
        <f t="shared" si="1"/>
        <v>-2.1713585040617177E-2</v>
      </c>
      <c r="G35">
        <f t="shared" si="2"/>
        <v>-1.6096065406233918E-2</v>
      </c>
      <c r="H35">
        <f t="shared" si="3"/>
        <v>-3.3708717248701357E-2</v>
      </c>
      <c r="I35">
        <f t="shared" si="4"/>
        <v>-3.3092659446449036E-3</v>
      </c>
    </row>
    <row r="36" spans="1:9" x14ac:dyDescent="0.25">
      <c r="A36" s="139">
        <v>43445</v>
      </c>
      <c r="B36" s="140">
        <v>1933.1</v>
      </c>
      <c r="C36" s="140">
        <v>193.55</v>
      </c>
      <c r="D36" s="140">
        <v>1323.6</v>
      </c>
      <c r="E36" s="141">
        <v>177.85</v>
      </c>
      <c r="F36">
        <f t="shared" si="1"/>
        <v>9.5571339043241874E-3</v>
      </c>
      <c r="G36">
        <f t="shared" si="2"/>
        <v>5.1934562451311341E-3</v>
      </c>
      <c r="H36">
        <f t="shared" si="3"/>
        <v>3.876942395228368E-2</v>
      </c>
      <c r="I36">
        <f t="shared" si="4"/>
        <v>7.3649260488982723E-2</v>
      </c>
    </row>
    <row r="37" spans="1:9" x14ac:dyDescent="0.25">
      <c r="A37" s="139">
        <v>43446</v>
      </c>
      <c r="B37" s="140">
        <v>1952.55</v>
      </c>
      <c r="C37" s="140">
        <v>199.3</v>
      </c>
      <c r="D37" s="140">
        <v>1330.9</v>
      </c>
      <c r="E37" s="141">
        <v>186.6</v>
      </c>
      <c r="F37">
        <f t="shared" si="1"/>
        <v>1.0061559153690986E-2</v>
      </c>
      <c r="G37">
        <f t="shared" si="2"/>
        <v>2.970808576595195E-2</v>
      </c>
      <c r="H37">
        <f t="shared" si="3"/>
        <v>5.5152614082805852E-3</v>
      </c>
      <c r="I37">
        <f t="shared" si="4"/>
        <v>4.9198763002530226E-2</v>
      </c>
    </row>
    <row r="38" spans="1:9" x14ac:dyDescent="0.25">
      <c r="A38" s="139">
        <v>43447</v>
      </c>
      <c r="B38" s="140">
        <v>1964.25</v>
      </c>
      <c r="C38" s="140">
        <v>200.65</v>
      </c>
      <c r="D38" s="140">
        <v>1320.2</v>
      </c>
      <c r="E38" s="141">
        <v>174.7</v>
      </c>
      <c r="F38">
        <f t="shared" si="1"/>
        <v>5.9921640931090347E-3</v>
      </c>
      <c r="G38">
        <f t="shared" si="2"/>
        <v>6.7737079779227006E-3</v>
      </c>
      <c r="H38">
        <f t="shared" si="3"/>
        <v>-8.039672402133928E-3</v>
      </c>
      <c r="I38">
        <f t="shared" si="4"/>
        <v>-6.3772775991425543E-2</v>
      </c>
    </row>
    <row r="39" spans="1:9" x14ac:dyDescent="0.25">
      <c r="A39" s="139">
        <v>43448</v>
      </c>
      <c r="B39" s="140">
        <v>1960.4</v>
      </c>
      <c r="C39" s="140">
        <v>201.6</v>
      </c>
      <c r="D39" s="140">
        <v>1340.95</v>
      </c>
      <c r="E39" s="141">
        <v>180.35</v>
      </c>
      <c r="F39">
        <f t="shared" si="1"/>
        <v>-1.9600356370115357E-3</v>
      </c>
      <c r="G39">
        <f t="shared" si="2"/>
        <v>4.7346125093445735E-3</v>
      </c>
      <c r="H39">
        <f t="shared" si="3"/>
        <v>1.5717315558248748E-2</v>
      </c>
      <c r="I39">
        <f t="shared" si="4"/>
        <v>3.234115626788784E-2</v>
      </c>
    </row>
    <row r="40" spans="1:9" x14ac:dyDescent="0.25">
      <c r="A40" s="139">
        <v>43451</v>
      </c>
      <c r="B40" s="140">
        <v>2011.85</v>
      </c>
      <c r="C40" s="140">
        <v>205.5</v>
      </c>
      <c r="D40" s="140">
        <v>1335.85</v>
      </c>
      <c r="E40" s="141">
        <v>181</v>
      </c>
      <c r="F40">
        <f t="shared" si="1"/>
        <v>2.6244643950214148E-2</v>
      </c>
      <c r="G40">
        <f t="shared" si="2"/>
        <v>1.9345238095238124E-2</v>
      </c>
      <c r="H40">
        <f t="shared" si="3"/>
        <v>-3.8032737984265903E-3</v>
      </c>
      <c r="I40">
        <f t="shared" si="4"/>
        <v>3.6041031327973703E-3</v>
      </c>
    </row>
    <row r="41" spans="1:9" x14ac:dyDescent="0.25">
      <c r="A41" s="139">
        <v>43452</v>
      </c>
      <c r="B41" s="140">
        <v>2030.75</v>
      </c>
      <c r="C41" s="140">
        <v>208.55</v>
      </c>
      <c r="D41" s="140">
        <v>1355.7</v>
      </c>
      <c r="E41" s="141">
        <v>179</v>
      </c>
      <c r="F41">
        <f t="shared" si="1"/>
        <v>9.3943385441260987E-3</v>
      </c>
      <c r="G41">
        <f t="shared" si="2"/>
        <v>1.4841849148418547E-2</v>
      </c>
      <c r="H41">
        <f t="shared" si="3"/>
        <v>1.4859452782872432E-2</v>
      </c>
      <c r="I41">
        <f t="shared" si="4"/>
        <v>-1.1049723756906077E-2</v>
      </c>
    </row>
    <row r="42" spans="1:9" x14ac:dyDescent="0.25">
      <c r="A42" s="139">
        <v>43453</v>
      </c>
      <c r="B42" s="140">
        <v>2121.65</v>
      </c>
      <c r="C42" s="140">
        <v>206.85</v>
      </c>
      <c r="D42" s="140">
        <v>1400.25</v>
      </c>
      <c r="E42" s="141">
        <v>179.55</v>
      </c>
      <c r="F42">
        <f t="shared" si="1"/>
        <v>4.476178751692729E-2</v>
      </c>
      <c r="G42">
        <f t="shared" si="2"/>
        <v>-8.1515224166867264E-3</v>
      </c>
      <c r="H42">
        <f t="shared" si="3"/>
        <v>3.286125248948879E-2</v>
      </c>
      <c r="I42">
        <f t="shared" si="4"/>
        <v>3.0726256983240859E-3</v>
      </c>
    </row>
    <row r="43" spans="1:9" x14ac:dyDescent="0.25">
      <c r="A43" s="139">
        <v>43454</v>
      </c>
      <c r="B43" s="140">
        <v>2111</v>
      </c>
      <c r="C43" s="140">
        <v>202.75</v>
      </c>
      <c r="D43" s="140">
        <v>1425.8</v>
      </c>
      <c r="E43" s="141">
        <v>186.75</v>
      </c>
      <c r="F43">
        <f t="shared" si="1"/>
        <v>-5.0196780807390904E-3</v>
      </c>
      <c r="G43">
        <f t="shared" si="2"/>
        <v>-1.9821126420111166E-2</v>
      </c>
      <c r="H43">
        <f t="shared" si="3"/>
        <v>1.824674165327617E-2</v>
      </c>
      <c r="I43">
        <f t="shared" si="4"/>
        <v>4.0100250626566351E-2</v>
      </c>
    </row>
    <row r="44" spans="1:9" x14ac:dyDescent="0.25">
      <c r="A44" s="139">
        <v>43455</v>
      </c>
      <c r="B44" s="140">
        <v>2144.9499999999998</v>
      </c>
      <c r="C44" s="140">
        <v>200.05</v>
      </c>
      <c r="D44" s="140">
        <v>1388.2</v>
      </c>
      <c r="E44" s="141">
        <v>182.95</v>
      </c>
      <c r="F44">
        <f t="shared" si="1"/>
        <v>1.6082425390809958E-2</v>
      </c>
      <c r="G44">
        <f t="shared" si="2"/>
        <v>-1.331689272503077E-2</v>
      </c>
      <c r="H44">
        <f t="shared" si="3"/>
        <v>-2.6371160050497902E-2</v>
      </c>
      <c r="I44">
        <f t="shared" si="4"/>
        <v>-2.0348058902275829E-2</v>
      </c>
    </row>
    <row r="45" spans="1:9" x14ac:dyDescent="0.25">
      <c r="A45" s="139">
        <v>43458</v>
      </c>
      <c r="B45" s="140">
        <v>2101.1</v>
      </c>
      <c r="C45" s="140">
        <v>196.4</v>
      </c>
      <c r="D45" s="140">
        <v>1357.05</v>
      </c>
      <c r="E45" s="141">
        <v>182.3</v>
      </c>
      <c r="F45">
        <f t="shared" si="1"/>
        <v>-2.04433669782512E-2</v>
      </c>
      <c r="G45">
        <f t="shared" si="2"/>
        <v>-1.8245438640339944E-2</v>
      </c>
      <c r="H45">
        <f t="shared" si="3"/>
        <v>-2.2439129808385024E-2</v>
      </c>
      <c r="I45">
        <f t="shared" si="4"/>
        <v>-3.5528833014483591E-3</v>
      </c>
    </row>
    <row r="46" spans="1:9" x14ac:dyDescent="0.25">
      <c r="A46" s="139">
        <v>43460</v>
      </c>
      <c r="B46" s="140">
        <v>2059.1999999999998</v>
      </c>
      <c r="C46" s="140">
        <v>196.4</v>
      </c>
      <c r="D46" s="140">
        <v>1363</v>
      </c>
      <c r="E46" s="141">
        <v>179.45</v>
      </c>
      <c r="F46">
        <f t="shared" si="1"/>
        <v>-1.9941935176812191E-2</v>
      </c>
      <c r="G46">
        <f t="shared" si="2"/>
        <v>0</v>
      </c>
      <c r="H46">
        <f t="shared" si="3"/>
        <v>4.3845105191408166E-3</v>
      </c>
      <c r="I46">
        <f t="shared" si="4"/>
        <v>-1.5633571036752728E-2</v>
      </c>
    </row>
    <row r="47" spans="1:9" x14ac:dyDescent="0.25">
      <c r="A47" s="139">
        <v>43461</v>
      </c>
      <c r="B47" s="140">
        <v>2079.5</v>
      </c>
      <c r="C47" s="140">
        <v>195.85</v>
      </c>
      <c r="D47" s="140">
        <v>1372.5</v>
      </c>
      <c r="E47" s="141">
        <v>178.1</v>
      </c>
      <c r="F47">
        <f t="shared" si="1"/>
        <v>9.8581973581974482E-3</v>
      </c>
      <c r="G47">
        <f t="shared" si="2"/>
        <v>-2.800407331975618E-3</v>
      </c>
      <c r="H47">
        <f t="shared" si="3"/>
        <v>6.9699192956713136E-3</v>
      </c>
      <c r="I47">
        <f t="shared" si="4"/>
        <v>-7.522986904430172E-3</v>
      </c>
    </row>
    <row r="48" spans="1:9" x14ac:dyDescent="0.25">
      <c r="A48" s="139">
        <v>43462</v>
      </c>
      <c r="B48" s="140">
        <v>2062.1</v>
      </c>
      <c r="C48" s="140">
        <v>199.4</v>
      </c>
      <c r="D48" s="140">
        <v>1366</v>
      </c>
      <c r="E48" s="141">
        <v>181.45</v>
      </c>
      <c r="F48">
        <f t="shared" si="1"/>
        <v>-8.3673960086559709E-3</v>
      </c>
      <c r="G48">
        <f t="shared" si="2"/>
        <v>1.8126116926219103E-2</v>
      </c>
      <c r="H48">
        <f t="shared" si="3"/>
        <v>-4.7358834244080146E-3</v>
      </c>
      <c r="I48">
        <f t="shared" si="4"/>
        <v>1.8809657495788851E-2</v>
      </c>
    </row>
    <row r="49" spans="1:9" x14ac:dyDescent="0.25">
      <c r="A49" s="139">
        <v>43465</v>
      </c>
      <c r="B49" s="140">
        <v>2062.9</v>
      </c>
      <c r="C49" s="140">
        <v>202.2</v>
      </c>
      <c r="D49" s="140">
        <v>1373.05</v>
      </c>
      <c r="E49" s="141">
        <v>181.8</v>
      </c>
      <c r="F49">
        <f t="shared" si="1"/>
        <v>3.8795402744783565E-4</v>
      </c>
      <c r="G49">
        <f t="shared" si="2"/>
        <v>1.4042126379137326E-2</v>
      </c>
      <c r="H49">
        <f t="shared" si="3"/>
        <v>5.1610541727671704E-3</v>
      </c>
      <c r="I49">
        <f t="shared" si="4"/>
        <v>1.928906034720434E-3</v>
      </c>
    </row>
    <row r="50" spans="1:9" x14ac:dyDescent="0.25">
      <c r="A50" s="139">
        <v>43466</v>
      </c>
      <c r="B50" s="140">
        <v>2043.1</v>
      </c>
      <c r="C50" s="140">
        <v>202.1</v>
      </c>
      <c r="D50" s="140">
        <v>1371.55</v>
      </c>
      <c r="E50" s="141">
        <v>184.25</v>
      </c>
      <c r="F50">
        <f t="shared" si="1"/>
        <v>-9.5981385428281461E-3</v>
      </c>
      <c r="G50">
        <f t="shared" si="2"/>
        <v>-4.9455984174082254E-4</v>
      </c>
      <c r="H50">
        <f t="shared" si="3"/>
        <v>-1.0924583955427697E-3</v>
      </c>
      <c r="I50">
        <f t="shared" si="4"/>
        <v>1.3476347634763413E-2</v>
      </c>
    </row>
    <row r="51" spans="1:9" x14ac:dyDescent="0.25">
      <c r="A51" s="139">
        <v>43467</v>
      </c>
      <c r="B51" s="140">
        <v>2010.55</v>
      </c>
      <c r="C51" s="140">
        <v>193.15</v>
      </c>
      <c r="D51" s="140">
        <v>1383.3</v>
      </c>
      <c r="E51" s="141">
        <v>184.65</v>
      </c>
      <c r="F51">
        <f t="shared" si="1"/>
        <v>-1.5931672458518897E-2</v>
      </c>
      <c r="G51">
        <f t="shared" si="2"/>
        <v>-4.4285007422068229E-2</v>
      </c>
      <c r="H51">
        <f t="shared" si="3"/>
        <v>8.5669498013196746E-3</v>
      </c>
      <c r="I51">
        <f t="shared" si="4"/>
        <v>2.1709633649932467E-3</v>
      </c>
    </row>
    <row r="52" spans="1:9" x14ac:dyDescent="0.25">
      <c r="A52" s="139">
        <v>43468</v>
      </c>
      <c r="B52" s="140">
        <v>2036.25</v>
      </c>
      <c r="C52" s="140">
        <v>187.95</v>
      </c>
      <c r="D52" s="140">
        <v>1388.3</v>
      </c>
      <c r="E52" s="141">
        <v>184.1</v>
      </c>
      <c r="F52">
        <f t="shared" si="1"/>
        <v>1.2782571933053167E-2</v>
      </c>
      <c r="G52">
        <f t="shared" si="2"/>
        <v>-2.6922081283976274E-2</v>
      </c>
      <c r="H52">
        <f t="shared" si="3"/>
        <v>3.6145449287934652E-3</v>
      </c>
      <c r="I52">
        <f t="shared" si="4"/>
        <v>-2.9786081776334221E-3</v>
      </c>
    </row>
    <row r="53" spans="1:9" x14ac:dyDescent="0.25">
      <c r="A53" s="139">
        <v>43469</v>
      </c>
      <c r="B53" s="140">
        <v>2044.2</v>
      </c>
      <c r="C53" s="140">
        <v>192.9</v>
      </c>
      <c r="D53" s="140">
        <v>1385.85</v>
      </c>
      <c r="E53" s="141">
        <v>189.65</v>
      </c>
      <c r="F53">
        <f t="shared" si="1"/>
        <v>3.9042357274401696E-3</v>
      </c>
      <c r="G53">
        <f t="shared" si="2"/>
        <v>2.6336791699920283E-2</v>
      </c>
      <c r="H53">
        <f t="shared" si="3"/>
        <v>-1.7647482532594148E-3</v>
      </c>
      <c r="I53">
        <f t="shared" si="4"/>
        <v>3.0146659424226029E-2</v>
      </c>
    </row>
    <row r="54" spans="1:9" x14ac:dyDescent="0.25">
      <c r="A54" s="139">
        <v>43472</v>
      </c>
      <c r="B54" s="140">
        <v>2007.9</v>
      </c>
      <c r="C54" s="140">
        <v>193.45</v>
      </c>
      <c r="D54" s="140">
        <v>1396</v>
      </c>
      <c r="E54" s="141">
        <v>187.15</v>
      </c>
      <c r="F54">
        <f t="shared" si="1"/>
        <v>-1.7757557968887561E-2</v>
      </c>
      <c r="G54">
        <f t="shared" si="2"/>
        <v>2.8512182477966972E-3</v>
      </c>
      <c r="H54">
        <f t="shared" si="3"/>
        <v>7.3240249666270459E-3</v>
      </c>
      <c r="I54">
        <f t="shared" si="4"/>
        <v>-1.3182177695755339E-2</v>
      </c>
    </row>
    <row r="55" spans="1:9" x14ac:dyDescent="0.25">
      <c r="A55" s="139">
        <v>43473</v>
      </c>
      <c r="B55" s="140">
        <v>2015.3</v>
      </c>
      <c r="C55" s="140">
        <v>195.65</v>
      </c>
      <c r="D55" s="140">
        <v>1401.25</v>
      </c>
      <c r="E55" s="141">
        <v>192.35</v>
      </c>
      <c r="F55">
        <f t="shared" si="1"/>
        <v>3.6854425021165711E-3</v>
      </c>
      <c r="G55">
        <f t="shared" si="2"/>
        <v>1.1372447660894376E-2</v>
      </c>
      <c r="H55">
        <f t="shared" si="3"/>
        <v>3.7607449856733523E-3</v>
      </c>
      <c r="I55">
        <f t="shared" si="4"/>
        <v>2.7785199038204589E-2</v>
      </c>
    </row>
    <row r="56" spans="1:9" x14ac:dyDescent="0.25">
      <c r="A56" s="139">
        <v>43474</v>
      </c>
      <c r="B56" s="140">
        <v>2096.1999999999998</v>
      </c>
      <c r="C56" s="140">
        <v>194.75</v>
      </c>
      <c r="D56" s="140">
        <v>1402</v>
      </c>
      <c r="E56" s="141">
        <v>186.45</v>
      </c>
      <c r="F56">
        <f t="shared" si="1"/>
        <v>4.0142906763260988E-2</v>
      </c>
      <c r="G56">
        <f t="shared" si="2"/>
        <v>-4.6000511116790479E-3</v>
      </c>
      <c r="H56">
        <f t="shared" si="3"/>
        <v>5.3523639607493307E-4</v>
      </c>
      <c r="I56">
        <f t="shared" si="4"/>
        <v>-3.0673251884585421E-2</v>
      </c>
    </row>
    <row r="57" spans="1:9" x14ac:dyDescent="0.25">
      <c r="A57" s="139">
        <v>43475</v>
      </c>
      <c r="B57" s="140">
        <v>2077.6</v>
      </c>
      <c r="C57" s="140">
        <v>195.45</v>
      </c>
      <c r="D57" s="140">
        <v>1396.35</v>
      </c>
      <c r="E57" s="141">
        <v>186.9</v>
      </c>
      <c r="F57">
        <f t="shared" si="1"/>
        <v>-8.8731991222211187E-3</v>
      </c>
      <c r="G57">
        <f t="shared" si="2"/>
        <v>3.5943517329909557E-3</v>
      </c>
      <c r="H57">
        <f t="shared" si="3"/>
        <v>-4.0299572039943585E-3</v>
      </c>
      <c r="I57">
        <f t="shared" si="4"/>
        <v>2.4135156878520628E-3</v>
      </c>
    </row>
    <row r="58" spans="1:9" x14ac:dyDescent="0.25">
      <c r="A58" s="139">
        <v>43476</v>
      </c>
      <c r="B58" s="140">
        <v>2061.9499999999998</v>
      </c>
      <c r="C58" s="140">
        <v>196.6</v>
      </c>
      <c r="D58" s="140">
        <v>1403.65</v>
      </c>
      <c r="E58" s="141">
        <v>184.25</v>
      </c>
      <c r="F58">
        <f t="shared" si="1"/>
        <v>-7.5327300731613837E-3</v>
      </c>
      <c r="G58">
        <f t="shared" si="2"/>
        <v>5.8838577641340791E-3</v>
      </c>
      <c r="H58">
        <f t="shared" si="3"/>
        <v>5.2279156371971081E-3</v>
      </c>
      <c r="I58">
        <f t="shared" si="4"/>
        <v>-1.4178705189941175E-2</v>
      </c>
    </row>
    <row r="59" spans="1:9" x14ac:dyDescent="0.25">
      <c r="A59" s="139">
        <v>43479</v>
      </c>
      <c r="B59" s="140">
        <v>2051.1999999999998</v>
      </c>
      <c r="C59" s="140">
        <v>193.05</v>
      </c>
      <c r="D59" s="140">
        <v>1388.6</v>
      </c>
      <c r="E59" s="141">
        <v>195.35</v>
      </c>
      <c r="F59">
        <f t="shared" si="1"/>
        <v>-5.2135114818497056E-3</v>
      </c>
      <c r="G59">
        <f t="shared" si="2"/>
        <v>-1.8056968463885978E-2</v>
      </c>
      <c r="H59">
        <f t="shared" si="3"/>
        <v>-1.0722046094111908E-2</v>
      </c>
      <c r="I59">
        <f t="shared" si="4"/>
        <v>6.0244233378561704E-2</v>
      </c>
    </row>
    <row r="60" spans="1:9" x14ac:dyDescent="0.25">
      <c r="A60" s="139">
        <v>43480</v>
      </c>
      <c r="B60" s="140">
        <v>2166.9</v>
      </c>
      <c r="C60" s="140">
        <v>198.9</v>
      </c>
      <c r="D60" s="140">
        <v>1405.95</v>
      </c>
      <c r="E60" s="141">
        <v>203</v>
      </c>
      <c r="F60">
        <f t="shared" si="1"/>
        <v>5.6406006240249745E-2</v>
      </c>
      <c r="G60">
        <f t="shared" si="2"/>
        <v>3.0303030303030273E-2</v>
      </c>
      <c r="H60">
        <f t="shared" si="3"/>
        <v>1.2494598876566424E-2</v>
      </c>
      <c r="I60">
        <f t="shared" si="4"/>
        <v>3.9160481187612006E-2</v>
      </c>
    </row>
    <row r="61" spans="1:9" x14ac:dyDescent="0.25">
      <c r="A61" s="139">
        <v>43481</v>
      </c>
      <c r="B61" s="140">
        <v>2202.75</v>
      </c>
      <c r="C61" s="140">
        <v>196.3</v>
      </c>
      <c r="D61" s="140">
        <v>1389.75</v>
      </c>
      <c r="E61" s="141">
        <v>208.35</v>
      </c>
      <c r="F61">
        <f t="shared" si="1"/>
        <v>1.6544372144538237E-2</v>
      </c>
      <c r="G61">
        <f t="shared" si="2"/>
        <v>-1.3071895424836572E-2</v>
      </c>
      <c r="H61">
        <f t="shared" si="3"/>
        <v>-1.1522458124399905E-2</v>
      </c>
      <c r="I61">
        <f t="shared" si="4"/>
        <v>2.6354679802955638E-2</v>
      </c>
    </row>
    <row r="62" spans="1:9" x14ac:dyDescent="0.25">
      <c r="A62" s="139">
        <v>43482</v>
      </c>
      <c r="B62" s="140">
        <v>2180.1999999999998</v>
      </c>
      <c r="C62" s="140">
        <v>197.45</v>
      </c>
      <c r="D62" s="140">
        <v>1389.6</v>
      </c>
      <c r="E62" s="141">
        <v>201.5</v>
      </c>
      <c r="F62">
        <f t="shared" si="1"/>
        <v>-1.0237203495630544E-2</v>
      </c>
      <c r="G62">
        <f t="shared" si="2"/>
        <v>5.8583800305653452E-3</v>
      </c>
      <c r="H62">
        <f t="shared" si="3"/>
        <v>-1.0793308148954197E-4</v>
      </c>
      <c r="I62">
        <f t="shared" si="4"/>
        <v>-3.2877369810415141E-2</v>
      </c>
    </row>
    <row r="63" spans="1:9" x14ac:dyDescent="0.25">
      <c r="A63" s="139">
        <v>43483</v>
      </c>
      <c r="B63" s="140">
        <v>2175.9</v>
      </c>
      <c r="C63" s="140">
        <v>198.7</v>
      </c>
      <c r="D63" s="140">
        <v>1400.45</v>
      </c>
      <c r="E63" s="141">
        <v>198.6</v>
      </c>
      <c r="F63">
        <f t="shared" si="1"/>
        <v>-1.9722961196219279E-3</v>
      </c>
      <c r="G63">
        <f t="shared" si="2"/>
        <v>6.330716637123323E-3</v>
      </c>
      <c r="H63">
        <f t="shared" si="3"/>
        <v>7.8080023028210543E-3</v>
      </c>
      <c r="I63">
        <f t="shared" si="4"/>
        <v>-1.4392059553349905E-2</v>
      </c>
    </row>
    <row r="64" spans="1:9" x14ac:dyDescent="0.25">
      <c r="A64" s="139">
        <v>43486</v>
      </c>
      <c r="B64" s="140">
        <v>2179.6</v>
      </c>
      <c r="C64" s="140">
        <v>198.45</v>
      </c>
      <c r="D64" s="140">
        <v>1422.1</v>
      </c>
      <c r="E64" s="141">
        <v>191.95</v>
      </c>
      <c r="F64">
        <f t="shared" si="1"/>
        <v>1.7004457925455297E-3</v>
      </c>
      <c r="G64">
        <f t="shared" si="2"/>
        <v>-1.2581781580271766E-3</v>
      </c>
      <c r="H64">
        <f t="shared" si="3"/>
        <v>1.5459316648220117E-2</v>
      </c>
      <c r="I64">
        <f t="shared" si="4"/>
        <v>-3.3484390735146051E-2</v>
      </c>
    </row>
    <row r="65" spans="1:9" x14ac:dyDescent="0.25">
      <c r="A65" s="139">
        <v>43487</v>
      </c>
      <c r="B65" s="140">
        <v>2177</v>
      </c>
      <c r="C65" s="140">
        <v>191.5</v>
      </c>
      <c r="D65" s="140">
        <v>1406.95</v>
      </c>
      <c r="E65" s="141">
        <v>192.2</v>
      </c>
      <c r="F65">
        <f t="shared" si="1"/>
        <v>-1.1928794274178331E-3</v>
      </c>
      <c r="G65">
        <f t="shared" si="2"/>
        <v>-3.502141597379687E-2</v>
      </c>
      <c r="H65">
        <f t="shared" si="3"/>
        <v>-1.0653259264467946E-2</v>
      </c>
      <c r="I65">
        <f t="shared" si="4"/>
        <v>1.3024225058609013E-3</v>
      </c>
    </row>
    <row r="66" spans="1:9" x14ac:dyDescent="0.25">
      <c r="A66" s="139">
        <v>43488</v>
      </c>
      <c r="B66" s="140">
        <v>2243.4</v>
      </c>
      <c r="C66" s="140">
        <v>192.8</v>
      </c>
      <c r="D66" s="140">
        <v>1396.55</v>
      </c>
      <c r="E66" s="141">
        <v>197.25</v>
      </c>
      <c r="F66">
        <f t="shared" si="1"/>
        <v>3.0500689021589384E-2</v>
      </c>
      <c r="G66">
        <f t="shared" si="2"/>
        <v>6.7885117493473182E-3</v>
      </c>
      <c r="H66">
        <f t="shared" si="3"/>
        <v>-7.3918760439248667E-3</v>
      </c>
      <c r="I66">
        <f t="shared" si="4"/>
        <v>2.627471383975032E-2</v>
      </c>
    </row>
    <row r="67" spans="1:9" x14ac:dyDescent="0.25">
      <c r="A67" s="139">
        <v>43489</v>
      </c>
      <c r="B67" s="140">
        <v>2267.5</v>
      </c>
      <c r="C67" s="140">
        <v>193.5</v>
      </c>
      <c r="D67" s="140">
        <v>1401.85</v>
      </c>
      <c r="E67" s="141">
        <v>215.4</v>
      </c>
      <c r="F67">
        <f t="shared" si="1"/>
        <v>1.0742622804671439E-2</v>
      </c>
      <c r="G67">
        <f t="shared" si="2"/>
        <v>3.6307053941908121E-3</v>
      </c>
      <c r="H67">
        <f t="shared" si="3"/>
        <v>3.7950664136622066E-3</v>
      </c>
      <c r="I67">
        <f t="shared" si="4"/>
        <v>9.2015209125475311E-2</v>
      </c>
    </row>
    <row r="68" spans="1:9" x14ac:dyDescent="0.25">
      <c r="A68" s="139">
        <v>43490</v>
      </c>
      <c r="B68" s="140">
        <v>2246</v>
      </c>
      <c r="C68" s="140">
        <v>194.7</v>
      </c>
      <c r="D68" s="140">
        <v>1372.15</v>
      </c>
      <c r="E68" s="141">
        <v>219.6</v>
      </c>
      <c r="F68">
        <f t="shared" ref="F68:F131" si="5">(B68-B67)/B67</f>
        <v>-9.4818081587651603E-3</v>
      </c>
      <c r="G68">
        <f t="shared" ref="G68:G131" si="6">(C68-C67)/C67</f>
        <v>6.2015503875968402E-3</v>
      </c>
      <c r="H68">
        <f t="shared" ref="H68:H131" si="7">(D68-D67)/D67</f>
        <v>-2.1186289545956999E-2</v>
      </c>
      <c r="I68">
        <f t="shared" ref="I68:I131" si="8">(E68-E67)/E67</f>
        <v>1.9498607242339778E-2</v>
      </c>
    </row>
    <row r="69" spans="1:9" x14ac:dyDescent="0.25">
      <c r="A69" s="139">
        <v>43493</v>
      </c>
      <c r="B69" s="140">
        <v>2167.35</v>
      </c>
      <c r="C69" s="140">
        <v>191.5</v>
      </c>
      <c r="D69" s="140">
        <v>1379.5</v>
      </c>
      <c r="E69" s="141">
        <v>207.5</v>
      </c>
      <c r="F69">
        <f t="shared" si="5"/>
        <v>-3.5017809439002713E-2</v>
      </c>
      <c r="G69">
        <f t="shared" si="6"/>
        <v>-1.6435541859270614E-2</v>
      </c>
      <c r="H69">
        <f t="shared" si="7"/>
        <v>5.3565572277082746E-3</v>
      </c>
      <c r="I69">
        <f t="shared" si="8"/>
        <v>-5.5100182149362451E-2</v>
      </c>
    </row>
    <row r="70" spans="1:9" x14ac:dyDescent="0.25">
      <c r="A70" s="139">
        <v>43494</v>
      </c>
      <c r="B70" s="140">
        <v>2193.65</v>
      </c>
      <c r="C70" s="140">
        <v>192.65</v>
      </c>
      <c r="D70" s="140">
        <v>1393.3</v>
      </c>
      <c r="E70" s="141">
        <v>202.9</v>
      </c>
      <c r="F70">
        <f t="shared" si="5"/>
        <v>1.2134634461439168E-2</v>
      </c>
      <c r="G70">
        <f t="shared" si="6"/>
        <v>6.005221932114912E-3</v>
      </c>
      <c r="H70">
        <f t="shared" si="7"/>
        <v>1.0003624501630993E-2</v>
      </c>
      <c r="I70">
        <f t="shared" si="8"/>
        <v>-2.2168674698795153E-2</v>
      </c>
    </row>
    <row r="71" spans="1:9" x14ac:dyDescent="0.25">
      <c r="A71" s="139">
        <v>43495</v>
      </c>
      <c r="B71" s="140">
        <v>2222.9499999999998</v>
      </c>
      <c r="C71" s="140">
        <v>194.1</v>
      </c>
      <c r="D71" s="140">
        <v>1390.4</v>
      </c>
      <c r="E71" s="141">
        <v>199.5</v>
      </c>
      <c r="F71">
        <f t="shared" si="5"/>
        <v>1.3356734210106318E-2</v>
      </c>
      <c r="G71">
        <f t="shared" si="6"/>
        <v>7.5266026472877688E-3</v>
      </c>
      <c r="H71">
        <f t="shared" si="7"/>
        <v>-2.0813895069259052E-3</v>
      </c>
      <c r="I71">
        <f t="shared" si="8"/>
        <v>-1.6757023164120283E-2</v>
      </c>
    </row>
    <row r="72" spans="1:9" x14ac:dyDescent="0.25">
      <c r="A72" s="139">
        <v>43496</v>
      </c>
      <c r="B72" s="140">
        <v>2268.5500000000002</v>
      </c>
      <c r="C72" s="140">
        <v>197.35</v>
      </c>
      <c r="D72" s="140">
        <v>1412.6</v>
      </c>
      <c r="E72" s="141">
        <v>194.1</v>
      </c>
      <c r="F72">
        <f t="shared" si="5"/>
        <v>2.0513281900177857E-2</v>
      </c>
      <c r="G72">
        <f t="shared" si="6"/>
        <v>1.6743946419371457E-2</v>
      </c>
      <c r="H72">
        <f t="shared" si="7"/>
        <v>1.596662830840033E-2</v>
      </c>
      <c r="I72">
        <f t="shared" si="8"/>
        <v>-2.7067669172932358E-2</v>
      </c>
    </row>
    <row r="73" spans="1:9" x14ac:dyDescent="0.25">
      <c r="A73" s="139">
        <v>43497</v>
      </c>
      <c r="B73" s="140">
        <v>2290.65</v>
      </c>
      <c r="C73" s="140">
        <v>162.15</v>
      </c>
      <c r="D73" s="140">
        <v>1457.2</v>
      </c>
      <c r="E73" s="141">
        <v>185.6</v>
      </c>
      <c r="F73">
        <f t="shared" si="5"/>
        <v>9.7419056225341773E-3</v>
      </c>
      <c r="G73">
        <f t="shared" si="6"/>
        <v>-0.17836331390929816</v>
      </c>
      <c r="H73">
        <f t="shared" si="7"/>
        <v>3.157298598329332E-2</v>
      </c>
      <c r="I73">
        <f t="shared" si="8"/>
        <v>-4.379185986604843E-2</v>
      </c>
    </row>
    <row r="74" spans="1:9" x14ac:dyDescent="0.25">
      <c r="A74" s="139">
        <v>43500</v>
      </c>
      <c r="B74" s="140">
        <v>2237.8000000000002</v>
      </c>
      <c r="C74" s="140">
        <v>161.35</v>
      </c>
      <c r="D74" s="140">
        <v>1446.35</v>
      </c>
      <c r="E74" s="141">
        <v>179.8</v>
      </c>
      <c r="F74">
        <f t="shared" si="5"/>
        <v>-2.3072053783860437E-2</v>
      </c>
      <c r="G74">
        <f t="shared" si="6"/>
        <v>-4.9337033610854846E-3</v>
      </c>
      <c r="H74">
        <f t="shared" si="7"/>
        <v>-7.4457864397475546E-3</v>
      </c>
      <c r="I74">
        <f t="shared" si="8"/>
        <v>-3.124999999999991E-2</v>
      </c>
    </row>
    <row r="75" spans="1:9" x14ac:dyDescent="0.25">
      <c r="A75" s="139">
        <v>43501</v>
      </c>
      <c r="B75" s="140">
        <v>2228.5500000000002</v>
      </c>
      <c r="C75" s="140">
        <v>162.6</v>
      </c>
      <c r="D75" s="140">
        <v>1450.35</v>
      </c>
      <c r="E75" s="141">
        <v>176.1</v>
      </c>
      <c r="F75">
        <f t="shared" si="5"/>
        <v>-4.1335239967825541E-3</v>
      </c>
      <c r="G75">
        <f t="shared" si="6"/>
        <v>7.7471335605825845E-3</v>
      </c>
      <c r="H75">
        <f t="shared" si="7"/>
        <v>2.7655823279289248E-3</v>
      </c>
      <c r="I75">
        <f t="shared" si="8"/>
        <v>-2.0578420467185856E-2</v>
      </c>
    </row>
    <row r="76" spans="1:9" x14ac:dyDescent="0.25">
      <c r="A76" s="139">
        <v>43502</v>
      </c>
      <c r="B76" s="140">
        <v>2214.65</v>
      </c>
      <c r="C76" s="140">
        <v>163.75</v>
      </c>
      <c r="D76" s="140">
        <v>1469.4</v>
      </c>
      <c r="E76" s="141">
        <v>176.45</v>
      </c>
      <c r="F76">
        <f t="shared" si="5"/>
        <v>-6.2372394606358796E-3</v>
      </c>
      <c r="G76">
        <f t="shared" si="6"/>
        <v>7.0725707257072922E-3</v>
      </c>
      <c r="H76">
        <f t="shared" si="7"/>
        <v>1.3134760575033738E-2</v>
      </c>
      <c r="I76">
        <f t="shared" si="8"/>
        <v>1.9875070982396043E-3</v>
      </c>
    </row>
    <row r="77" spans="1:9" x14ac:dyDescent="0.25">
      <c r="A77" s="139">
        <v>43503</v>
      </c>
      <c r="B77" s="140">
        <v>2181.4499999999998</v>
      </c>
      <c r="C77" s="140">
        <v>163.44999999999999</v>
      </c>
      <c r="D77" s="140">
        <v>1472.45</v>
      </c>
      <c r="E77" s="141">
        <v>176.95</v>
      </c>
      <c r="F77">
        <f t="shared" si="5"/>
        <v>-1.4991082112297776E-2</v>
      </c>
      <c r="G77">
        <f t="shared" si="6"/>
        <v>-1.8320610687023594E-3</v>
      </c>
      <c r="H77">
        <f t="shared" si="7"/>
        <v>2.0756771471348539E-3</v>
      </c>
      <c r="I77">
        <f t="shared" si="8"/>
        <v>2.8336639274582037E-3</v>
      </c>
    </row>
    <row r="78" spans="1:9" x14ac:dyDescent="0.25">
      <c r="A78" s="139">
        <v>43504</v>
      </c>
      <c r="B78" s="140">
        <v>2179.9499999999998</v>
      </c>
      <c r="C78" s="140">
        <v>154.15</v>
      </c>
      <c r="D78" s="140">
        <v>1448.8</v>
      </c>
      <c r="E78" s="141">
        <v>175.1</v>
      </c>
      <c r="F78">
        <f t="shared" si="5"/>
        <v>-6.8761603520594108E-4</v>
      </c>
      <c r="G78">
        <f t="shared" si="6"/>
        <v>-5.6898133985928315E-2</v>
      </c>
      <c r="H78">
        <f t="shared" si="7"/>
        <v>-1.6061665930931501E-2</v>
      </c>
      <c r="I78">
        <f t="shared" si="8"/>
        <v>-1.045493077140432E-2</v>
      </c>
    </row>
    <row r="79" spans="1:9" x14ac:dyDescent="0.25">
      <c r="A79" s="139">
        <v>43507</v>
      </c>
      <c r="B79" s="140">
        <v>2198</v>
      </c>
      <c r="C79" s="140">
        <v>152.15</v>
      </c>
      <c r="D79" s="140">
        <v>1437.1</v>
      </c>
      <c r="E79" s="141">
        <v>173.25</v>
      </c>
      <c r="F79">
        <f t="shared" si="5"/>
        <v>8.2800064221657307E-3</v>
      </c>
      <c r="G79">
        <f t="shared" si="6"/>
        <v>-1.2974375608173857E-2</v>
      </c>
      <c r="H79">
        <f t="shared" si="7"/>
        <v>-8.0756488128106343E-3</v>
      </c>
      <c r="I79">
        <f t="shared" si="8"/>
        <v>-1.0565391205025667E-2</v>
      </c>
    </row>
    <row r="80" spans="1:9" x14ac:dyDescent="0.25">
      <c r="A80" s="139">
        <v>43508</v>
      </c>
      <c r="B80" s="140">
        <v>2182.0500000000002</v>
      </c>
      <c r="C80" s="140">
        <v>152.85</v>
      </c>
      <c r="D80" s="140">
        <v>1452.1</v>
      </c>
      <c r="E80" s="141">
        <v>172.65</v>
      </c>
      <c r="F80">
        <f t="shared" si="5"/>
        <v>-7.2565969062783524E-3</v>
      </c>
      <c r="G80">
        <f t="shared" si="6"/>
        <v>4.6007229707524721E-3</v>
      </c>
      <c r="H80">
        <f t="shared" si="7"/>
        <v>1.0437687008558905E-2</v>
      </c>
      <c r="I80">
        <f t="shared" si="8"/>
        <v>-3.4632034632034302E-3</v>
      </c>
    </row>
    <row r="81" spans="1:9" x14ac:dyDescent="0.25">
      <c r="A81" s="139">
        <v>43509</v>
      </c>
      <c r="B81" s="140">
        <v>2166.5</v>
      </c>
      <c r="C81" s="140">
        <v>150.69999999999999</v>
      </c>
      <c r="D81" s="140">
        <v>1424.15</v>
      </c>
      <c r="E81" s="141">
        <v>169.45</v>
      </c>
      <c r="F81">
        <f t="shared" si="5"/>
        <v>-7.1263261611787905E-3</v>
      </c>
      <c r="G81">
        <f t="shared" si="6"/>
        <v>-1.406607785410537E-2</v>
      </c>
      <c r="H81">
        <f t="shared" si="7"/>
        <v>-1.9247985675917512E-2</v>
      </c>
      <c r="I81">
        <f t="shared" si="8"/>
        <v>-1.8534607587605081E-2</v>
      </c>
    </row>
    <row r="82" spans="1:9" x14ac:dyDescent="0.25">
      <c r="A82" s="139">
        <v>43510</v>
      </c>
      <c r="B82" s="140">
        <v>2181.1</v>
      </c>
      <c r="C82" s="140">
        <v>151.75</v>
      </c>
      <c r="D82" s="140">
        <v>1399.2</v>
      </c>
      <c r="E82" s="141">
        <v>221.25</v>
      </c>
      <c r="F82">
        <f t="shared" si="5"/>
        <v>6.7389799215323834E-3</v>
      </c>
      <c r="G82">
        <f t="shared" si="6"/>
        <v>6.9674850696749262E-3</v>
      </c>
      <c r="H82">
        <f t="shared" si="7"/>
        <v>-1.7519221992065473E-2</v>
      </c>
      <c r="I82">
        <f t="shared" si="8"/>
        <v>0.30569489524933618</v>
      </c>
    </row>
    <row r="83" spans="1:9" x14ac:dyDescent="0.25">
      <c r="A83" s="139">
        <v>43511</v>
      </c>
      <c r="B83" s="140">
        <v>2161.85</v>
      </c>
      <c r="C83" s="140">
        <v>147.30000000000001</v>
      </c>
      <c r="D83" s="140">
        <v>1393.6</v>
      </c>
      <c r="E83" s="141">
        <v>219</v>
      </c>
      <c r="F83">
        <f t="shared" si="5"/>
        <v>-8.825821833020036E-3</v>
      </c>
      <c r="G83">
        <f t="shared" si="6"/>
        <v>-2.9324546952223977E-2</v>
      </c>
      <c r="H83">
        <f t="shared" si="7"/>
        <v>-4.0022870211550432E-3</v>
      </c>
      <c r="I83">
        <f t="shared" si="8"/>
        <v>-1.0169491525423728E-2</v>
      </c>
    </row>
    <row r="84" spans="1:9" x14ac:dyDescent="0.25">
      <c r="A84" s="139">
        <v>43514</v>
      </c>
      <c r="B84" s="140">
        <v>2196.4</v>
      </c>
      <c r="C84" s="140">
        <v>148</v>
      </c>
      <c r="D84" s="140">
        <v>1380.05</v>
      </c>
      <c r="E84" s="141">
        <v>213.55</v>
      </c>
      <c r="F84">
        <f t="shared" si="5"/>
        <v>1.5981682355390145E-2</v>
      </c>
      <c r="G84">
        <f t="shared" si="6"/>
        <v>4.7522063815342063E-3</v>
      </c>
      <c r="H84">
        <f t="shared" si="7"/>
        <v>-9.7230195177956044E-3</v>
      </c>
      <c r="I84">
        <f t="shared" si="8"/>
        <v>-2.4885844748858396E-2</v>
      </c>
    </row>
    <row r="85" spans="1:9" x14ac:dyDescent="0.25">
      <c r="A85" s="139">
        <v>43515</v>
      </c>
      <c r="B85" s="140">
        <v>2198.6999999999998</v>
      </c>
      <c r="C85" s="140">
        <v>153.1</v>
      </c>
      <c r="D85" s="140">
        <v>1377.85</v>
      </c>
      <c r="E85" s="141">
        <v>212.85</v>
      </c>
      <c r="F85">
        <f t="shared" si="5"/>
        <v>1.0471680932433651E-3</v>
      </c>
      <c r="G85">
        <f t="shared" si="6"/>
        <v>3.445945945945942E-2</v>
      </c>
      <c r="H85">
        <f t="shared" si="7"/>
        <v>-1.5941451396688856E-3</v>
      </c>
      <c r="I85">
        <f t="shared" si="8"/>
        <v>-3.277920861624992E-3</v>
      </c>
    </row>
    <row r="86" spans="1:9" x14ac:dyDescent="0.25">
      <c r="A86" s="139">
        <v>43516</v>
      </c>
      <c r="B86" s="140">
        <v>2245.5500000000002</v>
      </c>
      <c r="C86" s="140">
        <v>160.25</v>
      </c>
      <c r="D86" s="140">
        <v>1396.9</v>
      </c>
      <c r="E86" s="141">
        <v>217.85</v>
      </c>
      <c r="F86">
        <f t="shared" si="5"/>
        <v>2.1308045663346691E-2</v>
      </c>
      <c r="G86">
        <f t="shared" si="6"/>
        <v>4.6701502286087562E-2</v>
      </c>
      <c r="H86">
        <f t="shared" si="7"/>
        <v>1.3825888159088568E-2</v>
      </c>
      <c r="I86">
        <f t="shared" si="8"/>
        <v>2.3490721165139769E-2</v>
      </c>
    </row>
    <row r="87" spans="1:9" x14ac:dyDescent="0.25">
      <c r="A87" s="139">
        <v>43517</v>
      </c>
      <c r="B87" s="140">
        <v>2250.0500000000002</v>
      </c>
      <c r="C87" s="140">
        <v>164.6</v>
      </c>
      <c r="D87" s="140">
        <v>1397.8</v>
      </c>
      <c r="E87" s="141">
        <v>215.15</v>
      </c>
      <c r="F87">
        <f t="shared" si="5"/>
        <v>2.0039633942686647E-3</v>
      </c>
      <c r="G87">
        <f t="shared" si="6"/>
        <v>2.7145085803432101E-2</v>
      </c>
      <c r="H87">
        <f t="shared" si="7"/>
        <v>6.4428377120757648E-4</v>
      </c>
      <c r="I87">
        <f t="shared" si="8"/>
        <v>-1.2393848978654986E-2</v>
      </c>
    </row>
    <row r="88" spans="1:9" x14ac:dyDescent="0.25">
      <c r="A88" s="139">
        <v>43518</v>
      </c>
      <c r="B88" s="140">
        <v>2253.85</v>
      </c>
      <c r="C88" s="140">
        <v>169.65</v>
      </c>
      <c r="D88" s="140">
        <v>1397.8</v>
      </c>
      <c r="E88" s="141">
        <v>222</v>
      </c>
      <c r="F88">
        <f t="shared" si="5"/>
        <v>1.6888513588585706E-3</v>
      </c>
      <c r="G88">
        <f t="shared" si="6"/>
        <v>3.0680437424058394E-2</v>
      </c>
      <c r="H88">
        <f t="shared" si="7"/>
        <v>0</v>
      </c>
      <c r="I88">
        <f t="shared" si="8"/>
        <v>3.1838252382059E-2</v>
      </c>
    </row>
    <row r="89" spans="1:9" x14ac:dyDescent="0.25">
      <c r="A89" s="139">
        <v>43521</v>
      </c>
      <c r="B89" s="140">
        <v>2233.1999999999998</v>
      </c>
      <c r="C89" s="140">
        <v>171.25</v>
      </c>
      <c r="D89" s="140">
        <v>1398.25</v>
      </c>
      <c r="E89" s="141">
        <v>229.1</v>
      </c>
      <c r="F89">
        <f t="shared" si="5"/>
        <v>-9.1621004059720436E-3</v>
      </c>
      <c r="G89">
        <f t="shared" si="6"/>
        <v>9.431181844974915E-3</v>
      </c>
      <c r="H89">
        <f t="shared" si="7"/>
        <v>3.2193446845045465E-4</v>
      </c>
      <c r="I89">
        <f t="shared" si="8"/>
        <v>3.1981981981981954E-2</v>
      </c>
    </row>
    <row r="90" spans="1:9" x14ac:dyDescent="0.25">
      <c r="A90" s="139">
        <v>43522</v>
      </c>
      <c r="B90" s="140">
        <v>2224.5500000000002</v>
      </c>
      <c r="C90" s="140">
        <v>169.7</v>
      </c>
      <c r="D90" s="140">
        <v>1402</v>
      </c>
      <c r="E90" s="141">
        <v>229.5</v>
      </c>
      <c r="F90">
        <f t="shared" si="5"/>
        <v>-3.8733655740639606E-3</v>
      </c>
      <c r="G90">
        <f t="shared" si="6"/>
        <v>-9.0510948905110147E-3</v>
      </c>
      <c r="H90">
        <f t="shared" si="7"/>
        <v>2.6819238333631325E-3</v>
      </c>
      <c r="I90">
        <f t="shared" si="8"/>
        <v>1.745962461807096E-3</v>
      </c>
    </row>
    <row r="91" spans="1:9" x14ac:dyDescent="0.25">
      <c r="A91" s="139">
        <v>43523</v>
      </c>
      <c r="B91" s="140">
        <v>2215.35</v>
      </c>
      <c r="C91" s="140">
        <v>164.65</v>
      </c>
      <c r="D91" s="140">
        <v>1405.7</v>
      </c>
      <c r="E91" s="141">
        <v>228.2</v>
      </c>
      <c r="F91">
        <f t="shared" si="5"/>
        <v>-4.1356678878875603E-3</v>
      </c>
      <c r="G91">
        <f t="shared" si="6"/>
        <v>-2.9758397171478983E-2</v>
      </c>
      <c r="H91">
        <f t="shared" si="7"/>
        <v>2.6390870185449681E-3</v>
      </c>
      <c r="I91">
        <f t="shared" si="8"/>
        <v>-5.6644880174292435E-3</v>
      </c>
    </row>
    <row r="92" spans="1:9" x14ac:dyDescent="0.25">
      <c r="A92" s="139">
        <v>43524</v>
      </c>
      <c r="B92" s="140">
        <v>2205.1999999999998</v>
      </c>
      <c r="C92" s="140">
        <v>169.4</v>
      </c>
      <c r="D92" s="140">
        <v>1405.2</v>
      </c>
      <c r="E92" s="141">
        <v>231.15</v>
      </c>
      <c r="F92">
        <f t="shared" si="5"/>
        <v>-4.5816688107974323E-3</v>
      </c>
      <c r="G92">
        <f t="shared" si="6"/>
        <v>2.8849073792894017E-2</v>
      </c>
      <c r="H92">
        <f t="shared" si="7"/>
        <v>-3.5569467169381801E-4</v>
      </c>
      <c r="I92">
        <f t="shared" si="8"/>
        <v>1.2927256792287543E-2</v>
      </c>
    </row>
    <row r="93" spans="1:9" x14ac:dyDescent="0.25">
      <c r="A93" s="139">
        <v>43525</v>
      </c>
      <c r="B93" s="140">
        <v>2252.0500000000002</v>
      </c>
      <c r="C93" s="140">
        <v>173.45</v>
      </c>
      <c r="D93" s="140">
        <v>1392.35</v>
      </c>
      <c r="E93" s="141">
        <v>237.6</v>
      </c>
      <c r="F93">
        <f t="shared" si="5"/>
        <v>2.1245238527117887E-2</v>
      </c>
      <c r="G93">
        <f t="shared" si="6"/>
        <v>2.3907910271546533E-2</v>
      </c>
      <c r="H93">
        <f t="shared" si="7"/>
        <v>-9.1446057500712604E-3</v>
      </c>
      <c r="I93">
        <f t="shared" si="8"/>
        <v>2.790395846852688E-2</v>
      </c>
    </row>
    <row r="94" spans="1:9" x14ac:dyDescent="0.25">
      <c r="A94" s="139">
        <v>43529</v>
      </c>
      <c r="B94" s="140">
        <v>2359.4</v>
      </c>
      <c r="C94" s="140">
        <v>174.95</v>
      </c>
      <c r="D94" s="140">
        <v>1403.85</v>
      </c>
      <c r="E94" s="141">
        <v>237.45</v>
      </c>
      <c r="F94">
        <f t="shared" si="5"/>
        <v>4.7667680557714039E-2</v>
      </c>
      <c r="G94">
        <f t="shared" si="6"/>
        <v>8.6480253675410793E-3</v>
      </c>
      <c r="H94">
        <f t="shared" si="7"/>
        <v>8.2594175315114735E-3</v>
      </c>
      <c r="I94">
        <f t="shared" si="8"/>
        <v>-6.3131313131315522E-4</v>
      </c>
    </row>
    <row r="95" spans="1:9" x14ac:dyDescent="0.25">
      <c r="A95" s="139">
        <v>43530</v>
      </c>
      <c r="B95" s="140">
        <v>2348.85</v>
      </c>
      <c r="C95" s="140">
        <v>178.5</v>
      </c>
      <c r="D95" s="140">
        <v>1393.7</v>
      </c>
      <c r="E95" s="141">
        <v>235.3</v>
      </c>
      <c r="F95">
        <f t="shared" si="5"/>
        <v>-4.471475798932009E-3</v>
      </c>
      <c r="G95">
        <f t="shared" si="6"/>
        <v>2.0291511860531648E-2</v>
      </c>
      <c r="H95">
        <f t="shared" si="7"/>
        <v>-7.2301171777610605E-3</v>
      </c>
      <c r="I95">
        <f t="shared" si="8"/>
        <v>-9.0545377974309421E-3</v>
      </c>
    </row>
    <row r="96" spans="1:9" x14ac:dyDescent="0.25">
      <c r="A96" s="139">
        <v>43531</v>
      </c>
      <c r="B96" s="140">
        <v>2387.9499999999998</v>
      </c>
      <c r="C96" s="140">
        <v>176.05</v>
      </c>
      <c r="D96" s="140">
        <v>1395.45</v>
      </c>
      <c r="E96" s="141">
        <v>231.7</v>
      </c>
      <c r="F96">
        <f t="shared" si="5"/>
        <v>1.664644400451281E-2</v>
      </c>
      <c r="G96">
        <f t="shared" si="6"/>
        <v>-1.3725490196078367E-2</v>
      </c>
      <c r="H96">
        <f t="shared" si="7"/>
        <v>1.2556504269211452E-3</v>
      </c>
      <c r="I96">
        <f t="shared" si="8"/>
        <v>-1.5299617509562357E-2</v>
      </c>
    </row>
    <row r="97" spans="1:9" x14ac:dyDescent="0.25">
      <c r="A97" s="139">
        <v>43532</v>
      </c>
      <c r="B97" s="140">
        <v>2474.5500000000002</v>
      </c>
      <c r="C97" s="140">
        <v>172.35</v>
      </c>
      <c r="D97" s="140">
        <v>1382.35</v>
      </c>
      <c r="E97" s="141">
        <v>232.3</v>
      </c>
      <c r="F97">
        <f t="shared" si="5"/>
        <v>3.6265415942545016E-2</v>
      </c>
      <c r="G97">
        <f t="shared" si="6"/>
        <v>-2.1016756603237811E-2</v>
      </c>
      <c r="H97">
        <f t="shared" si="7"/>
        <v>-9.3876527285106145E-3</v>
      </c>
      <c r="I97">
        <f t="shared" si="8"/>
        <v>2.5895554596461925E-3</v>
      </c>
    </row>
    <row r="98" spans="1:9" x14ac:dyDescent="0.25">
      <c r="A98" s="139">
        <v>43535</v>
      </c>
      <c r="B98" s="140">
        <v>2500.9</v>
      </c>
      <c r="C98" s="140">
        <v>177.1</v>
      </c>
      <c r="D98" s="140">
        <v>1419.8</v>
      </c>
      <c r="E98" s="141">
        <v>236.3</v>
      </c>
      <c r="F98">
        <f t="shared" si="5"/>
        <v>1.0648400719322668E-2</v>
      </c>
      <c r="G98">
        <f t="shared" si="6"/>
        <v>2.7560197272991006E-2</v>
      </c>
      <c r="H98">
        <f t="shared" si="7"/>
        <v>2.7091547003291531E-2</v>
      </c>
      <c r="I98">
        <f t="shared" si="8"/>
        <v>1.7219113215669393E-2</v>
      </c>
    </row>
    <row r="99" spans="1:9" x14ac:dyDescent="0.25">
      <c r="A99" s="139">
        <v>43536</v>
      </c>
      <c r="B99" s="140">
        <v>2550.1</v>
      </c>
      <c r="C99" s="140">
        <v>178.45</v>
      </c>
      <c r="D99" s="140">
        <v>1428.1</v>
      </c>
      <c r="E99" s="141">
        <v>235.85</v>
      </c>
      <c r="F99">
        <f t="shared" si="5"/>
        <v>1.9672917749610067E-2</v>
      </c>
      <c r="G99">
        <f t="shared" si="6"/>
        <v>7.6228119706380259E-3</v>
      </c>
      <c r="H99">
        <f t="shared" si="7"/>
        <v>5.8458937878574126E-3</v>
      </c>
      <c r="I99">
        <f t="shared" si="8"/>
        <v>-1.9043588658485698E-3</v>
      </c>
    </row>
    <row r="100" spans="1:9" x14ac:dyDescent="0.25">
      <c r="A100" s="139">
        <v>43537</v>
      </c>
      <c r="B100" s="140">
        <v>2503.0500000000002</v>
      </c>
      <c r="C100" s="140">
        <v>171.6</v>
      </c>
      <c r="D100" s="140">
        <v>1428.3</v>
      </c>
      <c r="E100" s="141">
        <v>244.3</v>
      </c>
      <c r="F100">
        <f t="shared" si="5"/>
        <v>-1.8450256852672337E-2</v>
      </c>
      <c r="G100">
        <f t="shared" si="6"/>
        <v>-3.8386102549733792E-2</v>
      </c>
      <c r="H100">
        <f t="shared" si="7"/>
        <v>1.400462152510647E-4</v>
      </c>
      <c r="I100">
        <f t="shared" si="8"/>
        <v>3.5827856688573322E-2</v>
      </c>
    </row>
    <row r="101" spans="1:9" x14ac:dyDescent="0.25">
      <c r="A101" s="139">
        <v>43538</v>
      </c>
      <c r="B101" s="140">
        <v>2537.15</v>
      </c>
      <c r="C101" s="140">
        <v>173.6</v>
      </c>
      <c r="D101" s="140">
        <v>1434.75</v>
      </c>
      <c r="E101" s="141">
        <v>249.85</v>
      </c>
      <c r="F101">
        <f t="shared" si="5"/>
        <v>1.3623379477037977E-2</v>
      </c>
      <c r="G101">
        <f t="shared" si="6"/>
        <v>1.1655011655011656E-2</v>
      </c>
      <c r="H101">
        <f t="shared" si="7"/>
        <v>4.515858013022506E-3</v>
      </c>
      <c r="I101">
        <f t="shared" si="8"/>
        <v>2.2717969709373651E-2</v>
      </c>
    </row>
    <row r="102" spans="1:9" x14ac:dyDescent="0.25">
      <c r="A102" s="139">
        <v>43539</v>
      </c>
      <c r="B102" s="140">
        <v>2510.3000000000002</v>
      </c>
      <c r="C102" s="140">
        <v>175.7</v>
      </c>
      <c r="D102" s="140">
        <v>1432.55</v>
      </c>
      <c r="E102" s="141">
        <v>245.05</v>
      </c>
      <c r="F102">
        <f t="shared" si="5"/>
        <v>-1.0582740476518892E-2</v>
      </c>
      <c r="G102">
        <f t="shared" si="6"/>
        <v>1.2096774193548356E-2</v>
      </c>
      <c r="H102">
        <f t="shared" si="7"/>
        <v>-1.5333681826102425E-3</v>
      </c>
      <c r="I102">
        <f t="shared" si="8"/>
        <v>-1.9211526916149621E-2</v>
      </c>
    </row>
    <row r="103" spans="1:9" x14ac:dyDescent="0.25">
      <c r="A103" s="139">
        <v>43542</v>
      </c>
      <c r="B103" s="140">
        <v>2523.6</v>
      </c>
      <c r="C103" s="140">
        <v>173.3</v>
      </c>
      <c r="D103" s="140">
        <v>1445.6</v>
      </c>
      <c r="E103" s="141">
        <v>245.95</v>
      </c>
      <c r="F103">
        <f t="shared" si="5"/>
        <v>5.2981715332827651E-3</v>
      </c>
      <c r="G103">
        <f t="shared" si="6"/>
        <v>-1.3659647125782456E-2</v>
      </c>
      <c r="H103">
        <f t="shared" si="7"/>
        <v>9.1096296813374441E-3</v>
      </c>
      <c r="I103">
        <f t="shared" si="8"/>
        <v>3.672719853091113E-3</v>
      </c>
    </row>
    <row r="104" spans="1:9" x14ac:dyDescent="0.25">
      <c r="A104" s="139">
        <v>43543</v>
      </c>
      <c r="B104" s="140">
        <v>2507.85</v>
      </c>
      <c r="C104" s="140">
        <v>172.7</v>
      </c>
      <c r="D104" s="140">
        <v>1453.9</v>
      </c>
      <c r="E104" s="141">
        <v>248.8</v>
      </c>
      <c r="F104">
        <f t="shared" si="5"/>
        <v>-6.2410841654778892E-3</v>
      </c>
      <c r="G104">
        <f t="shared" si="6"/>
        <v>-3.462204270052064E-3</v>
      </c>
      <c r="H104">
        <f t="shared" si="7"/>
        <v>5.7415605976758322E-3</v>
      </c>
      <c r="I104">
        <f t="shared" si="8"/>
        <v>1.1587721081520726E-2</v>
      </c>
    </row>
    <row r="105" spans="1:9" x14ac:dyDescent="0.25">
      <c r="A105" s="139">
        <v>43544</v>
      </c>
      <c r="B105" s="140">
        <v>2506.4499999999998</v>
      </c>
      <c r="C105" s="140">
        <v>174.55</v>
      </c>
      <c r="D105" s="140">
        <v>1456.15</v>
      </c>
      <c r="E105" s="141">
        <v>252.15</v>
      </c>
      <c r="F105">
        <f t="shared" si="5"/>
        <v>-5.5824710409318383E-4</v>
      </c>
      <c r="G105">
        <f t="shared" si="6"/>
        <v>1.0712217718587278E-2</v>
      </c>
      <c r="H105">
        <f t="shared" si="7"/>
        <v>1.5475617305179172E-3</v>
      </c>
      <c r="I105">
        <f t="shared" si="8"/>
        <v>1.3464630225080362E-2</v>
      </c>
    </row>
    <row r="106" spans="1:9" x14ac:dyDescent="0.25">
      <c r="A106" s="139">
        <v>43546</v>
      </c>
      <c r="B106" s="140">
        <v>2470.9</v>
      </c>
      <c r="C106" s="140">
        <v>173.9</v>
      </c>
      <c r="D106" s="140">
        <v>1471.25</v>
      </c>
      <c r="E106" s="141">
        <v>252.6</v>
      </c>
      <c r="F106">
        <f t="shared" si="5"/>
        <v>-1.4183406810428985E-2</v>
      </c>
      <c r="G106">
        <f t="shared" si="6"/>
        <v>-3.7238613577771735E-3</v>
      </c>
      <c r="H106">
        <f t="shared" si="7"/>
        <v>1.0369810802458475E-2</v>
      </c>
      <c r="I106">
        <f t="shared" si="8"/>
        <v>1.7846519928613469E-3</v>
      </c>
    </row>
    <row r="107" spans="1:9" x14ac:dyDescent="0.25">
      <c r="A107" s="139">
        <v>43549</v>
      </c>
      <c r="B107" s="140">
        <v>2374.85</v>
      </c>
      <c r="C107" s="140">
        <v>168.25</v>
      </c>
      <c r="D107" s="140">
        <v>1457.55</v>
      </c>
      <c r="E107" s="141">
        <v>247.25</v>
      </c>
      <c r="F107">
        <f t="shared" si="5"/>
        <v>-3.8872475616172318E-2</v>
      </c>
      <c r="G107">
        <f t="shared" si="6"/>
        <v>-3.2489936745255923E-2</v>
      </c>
      <c r="H107">
        <f t="shared" si="7"/>
        <v>-9.3118096856414923E-3</v>
      </c>
      <c r="I107">
        <f t="shared" si="8"/>
        <v>-2.1179730799683272E-2</v>
      </c>
    </row>
    <row r="108" spans="1:9" x14ac:dyDescent="0.25">
      <c r="A108" s="139">
        <v>43550</v>
      </c>
      <c r="B108" s="140">
        <v>2395.35</v>
      </c>
      <c r="C108" s="140">
        <v>173.6</v>
      </c>
      <c r="D108" s="140">
        <v>1485.05</v>
      </c>
      <c r="E108" s="141">
        <v>253.7</v>
      </c>
      <c r="F108">
        <f t="shared" si="5"/>
        <v>8.6321241341558424E-3</v>
      </c>
      <c r="G108">
        <f t="shared" si="6"/>
        <v>3.1797919762258507E-2</v>
      </c>
      <c r="H108">
        <f t="shared" si="7"/>
        <v>1.8867277280367741E-2</v>
      </c>
      <c r="I108">
        <f t="shared" si="8"/>
        <v>2.6086956521739084E-2</v>
      </c>
    </row>
    <row r="109" spans="1:9" x14ac:dyDescent="0.25">
      <c r="A109" s="139">
        <v>43551</v>
      </c>
      <c r="B109" s="140">
        <v>2358.4</v>
      </c>
      <c r="C109" s="140">
        <v>175.45</v>
      </c>
      <c r="D109" s="140">
        <v>1472.05</v>
      </c>
      <c r="E109" s="141">
        <v>268.45</v>
      </c>
      <c r="F109">
        <f t="shared" si="5"/>
        <v>-1.5425720667125815E-2</v>
      </c>
      <c r="G109">
        <f t="shared" si="6"/>
        <v>1.0656682027649737E-2</v>
      </c>
      <c r="H109">
        <f t="shared" si="7"/>
        <v>-8.7539140096293058E-3</v>
      </c>
      <c r="I109">
        <f t="shared" si="8"/>
        <v>5.8139534883720929E-2</v>
      </c>
    </row>
    <row r="110" spans="1:9" x14ac:dyDescent="0.25">
      <c r="A110" s="139">
        <v>43552</v>
      </c>
      <c r="B110" s="140">
        <v>2364</v>
      </c>
      <c r="C110" s="140">
        <v>178.05</v>
      </c>
      <c r="D110" s="140">
        <v>1497</v>
      </c>
      <c r="E110" s="141">
        <v>276.10000000000002</v>
      </c>
      <c r="F110">
        <f t="shared" si="5"/>
        <v>2.3744911804612912E-3</v>
      </c>
      <c r="G110">
        <f t="shared" si="6"/>
        <v>1.481903676261056E-2</v>
      </c>
      <c r="H110">
        <f t="shared" si="7"/>
        <v>1.6949152542372913E-2</v>
      </c>
      <c r="I110">
        <f t="shared" si="8"/>
        <v>2.8496926802011675E-2</v>
      </c>
    </row>
    <row r="111" spans="1:9" x14ac:dyDescent="0.25">
      <c r="A111" s="139">
        <v>43553</v>
      </c>
      <c r="B111" s="140">
        <v>2351</v>
      </c>
      <c r="C111" s="140">
        <v>184.45</v>
      </c>
      <c r="D111" s="140">
        <v>1492.7</v>
      </c>
      <c r="E111" s="141">
        <v>275.10000000000002</v>
      </c>
      <c r="F111">
        <f t="shared" si="5"/>
        <v>-5.499153976311337E-3</v>
      </c>
      <c r="G111">
        <f t="shared" si="6"/>
        <v>3.5944959281100683E-2</v>
      </c>
      <c r="H111">
        <f t="shared" si="7"/>
        <v>-2.872411489645928E-3</v>
      </c>
      <c r="I111">
        <f t="shared" si="8"/>
        <v>-3.621876131836291E-3</v>
      </c>
    </row>
    <row r="112" spans="1:9" x14ac:dyDescent="0.25">
      <c r="A112" s="139">
        <v>43556</v>
      </c>
      <c r="B112" s="140">
        <v>2379.4</v>
      </c>
      <c r="C112" s="140">
        <v>188.9</v>
      </c>
      <c r="D112" s="140">
        <v>1492.75</v>
      </c>
      <c r="E112" s="141">
        <v>275.89999999999998</v>
      </c>
      <c r="F112">
        <f t="shared" si="5"/>
        <v>1.2079965971926879E-2</v>
      </c>
      <c r="G112">
        <f t="shared" si="6"/>
        <v>2.4125779343995755E-2</v>
      </c>
      <c r="H112">
        <f t="shared" si="7"/>
        <v>3.3496348897939652E-5</v>
      </c>
      <c r="I112">
        <f t="shared" si="8"/>
        <v>2.908033442384422E-3</v>
      </c>
    </row>
    <row r="113" spans="1:9" x14ac:dyDescent="0.25">
      <c r="A113" s="139">
        <v>43557</v>
      </c>
      <c r="B113" s="140">
        <v>2382.1999999999998</v>
      </c>
      <c r="C113" s="140">
        <v>187.9</v>
      </c>
      <c r="D113" s="140">
        <v>1519.3</v>
      </c>
      <c r="E113" s="141">
        <v>280.3</v>
      </c>
      <c r="F113">
        <f t="shared" si="5"/>
        <v>1.1767672522483513E-3</v>
      </c>
      <c r="G113">
        <f t="shared" si="6"/>
        <v>-5.2938062466913712E-3</v>
      </c>
      <c r="H113">
        <f t="shared" si="7"/>
        <v>1.7785965499916231E-2</v>
      </c>
      <c r="I113">
        <f t="shared" si="8"/>
        <v>1.5947807176513354E-2</v>
      </c>
    </row>
    <row r="114" spans="1:9" x14ac:dyDescent="0.25">
      <c r="A114" s="139">
        <v>43558</v>
      </c>
      <c r="B114" s="140">
        <v>2376.6</v>
      </c>
      <c r="C114" s="140">
        <v>185.8</v>
      </c>
      <c r="D114" s="140">
        <v>1497.6</v>
      </c>
      <c r="E114" s="141">
        <v>273.7</v>
      </c>
      <c r="F114">
        <f t="shared" si="5"/>
        <v>-2.3507681974644905E-3</v>
      </c>
      <c r="G114">
        <f t="shared" si="6"/>
        <v>-1.1176157530601354E-2</v>
      </c>
      <c r="H114">
        <f t="shared" si="7"/>
        <v>-1.4282893437767423E-2</v>
      </c>
      <c r="I114">
        <f t="shared" si="8"/>
        <v>-2.3546200499464938E-2</v>
      </c>
    </row>
    <row r="115" spans="1:9" x14ac:dyDescent="0.25">
      <c r="A115" s="139">
        <v>43559</v>
      </c>
      <c r="B115" s="140">
        <v>2385.3000000000002</v>
      </c>
      <c r="C115" s="140">
        <v>187.2</v>
      </c>
      <c r="D115" s="140">
        <v>1519</v>
      </c>
      <c r="E115" s="141">
        <v>268.05</v>
      </c>
      <c r="F115">
        <f t="shared" si="5"/>
        <v>3.6606917445090774E-3</v>
      </c>
      <c r="G115">
        <f t="shared" si="6"/>
        <v>7.534983853605905E-3</v>
      </c>
      <c r="H115">
        <f t="shared" si="7"/>
        <v>1.4289529914529977E-2</v>
      </c>
      <c r="I115">
        <f t="shared" si="8"/>
        <v>-2.0643039824625418E-2</v>
      </c>
    </row>
    <row r="116" spans="1:9" x14ac:dyDescent="0.25">
      <c r="A116" s="139">
        <v>43560</v>
      </c>
      <c r="B116" s="140">
        <v>2387.0500000000002</v>
      </c>
      <c r="C116" s="140">
        <v>191.7</v>
      </c>
      <c r="D116" s="140">
        <v>1514.45</v>
      </c>
      <c r="E116" s="141">
        <v>266.85000000000002</v>
      </c>
      <c r="F116">
        <f t="shared" si="5"/>
        <v>7.3366033622605114E-4</v>
      </c>
      <c r="G116">
        <f t="shared" si="6"/>
        <v>2.403846153846154E-2</v>
      </c>
      <c r="H116">
        <f t="shared" si="7"/>
        <v>-2.9953917050690943E-3</v>
      </c>
      <c r="I116">
        <f t="shared" si="8"/>
        <v>-4.4767767207610091E-3</v>
      </c>
    </row>
    <row r="117" spans="1:9" x14ac:dyDescent="0.25">
      <c r="A117" s="139">
        <v>43563</v>
      </c>
      <c r="B117" s="140">
        <v>2385.1999999999998</v>
      </c>
      <c r="C117" s="140">
        <v>186.65</v>
      </c>
      <c r="D117" s="140">
        <v>1496.35</v>
      </c>
      <c r="E117" s="141">
        <v>260.05</v>
      </c>
      <c r="F117">
        <f t="shared" si="5"/>
        <v>-7.7501518610852875E-4</v>
      </c>
      <c r="G117">
        <f t="shared" si="6"/>
        <v>-2.6343244653103722E-2</v>
      </c>
      <c r="H117">
        <f t="shared" si="7"/>
        <v>-1.1951533560038387E-2</v>
      </c>
      <c r="I117">
        <f t="shared" si="8"/>
        <v>-2.5482480794453852E-2</v>
      </c>
    </row>
    <row r="118" spans="1:9" x14ac:dyDescent="0.25">
      <c r="A118" s="139">
        <v>43564</v>
      </c>
      <c r="B118" s="140">
        <v>2382.9499999999998</v>
      </c>
      <c r="C118" s="140">
        <v>190</v>
      </c>
      <c r="D118" s="140">
        <v>1444.85</v>
      </c>
      <c r="E118" s="141">
        <v>270.60000000000002</v>
      </c>
      <c r="F118">
        <f t="shared" si="5"/>
        <v>-9.4331712225389911E-4</v>
      </c>
      <c r="G118">
        <f t="shared" si="6"/>
        <v>1.7948031074203022E-2</v>
      </c>
      <c r="H118">
        <f t="shared" si="7"/>
        <v>-3.4417081565141845E-2</v>
      </c>
      <c r="I118">
        <f t="shared" si="8"/>
        <v>4.0569121322822574E-2</v>
      </c>
    </row>
    <row r="119" spans="1:9" x14ac:dyDescent="0.25">
      <c r="A119" s="139">
        <v>43565</v>
      </c>
      <c r="B119" s="140">
        <v>2404</v>
      </c>
      <c r="C119" s="140">
        <v>188.5</v>
      </c>
      <c r="D119" s="140">
        <v>1409.85</v>
      </c>
      <c r="E119" s="141">
        <v>268.25</v>
      </c>
      <c r="F119">
        <f t="shared" si="5"/>
        <v>8.8335886191486107E-3</v>
      </c>
      <c r="G119">
        <f t="shared" si="6"/>
        <v>-7.8947368421052634E-3</v>
      </c>
      <c r="H119">
        <f t="shared" si="7"/>
        <v>-2.422396788593972E-2</v>
      </c>
      <c r="I119">
        <f t="shared" si="8"/>
        <v>-8.6844050258685235E-3</v>
      </c>
    </row>
    <row r="120" spans="1:9" x14ac:dyDescent="0.25">
      <c r="A120" s="139">
        <v>43566</v>
      </c>
      <c r="B120" s="140">
        <v>2389.6999999999998</v>
      </c>
      <c r="C120" s="140">
        <v>181.15</v>
      </c>
      <c r="D120" s="140">
        <v>1423.15</v>
      </c>
      <c r="E120" s="141">
        <v>269.05</v>
      </c>
      <c r="F120">
        <f t="shared" si="5"/>
        <v>-5.9484193011648014E-3</v>
      </c>
      <c r="G120">
        <f t="shared" si="6"/>
        <v>-3.8992042440318272E-2</v>
      </c>
      <c r="H120">
        <f t="shared" si="7"/>
        <v>9.4336276908892312E-3</v>
      </c>
      <c r="I120">
        <f t="shared" si="8"/>
        <v>2.9822926374650938E-3</v>
      </c>
    </row>
    <row r="121" spans="1:9" x14ac:dyDescent="0.25">
      <c r="A121" s="139">
        <v>43567</v>
      </c>
      <c r="B121" s="140">
        <v>2410.85</v>
      </c>
      <c r="C121" s="140">
        <v>183.9</v>
      </c>
      <c r="D121" s="140">
        <v>1438.65</v>
      </c>
      <c r="E121" s="141">
        <v>267.89999999999998</v>
      </c>
      <c r="F121">
        <f t="shared" si="5"/>
        <v>8.8504833242666822E-3</v>
      </c>
      <c r="G121">
        <f t="shared" si="6"/>
        <v>1.5180789401048854E-2</v>
      </c>
      <c r="H121">
        <f t="shared" si="7"/>
        <v>1.0891332607244493E-2</v>
      </c>
      <c r="I121">
        <f t="shared" si="8"/>
        <v>-4.2742984575359008E-3</v>
      </c>
    </row>
    <row r="122" spans="1:9" x14ac:dyDescent="0.25">
      <c r="A122" s="139">
        <v>43570</v>
      </c>
      <c r="B122" s="140">
        <v>2352.9499999999998</v>
      </c>
      <c r="C122" s="140">
        <v>184.7</v>
      </c>
      <c r="D122" s="140">
        <v>1431.55</v>
      </c>
      <c r="E122" s="141">
        <v>265.5</v>
      </c>
      <c r="F122">
        <f t="shared" si="5"/>
        <v>-2.401642574195827E-2</v>
      </c>
      <c r="G122">
        <f t="shared" si="6"/>
        <v>4.350190320826443E-3</v>
      </c>
      <c r="H122">
        <f t="shared" si="7"/>
        <v>-4.9351822889515421E-3</v>
      </c>
      <c r="I122">
        <f t="shared" si="8"/>
        <v>-8.9585666293392208E-3</v>
      </c>
    </row>
    <row r="123" spans="1:9" x14ac:dyDescent="0.25">
      <c r="A123" s="139">
        <v>43571</v>
      </c>
      <c r="B123" s="140">
        <v>2331.8000000000002</v>
      </c>
      <c r="C123" s="140">
        <v>184.95</v>
      </c>
      <c r="D123" s="140">
        <v>1459</v>
      </c>
      <c r="E123" s="141">
        <v>266.45</v>
      </c>
      <c r="F123">
        <f t="shared" si="5"/>
        <v>-8.9887162923137504E-3</v>
      </c>
      <c r="G123">
        <f t="shared" si="6"/>
        <v>1.353546291283162E-3</v>
      </c>
      <c r="H123">
        <f t="shared" si="7"/>
        <v>1.9175020083126715E-2</v>
      </c>
      <c r="I123">
        <f t="shared" si="8"/>
        <v>3.5781544256120101E-3</v>
      </c>
    </row>
    <row r="124" spans="1:9" x14ac:dyDescent="0.25">
      <c r="A124" s="139">
        <v>43573</v>
      </c>
      <c r="B124" s="140">
        <v>2330.35</v>
      </c>
      <c r="C124" s="140">
        <v>178.6</v>
      </c>
      <c r="D124" s="140">
        <v>1469.6</v>
      </c>
      <c r="E124" s="141">
        <v>255.8</v>
      </c>
      <c r="F124">
        <f t="shared" si="5"/>
        <v>-6.2183720730777628E-4</v>
      </c>
      <c r="G124">
        <f t="shared" si="6"/>
        <v>-3.4333603676669343E-2</v>
      </c>
      <c r="H124">
        <f t="shared" si="7"/>
        <v>7.265250171350178E-3</v>
      </c>
      <c r="I124">
        <f t="shared" si="8"/>
        <v>-3.9969975605179127E-2</v>
      </c>
    </row>
    <row r="125" spans="1:9" x14ac:dyDescent="0.25">
      <c r="A125" s="139">
        <v>43577</v>
      </c>
      <c r="B125" s="140">
        <v>2310.5</v>
      </c>
      <c r="C125" s="140">
        <v>175</v>
      </c>
      <c r="D125" s="140">
        <v>1443.35</v>
      </c>
      <c r="E125" s="141">
        <v>238.35</v>
      </c>
      <c r="F125">
        <f t="shared" si="5"/>
        <v>-8.5180337717509855E-3</v>
      </c>
      <c r="G125">
        <f t="shared" si="6"/>
        <v>-2.0156774916013406E-2</v>
      </c>
      <c r="H125">
        <f t="shared" si="7"/>
        <v>-1.7862003266194883E-2</v>
      </c>
      <c r="I125">
        <f t="shared" si="8"/>
        <v>-6.821735731039881E-2</v>
      </c>
    </row>
    <row r="126" spans="1:9" x14ac:dyDescent="0.25">
      <c r="A126" s="139">
        <v>43578</v>
      </c>
      <c r="B126" s="140">
        <v>2317.6</v>
      </c>
      <c r="C126" s="140">
        <v>174.8</v>
      </c>
      <c r="D126" s="140">
        <v>1431</v>
      </c>
      <c r="E126" s="141">
        <v>232.7</v>
      </c>
      <c r="F126">
        <f t="shared" si="5"/>
        <v>3.0729279376757882E-3</v>
      </c>
      <c r="G126">
        <f t="shared" si="6"/>
        <v>-1.1428571428570779E-3</v>
      </c>
      <c r="H126">
        <f t="shared" si="7"/>
        <v>-8.5564831814874485E-3</v>
      </c>
      <c r="I126">
        <f t="shared" si="8"/>
        <v>-2.3704636039437826E-2</v>
      </c>
    </row>
    <row r="127" spans="1:9" x14ac:dyDescent="0.25">
      <c r="A127" s="139">
        <v>43579</v>
      </c>
      <c r="B127" s="140">
        <v>2311.9</v>
      </c>
      <c r="C127" s="140">
        <v>174.8</v>
      </c>
      <c r="D127" s="140">
        <v>1450.05</v>
      </c>
      <c r="E127" s="141">
        <v>239.15</v>
      </c>
      <c r="F127">
        <f t="shared" si="5"/>
        <v>-2.4594408008283648E-3</v>
      </c>
      <c r="G127">
        <f t="shared" si="6"/>
        <v>0</v>
      </c>
      <c r="H127">
        <f t="shared" si="7"/>
        <v>1.33123689727463E-2</v>
      </c>
      <c r="I127">
        <f t="shared" si="8"/>
        <v>2.7718091963902094E-2</v>
      </c>
    </row>
    <row r="128" spans="1:9" x14ac:dyDescent="0.25">
      <c r="A128" s="139">
        <v>43580</v>
      </c>
      <c r="B128" s="140">
        <v>2334.4</v>
      </c>
      <c r="C128" s="140">
        <v>170.45</v>
      </c>
      <c r="D128" s="140">
        <v>1447.95</v>
      </c>
      <c r="E128" s="141">
        <v>237.05</v>
      </c>
      <c r="F128">
        <f t="shared" si="5"/>
        <v>9.7322548553138103E-3</v>
      </c>
      <c r="G128">
        <f t="shared" si="6"/>
        <v>-2.4885583524027588E-2</v>
      </c>
      <c r="H128">
        <f t="shared" si="7"/>
        <v>-1.4482259232439633E-3</v>
      </c>
      <c r="I128">
        <f t="shared" si="8"/>
        <v>-8.7810997282040323E-3</v>
      </c>
    </row>
    <row r="129" spans="1:9" x14ac:dyDescent="0.25">
      <c r="A129" s="139">
        <v>43581</v>
      </c>
      <c r="B129" s="140">
        <v>2353.9499999999998</v>
      </c>
      <c r="C129" s="140">
        <v>169.7</v>
      </c>
      <c r="D129" s="140">
        <v>1448.75</v>
      </c>
      <c r="E129" s="141">
        <v>237.2</v>
      </c>
      <c r="F129">
        <f t="shared" si="5"/>
        <v>8.3747429746400467E-3</v>
      </c>
      <c r="G129">
        <f t="shared" si="6"/>
        <v>-4.4001173364623062E-3</v>
      </c>
      <c r="H129">
        <f t="shared" si="7"/>
        <v>5.5250526606578573E-4</v>
      </c>
      <c r="I129">
        <f t="shared" si="8"/>
        <v>6.3277789495877349E-4</v>
      </c>
    </row>
    <row r="130" spans="1:9" x14ac:dyDescent="0.25">
      <c r="A130" s="139">
        <v>43585</v>
      </c>
      <c r="B130" s="140">
        <v>2348.6</v>
      </c>
      <c r="C130" s="140">
        <v>166.85</v>
      </c>
      <c r="D130" s="140">
        <v>1463.15</v>
      </c>
      <c r="E130" s="141">
        <v>168</v>
      </c>
      <c r="F130">
        <f t="shared" si="5"/>
        <v>-2.2727755474839777E-3</v>
      </c>
      <c r="G130">
        <f t="shared" si="6"/>
        <v>-1.6794342958161429E-2</v>
      </c>
      <c r="H130">
        <f t="shared" si="7"/>
        <v>9.9396031061260333E-3</v>
      </c>
      <c r="I130">
        <f t="shared" si="8"/>
        <v>-0.29173693086003372</v>
      </c>
    </row>
    <row r="131" spans="1:9" x14ac:dyDescent="0.25">
      <c r="A131" s="139">
        <v>43587</v>
      </c>
      <c r="B131" s="140">
        <v>2368.6</v>
      </c>
      <c r="C131" s="140">
        <v>168.3</v>
      </c>
      <c r="D131" s="140">
        <v>1436.6</v>
      </c>
      <c r="E131" s="141">
        <v>173.75</v>
      </c>
      <c r="F131">
        <f t="shared" si="5"/>
        <v>8.5157114876947965E-3</v>
      </c>
      <c r="G131">
        <f t="shared" si="6"/>
        <v>8.6904405154331257E-3</v>
      </c>
      <c r="H131">
        <f t="shared" si="7"/>
        <v>-1.8145781362129774E-2</v>
      </c>
      <c r="I131">
        <f t="shared" si="8"/>
        <v>3.4226190476190479E-2</v>
      </c>
    </row>
    <row r="132" spans="1:9" x14ac:dyDescent="0.25">
      <c r="A132" s="139">
        <v>43588</v>
      </c>
      <c r="B132" s="140">
        <v>2352.9</v>
      </c>
      <c r="C132" s="140">
        <v>167.7</v>
      </c>
      <c r="D132" s="140">
        <v>1438.55</v>
      </c>
      <c r="E132" s="141">
        <v>175.9</v>
      </c>
      <c r="F132">
        <f t="shared" ref="F132:F195" si="9">(B132-B131)/B131</f>
        <v>-6.6283880773451908E-3</v>
      </c>
      <c r="G132">
        <f t="shared" ref="G132:G195" si="10">(C132-C131)/C131</f>
        <v>-3.565062388591935E-3</v>
      </c>
      <c r="H132">
        <f t="shared" ref="H132:H195" si="11">(D132-D131)/D131</f>
        <v>1.357371571766703E-3</v>
      </c>
      <c r="I132">
        <f t="shared" ref="I132:I195" si="12">(E132-E131)/E131</f>
        <v>1.2374100719424493E-2</v>
      </c>
    </row>
    <row r="133" spans="1:9" x14ac:dyDescent="0.25">
      <c r="A133" s="139">
        <v>43591</v>
      </c>
      <c r="B133" s="140">
        <v>2342.6999999999998</v>
      </c>
      <c r="C133" s="140">
        <v>166.75</v>
      </c>
      <c r="D133" s="140">
        <v>1412.8</v>
      </c>
      <c r="E133" s="141">
        <v>166.25</v>
      </c>
      <c r="F133">
        <f t="shared" si="9"/>
        <v>-4.3350758638277332E-3</v>
      </c>
      <c r="G133">
        <f t="shared" si="10"/>
        <v>-5.6648777579009464E-3</v>
      </c>
      <c r="H133">
        <f t="shared" si="11"/>
        <v>-1.7899968718501268E-2</v>
      </c>
      <c r="I133">
        <f t="shared" si="12"/>
        <v>-5.4860716316088715E-2</v>
      </c>
    </row>
    <row r="134" spans="1:9" x14ac:dyDescent="0.25">
      <c r="A134" s="139">
        <v>43592</v>
      </c>
      <c r="B134" s="140">
        <v>2325.8000000000002</v>
      </c>
      <c r="C134" s="140">
        <v>163.5</v>
      </c>
      <c r="D134" s="140">
        <v>1387.8</v>
      </c>
      <c r="E134" s="141">
        <v>164.75</v>
      </c>
      <c r="F134">
        <f t="shared" si="9"/>
        <v>-7.2138984931914615E-3</v>
      </c>
      <c r="G134">
        <f t="shared" si="10"/>
        <v>-1.9490254872563718E-2</v>
      </c>
      <c r="H134">
        <f t="shared" si="11"/>
        <v>-1.7695356738391847E-2</v>
      </c>
      <c r="I134">
        <f t="shared" si="12"/>
        <v>-9.0225563909774441E-3</v>
      </c>
    </row>
    <row r="135" spans="1:9" x14ac:dyDescent="0.25">
      <c r="A135" s="139">
        <v>43593</v>
      </c>
      <c r="B135" s="140">
        <v>2289.9499999999998</v>
      </c>
      <c r="C135" s="140">
        <v>159.4</v>
      </c>
      <c r="D135" s="140">
        <v>1385.7</v>
      </c>
      <c r="E135" s="141">
        <v>160.75</v>
      </c>
      <c r="F135">
        <f t="shared" si="9"/>
        <v>-1.541405107919871E-2</v>
      </c>
      <c r="G135">
        <f t="shared" si="10"/>
        <v>-2.5076452599388344E-2</v>
      </c>
      <c r="H135">
        <f t="shared" si="11"/>
        <v>-1.5131863380889964E-3</v>
      </c>
      <c r="I135">
        <f t="shared" si="12"/>
        <v>-2.4279210925644917E-2</v>
      </c>
    </row>
    <row r="136" spans="1:9" x14ac:dyDescent="0.25">
      <c r="A136" s="139">
        <v>43594</v>
      </c>
      <c r="B136" s="140">
        <v>2291.75</v>
      </c>
      <c r="C136" s="140">
        <v>157.15</v>
      </c>
      <c r="D136" s="140">
        <v>1354.2</v>
      </c>
      <c r="E136" s="141">
        <v>170.3</v>
      </c>
      <c r="F136">
        <f t="shared" si="9"/>
        <v>7.860433633922933E-4</v>
      </c>
      <c r="G136">
        <f t="shared" si="10"/>
        <v>-1.411543287327478E-2</v>
      </c>
      <c r="H136">
        <f t="shared" si="11"/>
        <v>-2.2732193115392943E-2</v>
      </c>
      <c r="I136">
        <f t="shared" si="12"/>
        <v>5.9409020217729466E-2</v>
      </c>
    </row>
    <row r="137" spans="1:9" x14ac:dyDescent="0.25">
      <c r="A137" s="139">
        <v>43595</v>
      </c>
      <c r="B137" s="140">
        <v>2278.1999999999998</v>
      </c>
      <c r="C137" s="140">
        <v>155.94999999999999</v>
      </c>
      <c r="D137" s="140">
        <v>1341.05</v>
      </c>
      <c r="E137" s="141">
        <v>163.85</v>
      </c>
      <c r="F137">
        <f t="shared" si="9"/>
        <v>-5.9125122722810874E-3</v>
      </c>
      <c r="G137">
        <f t="shared" si="10"/>
        <v>-7.6360165447026214E-3</v>
      </c>
      <c r="H137">
        <f t="shared" si="11"/>
        <v>-9.7105302023335477E-3</v>
      </c>
      <c r="I137">
        <f t="shared" si="12"/>
        <v>-3.7874339401057056E-2</v>
      </c>
    </row>
    <row r="138" spans="1:9" x14ac:dyDescent="0.25">
      <c r="A138" s="139">
        <v>43598</v>
      </c>
      <c r="B138" s="140">
        <v>2247.25</v>
      </c>
      <c r="C138" s="140">
        <v>154.19999999999999</v>
      </c>
      <c r="D138" s="140">
        <v>1332.5</v>
      </c>
      <c r="E138" s="141">
        <v>154.69999999999999</v>
      </c>
      <c r="F138">
        <f t="shared" si="9"/>
        <v>-1.3585286629795374E-2</v>
      </c>
      <c r="G138">
        <f t="shared" si="10"/>
        <v>-1.1221545367104842E-2</v>
      </c>
      <c r="H138">
        <f t="shared" si="11"/>
        <v>-6.3756012080086162E-3</v>
      </c>
      <c r="I138">
        <f t="shared" si="12"/>
        <v>-5.5843759536161157E-2</v>
      </c>
    </row>
    <row r="139" spans="1:9" x14ac:dyDescent="0.25">
      <c r="A139" s="139">
        <v>43599</v>
      </c>
      <c r="B139" s="140">
        <v>2250.25</v>
      </c>
      <c r="C139" s="140">
        <v>160.75</v>
      </c>
      <c r="D139" s="140">
        <v>1320.25</v>
      </c>
      <c r="E139" s="141">
        <v>155.85</v>
      </c>
      <c r="F139">
        <f t="shared" si="9"/>
        <v>1.3349649571698743E-3</v>
      </c>
      <c r="G139">
        <f t="shared" si="10"/>
        <v>4.2477302204928742E-2</v>
      </c>
      <c r="H139">
        <f t="shared" si="11"/>
        <v>-9.1932457786116327E-3</v>
      </c>
      <c r="I139">
        <f t="shared" si="12"/>
        <v>7.4337427278604118E-3</v>
      </c>
    </row>
    <row r="140" spans="1:9" x14ac:dyDescent="0.25">
      <c r="A140" s="139">
        <v>43600</v>
      </c>
      <c r="B140" s="140">
        <v>2257.6</v>
      </c>
      <c r="C140" s="140">
        <v>160.05000000000001</v>
      </c>
      <c r="D140" s="140">
        <v>1305.95</v>
      </c>
      <c r="E140" s="141">
        <v>142.94999999999999</v>
      </c>
      <c r="F140">
        <f t="shared" si="9"/>
        <v>3.2663037440284009E-3</v>
      </c>
      <c r="G140">
        <f t="shared" si="10"/>
        <v>-4.3545878693622931E-3</v>
      </c>
      <c r="H140">
        <f t="shared" si="11"/>
        <v>-1.0831281954175312E-2</v>
      </c>
      <c r="I140">
        <f t="shared" si="12"/>
        <v>-8.2771896053898023E-2</v>
      </c>
    </row>
    <row r="141" spans="1:9" x14ac:dyDescent="0.25">
      <c r="A141" s="139">
        <v>43601</v>
      </c>
      <c r="B141" s="140">
        <v>2279</v>
      </c>
      <c r="C141" s="140">
        <v>163.5</v>
      </c>
      <c r="D141" s="140">
        <v>1304.4000000000001</v>
      </c>
      <c r="E141" s="141">
        <v>137.75</v>
      </c>
      <c r="F141">
        <f t="shared" si="9"/>
        <v>9.4790928419561001E-3</v>
      </c>
      <c r="G141">
        <f t="shared" si="10"/>
        <v>2.1555763823804988E-2</v>
      </c>
      <c r="H141">
        <f t="shared" si="11"/>
        <v>-1.1868754546498369E-3</v>
      </c>
      <c r="I141">
        <f t="shared" si="12"/>
        <v>-3.6376355369010065E-2</v>
      </c>
    </row>
    <row r="142" spans="1:9" x14ac:dyDescent="0.25">
      <c r="A142" s="139">
        <v>43602</v>
      </c>
      <c r="B142" s="140">
        <v>2264.8000000000002</v>
      </c>
      <c r="C142" s="140">
        <v>160.94999999999999</v>
      </c>
      <c r="D142" s="140">
        <v>1320</v>
      </c>
      <c r="E142" s="141">
        <v>134.15</v>
      </c>
      <c r="F142">
        <f t="shared" si="9"/>
        <v>-6.2308029837647291E-3</v>
      </c>
      <c r="G142">
        <f t="shared" si="10"/>
        <v>-1.5596330275229428E-2</v>
      </c>
      <c r="H142">
        <f t="shared" si="11"/>
        <v>1.1959521619135164E-2</v>
      </c>
      <c r="I142">
        <f t="shared" si="12"/>
        <v>-2.6134301270417382E-2</v>
      </c>
    </row>
    <row r="143" spans="1:9" x14ac:dyDescent="0.25">
      <c r="A143" s="139">
        <v>43605</v>
      </c>
      <c r="B143" s="140">
        <v>2346.25</v>
      </c>
      <c r="C143" s="140">
        <v>167.1</v>
      </c>
      <c r="D143" s="140">
        <v>1373.95</v>
      </c>
      <c r="E143" s="141">
        <v>143.55000000000001</v>
      </c>
      <c r="F143">
        <f t="shared" si="9"/>
        <v>3.5963440480395535E-2</v>
      </c>
      <c r="G143">
        <f t="shared" si="10"/>
        <v>3.8210624417521009E-2</v>
      </c>
      <c r="H143">
        <f t="shared" si="11"/>
        <v>4.0871212121212155E-2</v>
      </c>
      <c r="I143">
        <f t="shared" si="12"/>
        <v>7.0070816250465934E-2</v>
      </c>
    </row>
    <row r="144" spans="1:9" x14ac:dyDescent="0.25">
      <c r="A144" s="139">
        <v>43606</v>
      </c>
      <c r="B144" s="140">
        <v>2279.4499999999998</v>
      </c>
      <c r="C144" s="140">
        <v>165.45</v>
      </c>
      <c r="D144" s="140">
        <v>1357.75</v>
      </c>
      <c r="E144" s="141">
        <v>141</v>
      </c>
      <c r="F144">
        <f t="shared" si="9"/>
        <v>-2.8470964304741688E-2</v>
      </c>
      <c r="G144">
        <f t="shared" si="10"/>
        <v>-9.8743267504488672E-3</v>
      </c>
      <c r="H144">
        <f t="shared" si="11"/>
        <v>-1.1790822082317439E-2</v>
      </c>
      <c r="I144">
        <f t="shared" si="12"/>
        <v>-1.7763845350052324E-2</v>
      </c>
    </row>
    <row r="145" spans="1:9" x14ac:dyDescent="0.25">
      <c r="A145" s="139">
        <v>43607</v>
      </c>
      <c r="B145" s="140">
        <v>2310.4</v>
      </c>
      <c r="C145" s="140">
        <v>166.3</v>
      </c>
      <c r="D145" s="140">
        <v>1368.45</v>
      </c>
      <c r="E145" s="141">
        <v>137.55000000000001</v>
      </c>
      <c r="F145">
        <f t="shared" si="9"/>
        <v>1.3577836758867392E-2</v>
      </c>
      <c r="G145">
        <f t="shared" si="10"/>
        <v>5.1375037775764449E-3</v>
      </c>
      <c r="H145">
        <f t="shared" si="11"/>
        <v>7.8806849567299182E-3</v>
      </c>
      <c r="I145">
        <f t="shared" si="12"/>
        <v>-2.44680851063829E-2</v>
      </c>
    </row>
    <row r="146" spans="1:9" x14ac:dyDescent="0.25">
      <c r="A146" s="139">
        <v>43608</v>
      </c>
      <c r="B146" s="140">
        <v>2303</v>
      </c>
      <c r="C146" s="140">
        <v>157.35</v>
      </c>
      <c r="D146" s="140">
        <v>1367.75</v>
      </c>
      <c r="E146" s="141">
        <v>139.75</v>
      </c>
      <c r="F146">
        <f t="shared" si="9"/>
        <v>-3.202908587257657E-3</v>
      </c>
      <c r="G146">
        <f t="shared" si="10"/>
        <v>-5.3818400481058425E-2</v>
      </c>
      <c r="H146">
        <f t="shared" si="11"/>
        <v>-5.1152764076147861E-4</v>
      </c>
      <c r="I146">
        <f t="shared" si="12"/>
        <v>1.5994183933115146E-2</v>
      </c>
    </row>
    <row r="147" spans="1:9" x14ac:dyDescent="0.25">
      <c r="A147" s="139">
        <v>43609</v>
      </c>
      <c r="B147" s="140">
        <v>2426.85</v>
      </c>
      <c r="C147" s="140">
        <v>163.9</v>
      </c>
      <c r="D147" s="140">
        <v>1384.5</v>
      </c>
      <c r="E147" s="141">
        <v>141.19999999999999</v>
      </c>
      <c r="F147">
        <f t="shared" si="9"/>
        <v>5.377768128528003E-2</v>
      </c>
      <c r="G147">
        <f t="shared" si="10"/>
        <v>4.1626946298061719E-2</v>
      </c>
      <c r="H147">
        <f t="shared" si="11"/>
        <v>1.2246390056662402E-2</v>
      </c>
      <c r="I147">
        <f t="shared" si="12"/>
        <v>1.0375670840787039E-2</v>
      </c>
    </row>
    <row r="148" spans="1:9" x14ac:dyDescent="0.25">
      <c r="A148" s="139">
        <v>43612</v>
      </c>
      <c r="B148" s="140">
        <v>2418.15</v>
      </c>
      <c r="C148" s="140">
        <v>166.5</v>
      </c>
      <c r="D148" s="140">
        <v>1366.85</v>
      </c>
      <c r="E148" s="141">
        <v>146.80000000000001</v>
      </c>
      <c r="F148">
        <f t="shared" si="9"/>
        <v>-3.5848939983929035E-3</v>
      </c>
      <c r="G148">
        <f t="shared" si="10"/>
        <v>1.5863331299572875E-2</v>
      </c>
      <c r="H148">
        <f t="shared" si="11"/>
        <v>-1.2748284579270561E-2</v>
      </c>
      <c r="I148">
        <f t="shared" si="12"/>
        <v>3.9660056657223962E-2</v>
      </c>
    </row>
    <row r="149" spans="1:9" x14ac:dyDescent="0.25">
      <c r="A149" s="139">
        <v>43613</v>
      </c>
      <c r="B149" s="140">
        <v>2451.0500000000002</v>
      </c>
      <c r="C149" s="140">
        <v>169.55</v>
      </c>
      <c r="D149" s="140">
        <v>1364.35</v>
      </c>
      <c r="E149" s="141">
        <v>152.80000000000001</v>
      </c>
      <c r="F149">
        <f t="shared" si="9"/>
        <v>1.3605442176870786E-2</v>
      </c>
      <c r="G149">
        <f t="shared" si="10"/>
        <v>1.8318318318318386E-2</v>
      </c>
      <c r="H149">
        <f t="shared" si="11"/>
        <v>-1.829022935947617E-3</v>
      </c>
      <c r="I149">
        <f t="shared" si="12"/>
        <v>4.0871934604904632E-2</v>
      </c>
    </row>
    <row r="150" spans="1:9" x14ac:dyDescent="0.25">
      <c r="A150" s="139">
        <v>43614</v>
      </c>
      <c r="B150" s="140">
        <v>2440.9499999999998</v>
      </c>
      <c r="C150" s="140">
        <v>165.85</v>
      </c>
      <c r="D150" s="140">
        <v>1358.25</v>
      </c>
      <c r="E150" s="141">
        <v>151.69999999999999</v>
      </c>
      <c r="F150">
        <f t="shared" si="9"/>
        <v>-4.1206829726037264E-3</v>
      </c>
      <c r="G150">
        <f t="shared" si="10"/>
        <v>-2.182247124741974E-2</v>
      </c>
      <c r="H150">
        <f t="shared" si="11"/>
        <v>-4.4709935133945902E-3</v>
      </c>
      <c r="I150">
        <f t="shared" si="12"/>
        <v>-7.1989528795812999E-3</v>
      </c>
    </row>
    <row r="151" spans="1:9" x14ac:dyDescent="0.25">
      <c r="A151" s="139">
        <v>43615</v>
      </c>
      <c r="B151" s="140">
        <v>2468.85</v>
      </c>
      <c r="C151" s="140">
        <v>164</v>
      </c>
      <c r="D151" s="140">
        <v>1374.6</v>
      </c>
      <c r="E151" s="141">
        <v>155</v>
      </c>
      <c r="F151">
        <f t="shared" si="9"/>
        <v>1.1429976033921258E-2</v>
      </c>
      <c r="G151">
        <f t="shared" si="10"/>
        <v>-1.1154657823334304E-2</v>
      </c>
      <c r="H151">
        <f t="shared" si="11"/>
        <v>1.2037548315847531E-2</v>
      </c>
      <c r="I151">
        <f t="shared" si="12"/>
        <v>2.1753460777851098E-2</v>
      </c>
    </row>
    <row r="152" spans="1:9" x14ac:dyDescent="0.25">
      <c r="A152" s="139">
        <v>43616</v>
      </c>
      <c r="B152" s="140">
        <v>2448.3000000000002</v>
      </c>
      <c r="C152" s="140">
        <v>160.55000000000001</v>
      </c>
      <c r="D152" s="140">
        <v>1407.3</v>
      </c>
      <c r="E152" s="141">
        <v>147.80000000000001</v>
      </c>
      <c r="F152">
        <f t="shared" si="9"/>
        <v>-8.3237134698340223E-3</v>
      </c>
      <c r="G152">
        <f t="shared" si="10"/>
        <v>-2.103658536585359E-2</v>
      </c>
      <c r="H152">
        <f t="shared" si="11"/>
        <v>2.3788738542121379E-2</v>
      </c>
      <c r="I152">
        <f t="shared" si="12"/>
        <v>-4.6451612903225734E-2</v>
      </c>
    </row>
    <row r="153" spans="1:9" x14ac:dyDescent="0.25">
      <c r="A153" s="139">
        <v>43619</v>
      </c>
      <c r="B153" s="140">
        <v>2453.6999999999998</v>
      </c>
      <c r="C153" s="140">
        <v>164.2</v>
      </c>
      <c r="D153" s="140">
        <v>1459.25</v>
      </c>
      <c r="E153" s="141">
        <v>149.44999999999999</v>
      </c>
      <c r="F153">
        <f t="shared" si="9"/>
        <v>2.2056120573457649E-3</v>
      </c>
      <c r="G153">
        <f t="shared" si="10"/>
        <v>2.2734350669573199E-2</v>
      </c>
      <c r="H153">
        <f t="shared" si="11"/>
        <v>3.6914659276629042E-2</v>
      </c>
      <c r="I153">
        <f t="shared" si="12"/>
        <v>1.1163734776725149E-2</v>
      </c>
    </row>
    <row r="154" spans="1:9" x14ac:dyDescent="0.25">
      <c r="A154" s="139">
        <v>43620</v>
      </c>
      <c r="B154" s="140">
        <v>2420.35</v>
      </c>
      <c r="C154" s="140">
        <v>165.9</v>
      </c>
      <c r="D154" s="140">
        <v>1421.5</v>
      </c>
      <c r="E154" s="141">
        <v>152.80000000000001</v>
      </c>
      <c r="F154">
        <f t="shared" si="9"/>
        <v>-1.3591718629009215E-2</v>
      </c>
      <c r="G154">
        <f t="shared" si="10"/>
        <v>1.0353227771011067E-2</v>
      </c>
      <c r="H154">
        <f t="shared" si="11"/>
        <v>-2.5869453486379989E-2</v>
      </c>
      <c r="I154">
        <f t="shared" si="12"/>
        <v>2.2415523586483927E-2</v>
      </c>
    </row>
    <row r="155" spans="1:9" x14ac:dyDescent="0.25">
      <c r="A155" s="139">
        <v>43622</v>
      </c>
      <c r="B155" s="140">
        <v>2432.4</v>
      </c>
      <c r="C155" s="140">
        <v>163.1</v>
      </c>
      <c r="D155" s="140">
        <v>1428.55</v>
      </c>
      <c r="E155" s="141">
        <v>143.4</v>
      </c>
      <c r="F155">
        <f t="shared" si="9"/>
        <v>4.9786187948024797E-3</v>
      </c>
      <c r="G155">
        <f t="shared" si="10"/>
        <v>-1.6877637130801756E-2</v>
      </c>
      <c r="H155">
        <f t="shared" si="11"/>
        <v>4.9595497713682407E-3</v>
      </c>
      <c r="I155">
        <f t="shared" si="12"/>
        <v>-6.1518324607329873E-2</v>
      </c>
    </row>
    <row r="156" spans="1:9" x14ac:dyDescent="0.25">
      <c r="A156" s="139">
        <v>43623</v>
      </c>
      <c r="B156" s="140">
        <v>2410.15</v>
      </c>
      <c r="C156" s="140">
        <v>164.2</v>
      </c>
      <c r="D156" s="140">
        <v>1418.35</v>
      </c>
      <c r="E156" s="141">
        <v>139.9</v>
      </c>
      <c r="F156">
        <f t="shared" si="9"/>
        <v>-9.1473441868113788E-3</v>
      </c>
      <c r="G156">
        <f t="shared" si="10"/>
        <v>6.7443286327406151E-3</v>
      </c>
      <c r="H156">
        <f t="shared" si="11"/>
        <v>-7.1401071016065562E-3</v>
      </c>
      <c r="I156">
        <f t="shared" si="12"/>
        <v>-2.4407252440725242E-2</v>
      </c>
    </row>
    <row r="157" spans="1:9" x14ac:dyDescent="0.25">
      <c r="A157" s="139">
        <v>43626</v>
      </c>
      <c r="B157" s="140">
        <v>2343</v>
      </c>
      <c r="C157" s="140">
        <v>165.2</v>
      </c>
      <c r="D157" s="140">
        <v>1422.6</v>
      </c>
      <c r="E157" s="141">
        <v>135.9</v>
      </c>
      <c r="F157">
        <f t="shared" si="9"/>
        <v>-2.7861336431342483E-2</v>
      </c>
      <c r="G157">
        <f t="shared" si="10"/>
        <v>6.0901339829476254E-3</v>
      </c>
      <c r="H157">
        <f t="shared" si="11"/>
        <v>2.996439524799944E-3</v>
      </c>
      <c r="I157">
        <f t="shared" si="12"/>
        <v>-2.8591851322373123E-2</v>
      </c>
    </row>
    <row r="158" spans="1:9" x14ac:dyDescent="0.25">
      <c r="A158" s="139">
        <v>43627</v>
      </c>
      <c r="B158" s="140">
        <v>2306.5500000000002</v>
      </c>
      <c r="C158" s="140">
        <v>169.35</v>
      </c>
      <c r="D158" s="140">
        <v>1425.5</v>
      </c>
      <c r="E158" s="141">
        <v>139.55000000000001</v>
      </c>
      <c r="F158">
        <f t="shared" si="9"/>
        <v>-1.5556978233034494E-2</v>
      </c>
      <c r="G158">
        <f t="shared" si="10"/>
        <v>2.51210653753027E-2</v>
      </c>
      <c r="H158">
        <f t="shared" si="11"/>
        <v>2.0385210178546966E-3</v>
      </c>
      <c r="I158">
        <f t="shared" si="12"/>
        <v>2.6857983811626237E-2</v>
      </c>
    </row>
    <row r="159" spans="1:9" x14ac:dyDescent="0.25">
      <c r="A159" s="139">
        <v>43628</v>
      </c>
      <c r="B159" s="140">
        <v>2277.0500000000002</v>
      </c>
      <c r="C159" s="140">
        <v>170.1</v>
      </c>
      <c r="D159" s="140">
        <v>1425.45</v>
      </c>
      <c r="E159" s="141">
        <v>134.75</v>
      </c>
      <c r="F159">
        <f t="shared" si="9"/>
        <v>-1.2789664217120807E-2</v>
      </c>
      <c r="G159">
        <f t="shared" si="10"/>
        <v>4.4286979627989375E-3</v>
      </c>
      <c r="H159">
        <f t="shared" si="11"/>
        <v>-3.5075412136060697E-5</v>
      </c>
      <c r="I159">
        <f t="shared" si="12"/>
        <v>-3.4396273737011901E-2</v>
      </c>
    </row>
    <row r="160" spans="1:9" x14ac:dyDescent="0.25">
      <c r="A160" s="139">
        <v>43629</v>
      </c>
      <c r="B160" s="140">
        <v>2258.5500000000002</v>
      </c>
      <c r="C160" s="140">
        <v>168.45</v>
      </c>
      <c r="D160" s="140">
        <v>1429.45</v>
      </c>
      <c r="E160" s="141">
        <v>117.1</v>
      </c>
      <c r="F160">
        <f t="shared" si="9"/>
        <v>-8.1245471113941276E-3</v>
      </c>
      <c r="G160">
        <f t="shared" si="10"/>
        <v>-9.7001763668430677E-3</v>
      </c>
      <c r="H160">
        <f t="shared" si="11"/>
        <v>2.8061313971026692E-3</v>
      </c>
      <c r="I160">
        <f t="shared" si="12"/>
        <v>-0.13098330241187389</v>
      </c>
    </row>
    <row r="161" spans="1:9" x14ac:dyDescent="0.25">
      <c r="A161" s="139">
        <v>43630</v>
      </c>
      <c r="B161" s="140">
        <v>2208.3000000000002</v>
      </c>
      <c r="C161" s="140">
        <v>169.55</v>
      </c>
      <c r="D161" s="140">
        <v>1412.75</v>
      </c>
      <c r="E161" s="141">
        <v>115.05</v>
      </c>
      <c r="F161">
        <f t="shared" si="9"/>
        <v>-2.2248787939164506E-2</v>
      </c>
      <c r="G161">
        <f t="shared" si="10"/>
        <v>6.5301276343129877E-3</v>
      </c>
      <c r="H161">
        <f t="shared" si="11"/>
        <v>-1.168281506873276E-2</v>
      </c>
      <c r="I161">
        <f t="shared" si="12"/>
        <v>-1.7506404782237382E-2</v>
      </c>
    </row>
    <row r="162" spans="1:9" x14ac:dyDescent="0.25">
      <c r="A162" s="139">
        <v>43633</v>
      </c>
      <c r="B162" s="140">
        <v>2192.0500000000002</v>
      </c>
      <c r="C162" s="140">
        <v>164.05</v>
      </c>
      <c r="D162" s="140">
        <v>1401.95</v>
      </c>
      <c r="E162" s="141">
        <v>116.15</v>
      </c>
      <c r="F162">
        <f t="shared" si="9"/>
        <v>-7.358601639270026E-3</v>
      </c>
      <c r="G162">
        <f t="shared" si="10"/>
        <v>-3.2438808611029192E-2</v>
      </c>
      <c r="H162">
        <f t="shared" si="11"/>
        <v>-7.6446646611218931E-3</v>
      </c>
      <c r="I162">
        <f t="shared" si="12"/>
        <v>9.5610604085181097E-3</v>
      </c>
    </row>
    <row r="163" spans="1:9" x14ac:dyDescent="0.25">
      <c r="A163" s="139">
        <v>43634</v>
      </c>
      <c r="B163" s="140">
        <v>2195.8000000000002</v>
      </c>
      <c r="C163" s="140">
        <v>168.1</v>
      </c>
      <c r="D163" s="140">
        <v>1380.05</v>
      </c>
      <c r="E163" s="141">
        <v>109.3</v>
      </c>
      <c r="F163">
        <f t="shared" si="9"/>
        <v>1.7107274012910288E-3</v>
      </c>
      <c r="G163">
        <f t="shared" si="10"/>
        <v>2.4687595245351922E-2</v>
      </c>
      <c r="H163">
        <f t="shared" si="11"/>
        <v>-1.5621099183280494E-2</v>
      </c>
      <c r="I163">
        <f t="shared" si="12"/>
        <v>-5.8975462763667739E-2</v>
      </c>
    </row>
    <row r="164" spans="1:9" x14ac:dyDescent="0.25">
      <c r="A164" s="139">
        <v>43635</v>
      </c>
      <c r="B164" s="140">
        <v>2156.5</v>
      </c>
      <c r="C164" s="140">
        <v>168.5</v>
      </c>
      <c r="D164" s="140">
        <v>1381.15</v>
      </c>
      <c r="E164" s="141">
        <v>103.2</v>
      </c>
      <c r="F164">
        <f t="shared" si="9"/>
        <v>-1.7897804900264221E-2</v>
      </c>
      <c r="G164">
        <f t="shared" si="10"/>
        <v>2.37953599048189E-3</v>
      </c>
      <c r="H164">
        <f t="shared" si="11"/>
        <v>7.9707256983452518E-4</v>
      </c>
      <c r="I164">
        <f t="shared" si="12"/>
        <v>-5.5809698078682475E-2</v>
      </c>
    </row>
    <row r="165" spans="1:9" x14ac:dyDescent="0.25">
      <c r="A165" s="139">
        <v>43636</v>
      </c>
      <c r="B165" s="140">
        <v>2152.25</v>
      </c>
      <c r="C165" s="140">
        <v>172</v>
      </c>
      <c r="D165" s="140">
        <v>1392.05</v>
      </c>
      <c r="E165" s="141">
        <v>114.55</v>
      </c>
      <c r="F165">
        <f t="shared" si="9"/>
        <v>-1.970785995826571E-3</v>
      </c>
      <c r="G165">
        <f t="shared" si="10"/>
        <v>2.0771513353115726E-2</v>
      </c>
      <c r="H165">
        <f t="shared" si="11"/>
        <v>7.8919740795712727E-3</v>
      </c>
      <c r="I165">
        <f t="shared" si="12"/>
        <v>0.10998062015503871</v>
      </c>
    </row>
    <row r="166" spans="1:9" x14ac:dyDescent="0.25">
      <c r="A166" s="139">
        <v>43637</v>
      </c>
      <c r="B166" s="140">
        <v>2214.6999999999998</v>
      </c>
      <c r="C166" s="140">
        <v>172.4</v>
      </c>
      <c r="D166" s="140">
        <v>1383</v>
      </c>
      <c r="E166" s="141">
        <v>109.6</v>
      </c>
      <c r="F166">
        <f t="shared" si="9"/>
        <v>2.9016145893831953E-2</v>
      </c>
      <c r="G166">
        <f t="shared" si="10"/>
        <v>2.3255813953488701E-3</v>
      </c>
      <c r="H166">
        <f t="shared" si="11"/>
        <v>-6.5012032613770733E-3</v>
      </c>
      <c r="I166">
        <f t="shared" si="12"/>
        <v>-4.3212570929725039E-2</v>
      </c>
    </row>
    <row r="167" spans="1:9" x14ac:dyDescent="0.25">
      <c r="A167" s="139">
        <v>43640</v>
      </c>
      <c r="B167" s="140">
        <v>2242.4499999999998</v>
      </c>
      <c r="C167" s="140">
        <v>168.45</v>
      </c>
      <c r="D167" s="140">
        <v>1376.15</v>
      </c>
      <c r="E167" s="141">
        <v>111.95</v>
      </c>
      <c r="F167">
        <f t="shared" si="9"/>
        <v>1.2529913758071071E-2</v>
      </c>
      <c r="G167">
        <f t="shared" si="10"/>
        <v>-2.2911832946635829E-2</v>
      </c>
      <c r="H167">
        <f t="shared" si="11"/>
        <v>-4.9530007230657331E-3</v>
      </c>
      <c r="I167">
        <f t="shared" si="12"/>
        <v>2.1441605839416136E-2</v>
      </c>
    </row>
    <row r="168" spans="1:9" x14ac:dyDescent="0.25">
      <c r="A168" s="139">
        <v>43641</v>
      </c>
      <c r="B168" s="140">
        <v>2243.5</v>
      </c>
      <c r="C168" s="140">
        <v>170.35</v>
      </c>
      <c r="D168" s="140">
        <v>1363.1</v>
      </c>
      <c r="E168" s="141">
        <v>110.05</v>
      </c>
      <c r="F168">
        <f t="shared" si="9"/>
        <v>4.6823786483541751E-4</v>
      </c>
      <c r="G168">
        <f t="shared" si="10"/>
        <v>1.1279311368358597E-2</v>
      </c>
      <c r="H168">
        <f t="shared" si="11"/>
        <v>-9.4829778730517612E-3</v>
      </c>
      <c r="I168">
        <f t="shared" si="12"/>
        <v>-1.6971862438588704E-2</v>
      </c>
    </row>
    <row r="169" spans="1:9" x14ac:dyDescent="0.25">
      <c r="A169" s="139">
        <v>43642</v>
      </c>
      <c r="B169" s="140">
        <v>2228.9499999999998</v>
      </c>
      <c r="C169" s="140">
        <v>177.85</v>
      </c>
      <c r="D169" s="140">
        <v>1359.95</v>
      </c>
      <c r="E169" s="141">
        <v>113.05</v>
      </c>
      <c r="F169">
        <f t="shared" si="9"/>
        <v>-6.4854022732338673E-3</v>
      </c>
      <c r="G169">
        <f t="shared" si="10"/>
        <v>4.4027003228646902E-2</v>
      </c>
      <c r="H169">
        <f t="shared" si="11"/>
        <v>-2.3109089575231927E-3</v>
      </c>
      <c r="I169">
        <f t="shared" si="12"/>
        <v>2.7260336210813266E-2</v>
      </c>
    </row>
    <row r="170" spans="1:9" x14ac:dyDescent="0.25">
      <c r="A170" s="139">
        <v>43643</v>
      </c>
      <c r="B170" s="140">
        <v>2268.5</v>
      </c>
      <c r="C170" s="140">
        <v>176.85</v>
      </c>
      <c r="D170" s="140">
        <v>1361.4</v>
      </c>
      <c r="E170" s="141">
        <v>112.4</v>
      </c>
      <c r="F170">
        <f t="shared" si="9"/>
        <v>1.7743780703918969E-2</v>
      </c>
      <c r="G170">
        <f t="shared" si="10"/>
        <v>-5.6227157717177395E-3</v>
      </c>
      <c r="H170">
        <f t="shared" si="11"/>
        <v>1.0662156696937721E-3</v>
      </c>
      <c r="I170">
        <f t="shared" si="12"/>
        <v>-5.7496682883679037E-3</v>
      </c>
    </row>
    <row r="171" spans="1:9" x14ac:dyDescent="0.25">
      <c r="A171" s="139">
        <v>43644</v>
      </c>
      <c r="B171" s="140">
        <v>2268.65</v>
      </c>
      <c r="C171" s="140">
        <v>174.35</v>
      </c>
      <c r="D171" s="140">
        <v>1358.15</v>
      </c>
      <c r="E171" s="141">
        <v>108.75</v>
      </c>
      <c r="F171">
        <f t="shared" si="9"/>
        <v>6.6122988759131999E-5</v>
      </c>
      <c r="G171">
        <f t="shared" si="10"/>
        <v>-1.4136273678258411E-2</v>
      </c>
      <c r="H171">
        <f t="shared" si="11"/>
        <v>-2.3872484207433523E-3</v>
      </c>
      <c r="I171">
        <f t="shared" si="12"/>
        <v>-3.2473309608540973E-2</v>
      </c>
    </row>
    <row r="172" spans="1:9" x14ac:dyDescent="0.25">
      <c r="A172" s="139">
        <v>43647</v>
      </c>
      <c r="B172" s="140">
        <v>2267.75</v>
      </c>
      <c r="C172" s="140">
        <v>174.05</v>
      </c>
      <c r="D172" s="140">
        <v>1353.85</v>
      </c>
      <c r="E172" s="141">
        <v>109.15</v>
      </c>
      <c r="F172">
        <f t="shared" si="9"/>
        <v>-3.967117007912595E-4</v>
      </c>
      <c r="G172">
        <f t="shared" si="10"/>
        <v>-1.7206767995410551E-3</v>
      </c>
      <c r="H172">
        <f t="shared" si="11"/>
        <v>-3.1660714943122495E-3</v>
      </c>
      <c r="I172">
        <f t="shared" si="12"/>
        <v>3.6781609195402822E-3</v>
      </c>
    </row>
    <row r="173" spans="1:9" x14ac:dyDescent="0.25">
      <c r="A173" s="139">
        <v>43648</v>
      </c>
      <c r="B173" s="140">
        <v>2318.4</v>
      </c>
      <c r="C173" s="140">
        <v>174.65</v>
      </c>
      <c r="D173" s="140">
        <v>1345.75</v>
      </c>
      <c r="E173" s="141">
        <v>100.8</v>
      </c>
      <c r="F173">
        <f t="shared" si="9"/>
        <v>2.2334913460478487E-2</v>
      </c>
      <c r="G173">
        <f t="shared" si="10"/>
        <v>3.4472852628554683E-3</v>
      </c>
      <c r="H173">
        <f t="shared" si="11"/>
        <v>-5.9829375484728069E-3</v>
      </c>
      <c r="I173">
        <f t="shared" si="12"/>
        <v>-7.6500229042601994E-2</v>
      </c>
    </row>
    <row r="174" spans="1:9" x14ac:dyDescent="0.25">
      <c r="A174" s="139">
        <v>43649</v>
      </c>
      <c r="B174" s="140">
        <v>2338.9</v>
      </c>
      <c r="C174" s="140">
        <v>172.7</v>
      </c>
      <c r="D174" s="140">
        <v>1352</v>
      </c>
      <c r="E174" s="141">
        <v>99.75</v>
      </c>
      <c r="F174">
        <f t="shared" si="9"/>
        <v>8.842305037957212E-3</v>
      </c>
      <c r="G174">
        <f t="shared" si="10"/>
        <v>-1.1165187517893025E-2</v>
      </c>
      <c r="H174">
        <f t="shared" si="11"/>
        <v>4.6442504179825374E-3</v>
      </c>
      <c r="I174">
        <f t="shared" si="12"/>
        <v>-1.0416666666666638E-2</v>
      </c>
    </row>
    <row r="175" spans="1:9" x14ac:dyDescent="0.25">
      <c r="A175" s="139">
        <v>43650</v>
      </c>
      <c r="B175" s="140">
        <v>2345.65</v>
      </c>
      <c r="C175" s="140">
        <v>171.05</v>
      </c>
      <c r="D175" s="140">
        <v>1359.7</v>
      </c>
      <c r="E175" s="141">
        <v>96.25</v>
      </c>
      <c r="F175">
        <f t="shared" si="9"/>
        <v>2.8859720381375861E-3</v>
      </c>
      <c r="G175">
        <f t="shared" si="10"/>
        <v>-9.5541401273884045E-3</v>
      </c>
      <c r="H175">
        <f t="shared" si="11"/>
        <v>5.6952662721893831E-3</v>
      </c>
      <c r="I175">
        <f t="shared" si="12"/>
        <v>-3.5087719298245612E-2</v>
      </c>
    </row>
    <row r="176" spans="1:9" x14ac:dyDescent="0.25">
      <c r="A176" s="139">
        <v>43651</v>
      </c>
      <c r="B176" s="140">
        <v>2307.1999999999998</v>
      </c>
      <c r="C176" s="140">
        <v>163.65</v>
      </c>
      <c r="D176" s="140">
        <v>1358.7</v>
      </c>
      <c r="E176" s="141">
        <v>88.15</v>
      </c>
      <c r="F176">
        <f t="shared" si="9"/>
        <v>-1.6392044848975881E-2</v>
      </c>
      <c r="G176">
        <f t="shared" si="10"/>
        <v>-4.3262204033908243E-2</v>
      </c>
      <c r="H176">
        <f t="shared" si="11"/>
        <v>-7.3545635066558793E-4</v>
      </c>
      <c r="I176">
        <f t="shared" si="12"/>
        <v>-8.4155844155844095E-2</v>
      </c>
    </row>
    <row r="177" spans="1:9" x14ac:dyDescent="0.25">
      <c r="A177" s="139">
        <v>43654</v>
      </c>
      <c r="B177" s="140">
        <v>2210.6999999999998</v>
      </c>
      <c r="C177" s="140">
        <v>161.94999999999999</v>
      </c>
      <c r="D177" s="140">
        <v>1340.25</v>
      </c>
      <c r="E177" s="141">
        <v>93.15</v>
      </c>
      <c r="F177">
        <f t="shared" si="9"/>
        <v>-4.1825589459084607E-2</v>
      </c>
      <c r="G177">
        <f t="shared" si="10"/>
        <v>-1.0388023220287302E-2</v>
      </c>
      <c r="H177">
        <f t="shared" si="11"/>
        <v>-1.3579156546699084E-2</v>
      </c>
      <c r="I177">
        <f t="shared" si="12"/>
        <v>5.6721497447532611E-2</v>
      </c>
    </row>
    <row r="178" spans="1:9" x14ac:dyDescent="0.25">
      <c r="A178" s="139">
        <v>43655</v>
      </c>
      <c r="B178" s="140">
        <v>2228.15</v>
      </c>
      <c r="C178" s="140">
        <v>161.5</v>
      </c>
      <c r="D178" s="140">
        <v>1321</v>
      </c>
      <c r="E178" s="141">
        <v>91.35</v>
      </c>
      <c r="F178">
        <f t="shared" si="9"/>
        <v>7.8934274211789369E-3</v>
      </c>
      <c r="G178">
        <f t="shared" si="10"/>
        <v>-2.7786353812904517E-3</v>
      </c>
      <c r="H178">
        <f t="shared" si="11"/>
        <v>-1.4362991979108375E-2</v>
      </c>
      <c r="I178">
        <f t="shared" si="12"/>
        <v>-1.9323671497584662E-2</v>
      </c>
    </row>
    <row r="179" spans="1:9" x14ac:dyDescent="0.25">
      <c r="A179" s="139">
        <v>43656</v>
      </c>
      <c r="B179" s="140">
        <v>2261.25</v>
      </c>
      <c r="C179" s="140">
        <v>160</v>
      </c>
      <c r="D179" s="140">
        <v>1322.95</v>
      </c>
      <c r="E179" s="141">
        <v>93</v>
      </c>
      <c r="F179">
        <f t="shared" si="9"/>
        <v>1.4855373291744231E-2</v>
      </c>
      <c r="G179">
        <f t="shared" si="10"/>
        <v>-9.2879256965944269E-3</v>
      </c>
      <c r="H179">
        <f t="shared" si="11"/>
        <v>1.4761544284633199E-3</v>
      </c>
      <c r="I179">
        <f t="shared" si="12"/>
        <v>1.8062397372742265E-2</v>
      </c>
    </row>
    <row r="180" spans="1:9" x14ac:dyDescent="0.25">
      <c r="A180" s="139">
        <v>43657</v>
      </c>
      <c r="B180" s="140">
        <v>2275.65</v>
      </c>
      <c r="C180" s="140">
        <v>163.65</v>
      </c>
      <c r="D180" s="140">
        <v>1332.45</v>
      </c>
      <c r="E180" s="141">
        <v>92.45</v>
      </c>
      <c r="F180">
        <f t="shared" si="9"/>
        <v>6.36815920398014E-3</v>
      </c>
      <c r="G180">
        <f t="shared" si="10"/>
        <v>2.2812500000000034E-2</v>
      </c>
      <c r="H180">
        <f t="shared" si="11"/>
        <v>7.1809214256018748E-3</v>
      </c>
      <c r="I180">
        <f t="shared" si="12"/>
        <v>-5.9139784946236253E-3</v>
      </c>
    </row>
    <row r="181" spans="1:9" x14ac:dyDescent="0.25">
      <c r="A181" s="139">
        <v>43658</v>
      </c>
      <c r="B181" s="140">
        <v>2219.8000000000002</v>
      </c>
      <c r="C181" s="140">
        <v>167.65</v>
      </c>
      <c r="D181" s="140">
        <v>1361.95</v>
      </c>
      <c r="E181" s="141">
        <v>94.2</v>
      </c>
      <c r="F181">
        <f t="shared" si="9"/>
        <v>-2.4542438424186457E-2</v>
      </c>
      <c r="G181">
        <f t="shared" si="10"/>
        <v>2.4442407577146347E-2</v>
      </c>
      <c r="H181">
        <f t="shared" si="11"/>
        <v>2.2139667529738449E-2</v>
      </c>
      <c r="I181">
        <f t="shared" si="12"/>
        <v>1.8929150892374257E-2</v>
      </c>
    </row>
    <row r="182" spans="1:9" x14ac:dyDescent="0.25">
      <c r="A182" s="139">
        <v>43661</v>
      </c>
      <c r="B182" s="140">
        <v>2178.6999999999998</v>
      </c>
      <c r="C182" s="140">
        <v>166.75</v>
      </c>
      <c r="D182" s="140">
        <v>1353.15</v>
      </c>
      <c r="E182" s="141">
        <v>93.2</v>
      </c>
      <c r="F182">
        <f t="shared" si="9"/>
        <v>-1.8515181547887359E-2</v>
      </c>
      <c r="G182">
        <f t="shared" si="10"/>
        <v>-5.3683268714584294E-3</v>
      </c>
      <c r="H182">
        <f t="shared" si="11"/>
        <v>-6.4613238371452357E-3</v>
      </c>
      <c r="I182">
        <f t="shared" si="12"/>
        <v>-1.0615711252653927E-2</v>
      </c>
    </row>
    <row r="183" spans="1:9" x14ac:dyDescent="0.25">
      <c r="A183" s="139">
        <v>43662</v>
      </c>
      <c r="B183" s="140">
        <v>2203.6</v>
      </c>
      <c r="C183" s="140">
        <v>166.9</v>
      </c>
      <c r="D183" s="140">
        <v>1372.3</v>
      </c>
      <c r="E183" s="141">
        <v>103.85</v>
      </c>
      <c r="F183">
        <f t="shared" si="9"/>
        <v>1.1428833708174642E-2</v>
      </c>
      <c r="G183">
        <f t="shared" si="10"/>
        <v>8.9955022488759026E-4</v>
      </c>
      <c r="H183">
        <f t="shared" si="11"/>
        <v>1.4152163470420769E-2</v>
      </c>
      <c r="I183">
        <f t="shared" si="12"/>
        <v>0.11427038626609433</v>
      </c>
    </row>
    <row r="184" spans="1:9" x14ac:dyDescent="0.25">
      <c r="A184" s="139">
        <v>43663</v>
      </c>
      <c r="B184" s="140">
        <v>2203.35</v>
      </c>
      <c r="C184" s="140">
        <v>168.65</v>
      </c>
      <c r="D184" s="140">
        <v>1395.9</v>
      </c>
      <c r="E184" s="141">
        <v>98.4</v>
      </c>
      <c r="F184">
        <f t="shared" si="9"/>
        <v>-1.1345071700853149E-4</v>
      </c>
      <c r="G184">
        <f t="shared" si="10"/>
        <v>1.0485320551228279E-2</v>
      </c>
      <c r="H184">
        <f t="shared" si="11"/>
        <v>1.7197405815055116E-2</v>
      </c>
      <c r="I184">
        <f t="shared" si="12"/>
        <v>-5.2479537794896378E-2</v>
      </c>
    </row>
    <row r="185" spans="1:9" x14ac:dyDescent="0.25">
      <c r="A185" s="139">
        <v>43664</v>
      </c>
      <c r="B185" s="140">
        <v>2201.1999999999998</v>
      </c>
      <c r="C185" s="140">
        <v>163.05000000000001</v>
      </c>
      <c r="D185" s="140">
        <v>1384.95</v>
      </c>
      <c r="E185" s="141">
        <v>85.8</v>
      </c>
      <c r="F185">
        <f t="shared" si="9"/>
        <v>-9.7578686999346038E-4</v>
      </c>
      <c r="G185">
        <f t="shared" si="10"/>
        <v>-3.3204862140527688E-2</v>
      </c>
      <c r="H185">
        <f t="shared" si="11"/>
        <v>-7.8444014614227706E-3</v>
      </c>
      <c r="I185">
        <f t="shared" si="12"/>
        <v>-0.12804878048780496</v>
      </c>
    </row>
    <row r="186" spans="1:9" x14ac:dyDescent="0.25">
      <c r="A186" s="139">
        <v>43665</v>
      </c>
      <c r="B186" s="140">
        <v>2207.9499999999998</v>
      </c>
      <c r="C186" s="140">
        <v>161.25</v>
      </c>
      <c r="D186" s="140">
        <v>1369.1</v>
      </c>
      <c r="E186" s="141">
        <v>83.25</v>
      </c>
      <c r="F186">
        <f t="shared" si="9"/>
        <v>3.0665091768126481E-3</v>
      </c>
      <c r="G186">
        <f t="shared" si="10"/>
        <v>-1.1039558417663362E-2</v>
      </c>
      <c r="H186">
        <f t="shared" si="11"/>
        <v>-1.1444456478573332E-2</v>
      </c>
      <c r="I186">
        <f t="shared" si="12"/>
        <v>-2.9720279720279689E-2</v>
      </c>
    </row>
    <row r="187" spans="1:9" x14ac:dyDescent="0.25">
      <c r="A187" s="139">
        <v>43668</v>
      </c>
      <c r="B187" s="140">
        <v>2198.8000000000002</v>
      </c>
      <c r="C187" s="140">
        <v>167.25</v>
      </c>
      <c r="D187" s="140">
        <v>1404.2</v>
      </c>
      <c r="E187" s="141">
        <v>91.15</v>
      </c>
      <c r="F187">
        <f t="shared" si="9"/>
        <v>-4.1441155823273342E-3</v>
      </c>
      <c r="G187">
        <f t="shared" si="10"/>
        <v>3.7209302325581395E-2</v>
      </c>
      <c r="H187">
        <f t="shared" si="11"/>
        <v>2.5637279964940574E-2</v>
      </c>
      <c r="I187">
        <f t="shared" si="12"/>
        <v>9.4894894894894957E-2</v>
      </c>
    </row>
    <row r="188" spans="1:9" x14ac:dyDescent="0.25">
      <c r="A188" s="139">
        <v>43669</v>
      </c>
      <c r="B188" s="140">
        <v>2204.5500000000002</v>
      </c>
      <c r="C188" s="140">
        <v>168.1</v>
      </c>
      <c r="D188" s="140">
        <v>1429.35</v>
      </c>
      <c r="E188" s="141">
        <v>90.65</v>
      </c>
      <c r="F188">
        <f t="shared" si="9"/>
        <v>2.615062761506276E-3</v>
      </c>
      <c r="G188">
        <f t="shared" si="10"/>
        <v>5.0822122571001155E-3</v>
      </c>
      <c r="H188">
        <f t="shared" si="11"/>
        <v>1.791055405212923E-2</v>
      </c>
      <c r="I188">
        <f t="shared" si="12"/>
        <v>-5.485463521667581E-3</v>
      </c>
    </row>
    <row r="189" spans="1:9" x14ac:dyDescent="0.25">
      <c r="A189" s="139">
        <v>43670</v>
      </c>
      <c r="B189" s="140">
        <v>2201.25</v>
      </c>
      <c r="C189" s="140">
        <v>165.05</v>
      </c>
      <c r="D189" s="140">
        <v>1483.4</v>
      </c>
      <c r="E189" s="141">
        <v>89.15</v>
      </c>
      <c r="F189">
        <f t="shared" si="9"/>
        <v>-1.4969041300946595E-3</v>
      </c>
      <c r="G189">
        <f t="shared" si="10"/>
        <v>-1.8143961927424051E-2</v>
      </c>
      <c r="H189">
        <f t="shared" si="11"/>
        <v>3.7814391156819664E-2</v>
      </c>
      <c r="I189">
        <f t="shared" si="12"/>
        <v>-1.6547159404302261E-2</v>
      </c>
    </row>
    <row r="190" spans="1:9" x14ac:dyDescent="0.25">
      <c r="A190" s="139">
        <v>43671</v>
      </c>
      <c r="B190" s="140">
        <v>2195</v>
      </c>
      <c r="C190" s="140">
        <v>171.45</v>
      </c>
      <c r="D190" s="140">
        <v>1495.85</v>
      </c>
      <c r="E190" s="141">
        <v>87.65</v>
      </c>
      <c r="F190">
        <f t="shared" si="9"/>
        <v>-2.8392958546280523E-3</v>
      </c>
      <c r="G190">
        <f t="shared" si="10"/>
        <v>3.8776128445925338E-2</v>
      </c>
      <c r="H190">
        <f t="shared" si="11"/>
        <v>8.3928812188215022E-3</v>
      </c>
      <c r="I190">
        <f t="shared" si="12"/>
        <v>-1.6825574873808188E-2</v>
      </c>
    </row>
    <row r="191" spans="1:9" x14ac:dyDescent="0.25">
      <c r="A191" s="139">
        <v>43672</v>
      </c>
      <c r="B191" s="140">
        <v>2197.8000000000002</v>
      </c>
      <c r="C191" s="140">
        <v>164.1</v>
      </c>
      <c r="D191" s="140">
        <v>1526.45</v>
      </c>
      <c r="E191" s="141">
        <v>96.05</v>
      </c>
      <c r="F191">
        <f t="shared" si="9"/>
        <v>1.2756264236902879E-3</v>
      </c>
      <c r="G191">
        <f t="shared" si="10"/>
        <v>-4.2869641294838112E-2</v>
      </c>
      <c r="H191">
        <f t="shared" si="11"/>
        <v>2.0456596583882165E-2</v>
      </c>
      <c r="I191">
        <f t="shared" si="12"/>
        <v>9.5835710211066641E-2</v>
      </c>
    </row>
    <row r="192" spans="1:9" x14ac:dyDescent="0.25">
      <c r="A192" s="139">
        <v>43675</v>
      </c>
      <c r="B192" s="140">
        <v>2140.25</v>
      </c>
      <c r="C192" s="140">
        <v>155.65</v>
      </c>
      <c r="D192" s="140">
        <v>1513.25</v>
      </c>
      <c r="E192" s="141">
        <v>94.75</v>
      </c>
      <c r="F192">
        <f t="shared" si="9"/>
        <v>-2.6185276185276267E-2</v>
      </c>
      <c r="G192">
        <f t="shared" si="10"/>
        <v>-5.1492992078001149E-2</v>
      </c>
      <c r="H192">
        <f t="shared" si="11"/>
        <v>-8.6475154770873884E-3</v>
      </c>
      <c r="I192">
        <f t="shared" si="12"/>
        <v>-1.353461738677769E-2</v>
      </c>
    </row>
    <row r="193" spans="1:9" x14ac:dyDescent="0.25">
      <c r="A193" s="139">
        <v>43676</v>
      </c>
      <c r="B193" s="140">
        <v>2043.1</v>
      </c>
      <c r="C193" s="140">
        <v>150.6</v>
      </c>
      <c r="D193" s="140">
        <v>1508.75</v>
      </c>
      <c r="E193" s="141">
        <v>86.05</v>
      </c>
      <c r="F193">
        <f t="shared" si="9"/>
        <v>-4.5391893470389015E-2</v>
      </c>
      <c r="G193">
        <f t="shared" si="10"/>
        <v>-3.2444587214905306E-2</v>
      </c>
      <c r="H193">
        <f t="shared" si="11"/>
        <v>-2.9737320337022964E-3</v>
      </c>
      <c r="I193">
        <f t="shared" si="12"/>
        <v>-9.1820580474934063E-2</v>
      </c>
    </row>
    <row r="194" spans="1:9" x14ac:dyDescent="0.25">
      <c r="A194" s="139">
        <v>43677</v>
      </c>
      <c r="B194" s="140">
        <v>2129.4499999999998</v>
      </c>
      <c r="C194" s="140">
        <v>154.1</v>
      </c>
      <c r="D194" s="140">
        <v>1521.1</v>
      </c>
      <c r="E194" s="141">
        <v>91.2</v>
      </c>
      <c r="F194">
        <f t="shared" si="9"/>
        <v>4.2264206353090847E-2</v>
      </c>
      <c r="G194">
        <f t="shared" si="10"/>
        <v>2.3240371845949535E-2</v>
      </c>
      <c r="H194">
        <f t="shared" si="11"/>
        <v>8.1855840927919869E-3</v>
      </c>
      <c r="I194">
        <f t="shared" si="12"/>
        <v>5.984892504357938E-2</v>
      </c>
    </row>
    <row r="195" spans="1:9" x14ac:dyDescent="0.25">
      <c r="A195" s="139">
        <v>43678</v>
      </c>
      <c r="B195" s="140">
        <v>1994.35</v>
      </c>
      <c r="C195" s="140">
        <v>145.44999999999999</v>
      </c>
      <c r="D195" s="140">
        <v>1504.7</v>
      </c>
      <c r="E195" s="141">
        <v>88.4</v>
      </c>
      <c r="F195">
        <f t="shared" si="9"/>
        <v>-6.3443612200333385E-2</v>
      </c>
      <c r="G195">
        <f t="shared" si="10"/>
        <v>-5.6132381570408861E-2</v>
      </c>
      <c r="H195">
        <f t="shared" si="11"/>
        <v>-1.078167115902956E-2</v>
      </c>
      <c r="I195">
        <f t="shared" si="12"/>
        <v>-3.0701754385964879E-2</v>
      </c>
    </row>
    <row r="196" spans="1:9" x14ac:dyDescent="0.25">
      <c r="A196" s="139">
        <v>43679</v>
      </c>
      <c r="B196" s="140">
        <v>1963.6</v>
      </c>
      <c r="C196" s="140">
        <v>143</v>
      </c>
      <c r="D196" s="140">
        <v>1545.2</v>
      </c>
      <c r="E196" s="141">
        <v>88.3</v>
      </c>
      <c r="F196">
        <f t="shared" ref="F196:F259" si="13">(B196-B195)/B195</f>
        <v>-1.5418557424724848E-2</v>
      </c>
      <c r="G196">
        <f t="shared" ref="G196:G259" si="14">(C196-C195)/C195</f>
        <v>-1.6844276383636912E-2</v>
      </c>
      <c r="H196">
        <f t="shared" ref="H196:H259" si="15">(D196-D195)/D195</f>
        <v>2.6915664252010366E-2</v>
      </c>
      <c r="I196">
        <f t="shared" ref="I196:I259" si="16">(E196-E195)/E195</f>
        <v>-1.13122171945711E-3</v>
      </c>
    </row>
    <row r="197" spans="1:9" x14ac:dyDescent="0.25">
      <c r="A197" s="139">
        <v>43682</v>
      </c>
      <c r="B197" s="140">
        <v>1904.95</v>
      </c>
      <c r="C197" s="140">
        <v>140.69999999999999</v>
      </c>
      <c r="D197" s="140">
        <v>1525.4</v>
      </c>
      <c r="E197" s="141">
        <v>81.099999999999994</v>
      </c>
      <c r="F197">
        <f t="shared" si="13"/>
        <v>-2.9868608677938412E-2</v>
      </c>
      <c r="G197">
        <f t="shared" si="14"/>
        <v>-1.6083916083916162E-2</v>
      </c>
      <c r="H197">
        <f t="shared" si="15"/>
        <v>-1.2813875226507865E-2</v>
      </c>
      <c r="I197">
        <f t="shared" si="16"/>
        <v>-8.1540203850509654E-2</v>
      </c>
    </row>
    <row r="198" spans="1:9" x14ac:dyDescent="0.25">
      <c r="A198" s="139">
        <v>43683</v>
      </c>
      <c r="B198" s="140">
        <v>1884.35</v>
      </c>
      <c r="C198" s="140">
        <v>140.80000000000001</v>
      </c>
      <c r="D198" s="140">
        <v>1565.85</v>
      </c>
      <c r="E198" s="141">
        <v>85.35</v>
      </c>
      <c r="F198">
        <f t="shared" si="13"/>
        <v>-1.0813932124202806E-2</v>
      </c>
      <c r="G198">
        <f t="shared" si="14"/>
        <v>7.1073205401579775E-4</v>
      </c>
      <c r="H198">
        <f t="shared" si="15"/>
        <v>2.651763471876217E-2</v>
      </c>
      <c r="I198">
        <f t="shared" si="16"/>
        <v>5.2404438964241677E-2</v>
      </c>
    </row>
    <row r="199" spans="1:9" x14ac:dyDescent="0.25">
      <c r="A199" s="139">
        <v>43684</v>
      </c>
      <c r="B199" s="140">
        <v>1873.45</v>
      </c>
      <c r="C199" s="140">
        <v>136.65</v>
      </c>
      <c r="D199" s="140">
        <v>1559.2</v>
      </c>
      <c r="E199" s="141">
        <v>86.85</v>
      </c>
      <c r="F199">
        <f t="shared" si="13"/>
        <v>-5.7844880197414836E-3</v>
      </c>
      <c r="G199">
        <f t="shared" si="14"/>
        <v>-2.9474431818181854E-2</v>
      </c>
      <c r="H199">
        <f t="shared" si="15"/>
        <v>-4.246894657853475E-3</v>
      </c>
      <c r="I199">
        <f t="shared" si="16"/>
        <v>1.7574692442882251E-2</v>
      </c>
    </row>
    <row r="200" spans="1:9" x14ac:dyDescent="0.25">
      <c r="A200" s="139">
        <v>43685</v>
      </c>
      <c r="B200" s="140">
        <v>1871.9</v>
      </c>
      <c r="C200" s="140">
        <v>138.69999999999999</v>
      </c>
      <c r="D200" s="140">
        <v>1565.9</v>
      </c>
      <c r="E200" s="141">
        <v>89.2</v>
      </c>
      <c r="F200">
        <f t="shared" si="13"/>
        <v>-8.2735060983744131E-4</v>
      </c>
      <c r="G200">
        <f t="shared" si="14"/>
        <v>1.5001829491401265E-2</v>
      </c>
      <c r="H200">
        <f t="shared" si="15"/>
        <v>4.2970754232940257E-3</v>
      </c>
      <c r="I200">
        <f t="shared" si="16"/>
        <v>2.7058146229130785E-2</v>
      </c>
    </row>
    <row r="201" spans="1:9" x14ac:dyDescent="0.25">
      <c r="A201" s="139">
        <v>43686</v>
      </c>
      <c r="B201" s="140">
        <v>1940.8</v>
      </c>
      <c r="C201" s="140">
        <v>141.5</v>
      </c>
      <c r="D201" s="140">
        <v>1575.5</v>
      </c>
      <c r="E201" s="141">
        <v>82.15</v>
      </c>
      <c r="F201">
        <f t="shared" si="13"/>
        <v>3.680752176932521E-2</v>
      </c>
      <c r="G201">
        <f t="shared" si="14"/>
        <v>2.0187454938716737E-2</v>
      </c>
      <c r="H201">
        <f t="shared" si="15"/>
        <v>6.1306596845264122E-3</v>
      </c>
      <c r="I201">
        <f t="shared" si="16"/>
        <v>-7.9035874439461848E-2</v>
      </c>
    </row>
    <row r="202" spans="1:9" x14ac:dyDescent="0.25">
      <c r="A202" s="139">
        <v>43690</v>
      </c>
      <c r="B202" s="140">
        <v>1992.15</v>
      </c>
      <c r="C202" s="140">
        <v>139.75</v>
      </c>
      <c r="D202" s="140">
        <v>1573.35</v>
      </c>
      <c r="E202" s="141">
        <v>73.599999999999994</v>
      </c>
      <c r="F202">
        <f t="shared" si="13"/>
        <v>2.6458161582852503E-2</v>
      </c>
      <c r="G202">
        <f t="shared" si="14"/>
        <v>-1.2367491166077738E-2</v>
      </c>
      <c r="H202">
        <f t="shared" si="15"/>
        <v>-1.3646461440813018E-3</v>
      </c>
      <c r="I202">
        <f t="shared" si="16"/>
        <v>-0.10407790626902022</v>
      </c>
    </row>
    <row r="203" spans="1:9" x14ac:dyDescent="0.25">
      <c r="A203" s="139">
        <v>43691</v>
      </c>
      <c r="B203" s="140">
        <v>2350.65</v>
      </c>
      <c r="C203" s="140">
        <v>146.55000000000001</v>
      </c>
      <c r="D203" s="140">
        <v>1569.7</v>
      </c>
      <c r="E203" s="141">
        <v>76.55</v>
      </c>
      <c r="F203">
        <f t="shared" si="13"/>
        <v>0.17995632858971461</v>
      </c>
      <c r="G203">
        <f t="shared" si="14"/>
        <v>4.865831842576037E-2</v>
      </c>
      <c r="H203">
        <f t="shared" si="15"/>
        <v>-2.3198906791240754E-3</v>
      </c>
      <c r="I203">
        <f t="shared" si="16"/>
        <v>4.0081521739130474E-2</v>
      </c>
    </row>
    <row r="204" spans="1:9" x14ac:dyDescent="0.25">
      <c r="A204" s="139">
        <v>43693</v>
      </c>
      <c r="B204" s="140">
        <v>2364.9</v>
      </c>
      <c r="C204" s="140">
        <v>144.4</v>
      </c>
      <c r="D204" s="140">
        <v>1597.45</v>
      </c>
      <c r="E204" s="141">
        <v>79.45</v>
      </c>
      <c r="F204">
        <f t="shared" si="13"/>
        <v>6.0621530215046902E-3</v>
      </c>
      <c r="G204">
        <f t="shared" si="14"/>
        <v>-1.4670760832480419E-2</v>
      </c>
      <c r="H204">
        <f t="shared" si="15"/>
        <v>1.767853730012104E-2</v>
      </c>
      <c r="I204">
        <f t="shared" si="16"/>
        <v>3.7883736120182962E-2</v>
      </c>
    </row>
    <row r="205" spans="1:9" x14ac:dyDescent="0.25">
      <c r="A205" s="139">
        <v>43696</v>
      </c>
      <c r="B205" s="140">
        <v>2311.9499999999998</v>
      </c>
      <c r="C205" s="140">
        <v>144.30000000000001</v>
      </c>
      <c r="D205" s="140">
        <v>1586.45</v>
      </c>
      <c r="E205" s="141">
        <v>76.650000000000006</v>
      </c>
      <c r="F205">
        <f t="shared" si="13"/>
        <v>-2.23899530635546E-2</v>
      </c>
      <c r="G205">
        <f t="shared" si="14"/>
        <v>-6.9252077562322934E-4</v>
      </c>
      <c r="H205">
        <f t="shared" si="15"/>
        <v>-6.8859745218942687E-3</v>
      </c>
      <c r="I205">
        <f t="shared" si="16"/>
        <v>-3.524229074889864E-2</v>
      </c>
    </row>
    <row r="206" spans="1:9" x14ac:dyDescent="0.25">
      <c r="A206" s="139">
        <v>43697</v>
      </c>
      <c r="B206" s="140">
        <v>2211.3000000000002</v>
      </c>
      <c r="C206" s="140">
        <v>142.4</v>
      </c>
      <c r="D206" s="140">
        <v>1595.15</v>
      </c>
      <c r="E206" s="141">
        <v>71.2</v>
      </c>
      <c r="F206">
        <f t="shared" si="13"/>
        <v>-4.353467851813389E-2</v>
      </c>
      <c r="G206">
        <f t="shared" si="14"/>
        <v>-1.3167013167013205E-2</v>
      </c>
      <c r="H206">
        <f t="shared" si="15"/>
        <v>5.4839421349554317E-3</v>
      </c>
      <c r="I206">
        <f t="shared" si="16"/>
        <v>-7.1102413568167031E-2</v>
      </c>
    </row>
    <row r="207" spans="1:9" x14ac:dyDescent="0.25">
      <c r="A207" s="139">
        <v>43698</v>
      </c>
      <c r="B207" s="140">
        <v>2214.5500000000002</v>
      </c>
      <c r="C207" s="140">
        <v>139.94999999999999</v>
      </c>
      <c r="D207" s="140">
        <v>1589.15</v>
      </c>
      <c r="E207" s="141">
        <v>65.400000000000006</v>
      </c>
      <c r="F207">
        <f t="shared" si="13"/>
        <v>1.469723691945914E-3</v>
      </c>
      <c r="G207">
        <f t="shared" si="14"/>
        <v>-1.7205056179775399E-2</v>
      </c>
      <c r="H207">
        <f t="shared" si="15"/>
        <v>-3.7614017490518129E-3</v>
      </c>
      <c r="I207">
        <f t="shared" si="16"/>
        <v>-8.1460674157303334E-2</v>
      </c>
    </row>
    <row r="208" spans="1:9" x14ac:dyDescent="0.25">
      <c r="A208" s="139">
        <v>43699</v>
      </c>
      <c r="B208" s="140">
        <v>2302</v>
      </c>
      <c r="C208" s="140">
        <v>129.05000000000001</v>
      </c>
      <c r="D208" s="140">
        <v>1570.2</v>
      </c>
      <c r="E208" s="141">
        <v>56.3</v>
      </c>
      <c r="F208">
        <f t="shared" si="13"/>
        <v>3.9488835203540136E-2</v>
      </c>
      <c r="G208">
        <f t="shared" si="14"/>
        <v>-7.788495891389767E-2</v>
      </c>
      <c r="H208">
        <f t="shared" si="15"/>
        <v>-1.1924613787244782E-2</v>
      </c>
      <c r="I208">
        <f t="shared" si="16"/>
        <v>-0.13914373088685028</v>
      </c>
    </row>
    <row r="209" spans="1:9" x14ac:dyDescent="0.25">
      <c r="A209" s="139">
        <v>43700</v>
      </c>
      <c r="B209" s="140">
        <v>2320.9499999999998</v>
      </c>
      <c r="C209" s="140">
        <v>137.4</v>
      </c>
      <c r="D209" s="140">
        <v>1580.4</v>
      </c>
      <c r="E209" s="141">
        <v>59.25</v>
      </c>
      <c r="F209">
        <f t="shared" si="13"/>
        <v>8.2319721980885392E-3</v>
      </c>
      <c r="G209">
        <f t="shared" si="14"/>
        <v>6.4703603254552447E-2</v>
      </c>
      <c r="H209">
        <f t="shared" si="15"/>
        <v>6.4959877722583397E-3</v>
      </c>
      <c r="I209">
        <f t="shared" si="16"/>
        <v>5.2397868561278919E-2</v>
      </c>
    </row>
    <row r="210" spans="1:9" x14ac:dyDescent="0.25">
      <c r="A210" s="139">
        <v>43703</v>
      </c>
      <c r="B210" s="140">
        <v>2392.25</v>
      </c>
      <c r="C210" s="140">
        <v>135.05000000000001</v>
      </c>
      <c r="D210" s="140">
        <v>1597.55</v>
      </c>
      <c r="E210" s="141">
        <v>62.9</v>
      </c>
      <c r="F210">
        <f t="shared" si="13"/>
        <v>3.0720179236950466E-2</v>
      </c>
      <c r="G210">
        <f t="shared" si="14"/>
        <v>-1.7103347889374048E-2</v>
      </c>
      <c r="H210">
        <f t="shared" si="15"/>
        <v>1.0851683118197838E-2</v>
      </c>
      <c r="I210">
        <f t="shared" si="16"/>
        <v>6.1603375527426139E-2</v>
      </c>
    </row>
    <row r="211" spans="1:9" x14ac:dyDescent="0.25">
      <c r="A211" s="139">
        <v>43704</v>
      </c>
      <c r="B211" s="140">
        <v>2546.75</v>
      </c>
      <c r="C211" s="140">
        <v>138.1</v>
      </c>
      <c r="D211" s="140">
        <v>1599.45</v>
      </c>
      <c r="E211" s="141">
        <v>64.5</v>
      </c>
      <c r="F211">
        <f t="shared" si="13"/>
        <v>6.4583551050266488E-2</v>
      </c>
      <c r="G211">
        <f t="shared" si="14"/>
        <v>2.258422806367999E-2</v>
      </c>
      <c r="H211">
        <f t="shared" si="15"/>
        <v>1.1893211480079441E-3</v>
      </c>
      <c r="I211">
        <f t="shared" si="16"/>
        <v>2.5437201907790166E-2</v>
      </c>
    </row>
    <row r="212" spans="1:9" x14ac:dyDescent="0.25">
      <c r="A212" s="139">
        <v>43705</v>
      </c>
      <c r="B212" s="140">
        <v>2692.85</v>
      </c>
      <c r="C212" s="140">
        <v>132.35</v>
      </c>
      <c r="D212" s="140">
        <v>1603.15</v>
      </c>
      <c r="E212" s="141">
        <v>59.5</v>
      </c>
      <c r="F212">
        <f t="shared" si="13"/>
        <v>5.7367232747619477E-2</v>
      </c>
      <c r="G212">
        <f t="shared" si="14"/>
        <v>-4.1636495293265754E-2</v>
      </c>
      <c r="H212">
        <f t="shared" si="15"/>
        <v>2.3132951952233864E-3</v>
      </c>
      <c r="I212">
        <f t="shared" si="16"/>
        <v>-7.7519379844961239E-2</v>
      </c>
    </row>
    <row r="213" spans="1:9" x14ac:dyDescent="0.25">
      <c r="A213" s="139">
        <v>43706</v>
      </c>
      <c r="B213" s="140">
        <v>2640.95</v>
      </c>
      <c r="C213" s="140">
        <v>135.75</v>
      </c>
      <c r="D213" s="140">
        <v>1615.25</v>
      </c>
      <c r="E213" s="141">
        <v>57.4</v>
      </c>
      <c r="F213">
        <f t="shared" si="13"/>
        <v>-1.9273260671779004E-2</v>
      </c>
      <c r="G213">
        <f t="shared" si="14"/>
        <v>2.5689459765772617E-2</v>
      </c>
      <c r="H213">
        <f t="shared" si="15"/>
        <v>7.5476405826029429E-3</v>
      </c>
      <c r="I213">
        <f t="shared" si="16"/>
        <v>-3.5294117647058851E-2</v>
      </c>
    </row>
    <row r="214" spans="1:9" x14ac:dyDescent="0.25">
      <c r="A214" s="139">
        <v>43707</v>
      </c>
      <c r="B214" s="140">
        <v>2660.2</v>
      </c>
      <c r="C214" s="140">
        <v>139.15</v>
      </c>
      <c r="D214" s="140">
        <v>1616.2</v>
      </c>
      <c r="E214" s="141">
        <v>59.95</v>
      </c>
      <c r="F214">
        <f t="shared" si="13"/>
        <v>7.2890437153297115E-3</v>
      </c>
      <c r="G214">
        <f t="shared" si="14"/>
        <v>2.5046040515653817E-2</v>
      </c>
      <c r="H214">
        <f t="shared" si="15"/>
        <v>5.8814425011610922E-4</v>
      </c>
      <c r="I214">
        <f t="shared" si="16"/>
        <v>4.4425087108014009E-2</v>
      </c>
    </row>
    <row r="215" spans="1:9" x14ac:dyDescent="0.25">
      <c r="A215" s="139">
        <v>43711</v>
      </c>
      <c r="B215" s="140">
        <v>2648.4</v>
      </c>
      <c r="C215" s="140">
        <v>134.15</v>
      </c>
      <c r="D215" s="140">
        <v>1576.75</v>
      </c>
      <c r="E215" s="141">
        <v>58.75</v>
      </c>
      <c r="F215">
        <f t="shared" si="13"/>
        <v>-4.4357567100217002E-3</v>
      </c>
      <c r="G215">
        <f t="shared" si="14"/>
        <v>-3.5932446999640676E-2</v>
      </c>
      <c r="H215">
        <f t="shared" si="15"/>
        <v>-2.4409107783690164E-2</v>
      </c>
      <c r="I215">
        <f t="shared" si="16"/>
        <v>-2.0016680567139331E-2</v>
      </c>
    </row>
    <row r="216" spans="1:9" x14ac:dyDescent="0.25">
      <c r="A216" s="139">
        <v>43712</v>
      </c>
      <c r="B216" s="140">
        <v>2605.25</v>
      </c>
      <c r="C216" s="140">
        <v>136.69999999999999</v>
      </c>
      <c r="D216" s="140">
        <v>1535.15</v>
      </c>
      <c r="E216" s="141">
        <v>59.45</v>
      </c>
      <c r="F216">
        <f t="shared" si="13"/>
        <v>-1.6292856064038699E-2</v>
      </c>
      <c r="G216">
        <f t="shared" si="14"/>
        <v>1.9008572493477323E-2</v>
      </c>
      <c r="H216">
        <f t="shared" si="15"/>
        <v>-2.6383383542096028E-2</v>
      </c>
      <c r="I216">
        <f t="shared" si="16"/>
        <v>1.1914893617021326E-2</v>
      </c>
    </row>
    <row r="217" spans="1:9" x14ac:dyDescent="0.25">
      <c r="A217" s="139">
        <v>43713</v>
      </c>
      <c r="B217" s="140">
        <v>2529.1</v>
      </c>
      <c r="C217" s="140">
        <v>139.30000000000001</v>
      </c>
      <c r="D217" s="140">
        <v>1519.75</v>
      </c>
      <c r="E217" s="141">
        <v>61.95</v>
      </c>
      <c r="F217">
        <f t="shared" si="13"/>
        <v>-2.92294405527301E-2</v>
      </c>
      <c r="G217">
        <f t="shared" si="14"/>
        <v>1.9019751280175735E-2</v>
      </c>
      <c r="H217">
        <f t="shared" si="15"/>
        <v>-1.0031593003941042E-2</v>
      </c>
      <c r="I217">
        <f t="shared" si="16"/>
        <v>4.2052144659377629E-2</v>
      </c>
    </row>
    <row r="218" spans="1:9" x14ac:dyDescent="0.25">
      <c r="A218" s="139">
        <v>43714</v>
      </c>
      <c r="B218" s="140">
        <v>2516.6999999999998</v>
      </c>
      <c r="C218" s="140">
        <v>141.80000000000001</v>
      </c>
      <c r="D218" s="140">
        <v>1532.4</v>
      </c>
      <c r="E218" s="141">
        <v>60.4</v>
      </c>
      <c r="F218">
        <f t="shared" si="13"/>
        <v>-4.9029298960104745E-3</v>
      </c>
      <c r="G218">
        <f t="shared" si="14"/>
        <v>1.7946877243359655E-2</v>
      </c>
      <c r="H218">
        <f t="shared" si="15"/>
        <v>8.3237374568186154E-3</v>
      </c>
      <c r="I218">
        <f t="shared" si="16"/>
        <v>-2.5020177562550511E-2</v>
      </c>
    </row>
    <row r="219" spans="1:9" x14ac:dyDescent="0.25">
      <c r="A219" s="139">
        <v>43717</v>
      </c>
      <c r="B219" s="140">
        <v>2595.85</v>
      </c>
      <c r="C219" s="140">
        <v>141.25</v>
      </c>
      <c r="D219" s="140">
        <v>1540.6</v>
      </c>
      <c r="E219" s="141">
        <v>63.1</v>
      </c>
      <c r="F219">
        <f t="shared" si="13"/>
        <v>3.1449914570667974E-2</v>
      </c>
      <c r="G219">
        <f t="shared" si="14"/>
        <v>-3.8787023977433803E-3</v>
      </c>
      <c r="H219">
        <f t="shared" si="15"/>
        <v>5.3510832680761016E-3</v>
      </c>
      <c r="I219">
        <f t="shared" si="16"/>
        <v>4.4701986754966935E-2</v>
      </c>
    </row>
    <row r="220" spans="1:9" x14ac:dyDescent="0.25">
      <c r="A220" s="139">
        <v>43719</v>
      </c>
      <c r="B220" s="140">
        <v>2602.6999999999998</v>
      </c>
      <c r="C220" s="140">
        <v>146.30000000000001</v>
      </c>
      <c r="D220" s="140">
        <v>1561.45</v>
      </c>
      <c r="E220" s="141">
        <v>71.599999999999994</v>
      </c>
      <c r="F220">
        <f t="shared" si="13"/>
        <v>2.6388273590538395E-3</v>
      </c>
      <c r="G220">
        <f t="shared" si="14"/>
        <v>3.575221238938061E-2</v>
      </c>
      <c r="H220">
        <f t="shared" si="15"/>
        <v>1.353368817343901E-2</v>
      </c>
      <c r="I220">
        <f t="shared" si="16"/>
        <v>0.13470681458003159</v>
      </c>
    </row>
    <row r="221" spans="1:9" x14ac:dyDescent="0.25">
      <c r="A221" s="139">
        <v>43720</v>
      </c>
      <c r="B221" s="140">
        <v>2527.5</v>
      </c>
      <c r="C221" s="140">
        <v>145.44999999999999</v>
      </c>
      <c r="D221" s="140">
        <v>1540.3</v>
      </c>
      <c r="E221" s="141">
        <v>67.95</v>
      </c>
      <c r="F221">
        <f t="shared" si="13"/>
        <v>-2.889307257847613E-2</v>
      </c>
      <c r="G221">
        <f t="shared" si="14"/>
        <v>-5.8099794941901756E-3</v>
      </c>
      <c r="H221">
        <f t="shared" si="15"/>
        <v>-1.3545102308751538E-2</v>
      </c>
      <c r="I221">
        <f t="shared" si="16"/>
        <v>-5.09776536312848E-2</v>
      </c>
    </row>
    <row r="222" spans="1:9" x14ac:dyDescent="0.25">
      <c r="A222" s="139">
        <v>43721</v>
      </c>
      <c r="B222" s="140">
        <v>2521.85</v>
      </c>
      <c r="C222" s="140">
        <v>149.30000000000001</v>
      </c>
      <c r="D222" s="140">
        <v>1548.2</v>
      </c>
      <c r="E222" s="141">
        <v>68.55</v>
      </c>
      <c r="F222">
        <f t="shared" si="13"/>
        <v>-2.2354104846686808E-3</v>
      </c>
      <c r="G222">
        <f t="shared" si="14"/>
        <v>2.6469577174286853E-2</v>
      </c>
      <c r="H222">
        <f t="shared" si="15"/>
        <v>5.1288709991560676E-3</v>
      </c>
      <c r="I222">
        <f t="shared" si="16"/>
        <v>8.8300220750551044E-3</v>
      </c>
    </row>
    <row r="223" spans="1:9" x14ac:dyDescent="0.25">
      <c r="A223" s="139">
        <v>43724</v>
      </c>
      <c r="B223" s="140">
        <v>2550.15</v>
      </c>
      <c r="C223" s="140">
        <v>148.65</v>
      </c>
      <c r="D223" s="140">
        <v>1521.3</v>
      </c>
      <c r="E223" s="141">
        <v>67.05</v>
      </c>
      <c r="F223">
        <f t="shared" si="13"/>
        <v>1.1221920415568009E-2</v>
      </c>
      <c r="G223">
        <f t="shared" si="14"/>
        <v>-4.353650368385838E-3</v>
      </c>
      <c r="H223">
        <f t="shared" si="15"/>
        <v>-1.7375016147784583E-2</v>
      </c>
      <c r="I223">
        <f t="shared" si="16"/>
        <v>-2.1881838074398249E-2</v>
      </c>
    </row>
    <row r="224" spans="1:9" x14ac:dyDescent="0.25">
      <c r="A224" s="139">
        <v>43725</v>
      </c>
      <c r="B224" s="140">
        <v>2464.1</v>
      </c>
      <c r="C224" s="140">
        <v>145.4</v>
      </c>
      <c r="D224" s="140">
        <v>1530.9</v>
      </c>
      <c r="E224" s="141">
        <v>65.099999999999994</v>
      </c>
      <c r="F224">
        <f t="shared" si="13"/>
        <v>-3.3743113150206921E-2</v>
      </c>
      <c r="G224">
        <f t="shared" si="14"/>
        <v>-2.1863437605112682E-2</v>
      </c>
      <c r="H224">
        <f t="shared" si="15"/>
        <v>6.3103924275291767E-3</v>
      </c>
      <c r="I224">
        <f t="shared" si="16"/>
        <v>-2.9082774049217046E-2</v>
      </c>
    </row>
    <row r="225" spans="1:9" x14ac:dyDescent="0.25">
      <c r="A225" s="139">
        <v>43726</v>
      </c>
      <c r="B225" s="140">
        <v>2548.3000000000002</v>
      </c>
      <c r="C225" s="140">
        <v>149.69999999999999</v>
      </c>
      <c r="D225" s="140">
        <v>1547.75</v>
      </c>
      <c r="E225" s="141">
        <v>64.099999999999994</v>
      </c>
      <c r="F225">
        <f t="shared" si="13"/>
        <v>3.4170691124548631E-2</v>
      </c>
      <c r="G225">
        <f t="shared" si="14"/>
        <v>2.957359009628599E-2</v>
      </c>
      <c r="H225">
        <f t="shared" si="15"/>
        <v>1.1006597426350453E-2</v>
      </c>
      <c r="I225">
        <f t="shared" si="16"/>
        <v>-1.5360983102918589E-2</v>
      </c>
    </row>
    <row r="226" spans="1:9" x14ac:dyDescent="0.25">
      <c r="A226" s="139">
        <v>43727</v>
      </c>
      <c r="B226" s="140">
        <v>2554.3000000000002</v>
      </c>
      <c r="C226" s="140">
        <v>146.15</v>
      </c>
      <c r="D226" s="140">
        <v>1553.9</v>
      </c>
      <c r="E226" s="141">
        <v>54.1</v>
      </c>
      <c r="F226">
        <f t="shared" si="13"/>
        <v>2.3545108503708351E-3</v>
      </c>
      <c r="G226">
        <f t="shared" si="14"/>
        <v>-2.3714094856379313E-2</v>
      </c>
      <c r="H226">
        <f t="shared" si="15"/>
        <v>3.9735099337748934E-3</v>
      </c>
      <c r="I226">
        <f t="shared" si="16"/>
        <v>-0.15600624024960988</v>
      </c>
    </row>
    <row r="227" spans="1:9" x14ac:dyDescent="0.25">
      <c r="A227" s="139">
        <v>43728</v>
      </c>
      <c r="B227" s="140">
        <v>2642.95</v>
      </c>
      <c r="C227" s="140">
        <v>158.94999999999999</v>
      </c>
      <c r="D227" s="140">
        <v>1671</v>
      </c>
      <c r="E227" s="141">
        <v>55.5</v>
      </c>
      <c r="F227">
        <f t="shared" si="13"/>
        <v>3.4706181732764213E-2</v>
      </c>
      <c r="G227">
        <f t="shared" si="14"/>
        <v>8.758125213821405E-2</v>
      </c>
      <c r="H227">
        <f t="shared" si="15"/>
        <v>7.535877469592632E-2</v>
      </c>
      <c r="I227">
        <f t="shared" si="16"/>
        <v>2.5878003696857645E-2</v>
      </c>
    </row>
    <row r="228" spans="1:9" x14ac:dyDescent="0.25">
      <c r="A228" s="139">
        <v>43731</v>
      </c>
      <c r="B228" s="140">
        <v>2877.25</v>
      </c>
      <c r="C228" s="140">
        <v>157.9</v>
      </c>
      <c r="D228" s="140">
        <v>1802.75</v>
      </c>
      <c r="E228" s="141">
        <v>55.45</v>
      </c>
      <c r="F228">
        <f t="shared" si="13"/>
        <v>8.865093929132227E-2</v>
      </c>
      <c r="G228">
        <f t="shared" si="14"/>
        <v>-6.6058508965082295E-3</v>
      </c>
      <c r="H228">
        <f t="shared" si="15"/>
        <v>7.8845002992220234E-2</v>
      </c>
      <c r="I228">
        <f t="shared" si="16"/>
        <v>-9.0090090090084974E-4</v>
      </c>
    </row>
    <row r="229" spans="1:9" x14ac:dyDescent="0.25">
      <c r="A229" s="139">
        <v>43732</v>
      </c>
      <c r="B229" s="140">
        <v>2831.35</v>
      </c>
      <c r="C229" s="140">
        <v>159.94999999999999</v>
      </c>
      <c r="D229" s="140">
        <v>1765.9</v>
      </c>
      <c r="E229" s="141">
        <v>56.05</v>
      </c>
      <c r="F229">
        <f t="shared" si="13"/>
        <v>-1.5952732644017757E-2</v>
      </c>
      <c r="G229">
        <f t="shared" si="14"/>
        <v>1.2982900569980893E-2</v>
      </c>
      <c r="H229">
        <f t="shared" si="15"/>
        <v>-2.0440992927471868E-2</v>
      </c>
      <c r="I229">
        <f t="shared" si="16"/>
        <v>1.0820559062218111E-2</v>
      </c>
    </row>
    <row r="230" spans="1:9" x14ac:dyDescent="0.25">
      <c r="A230" s="139">
        <v>43733</v>
      </c>
      <c r="B230" s="140">
        <v>2823.35</v>
      </c>
      <c r="C230" s="140">
        <v>156.19999999999999</v>
      </c>
      <c r="D230" s="140">
        <v>1751.8</v>
      </c>
      <c r="E230" s="141">
        <v>53.7</v>
      </c>
      <c r="F230">
        <f t="shared" si="13"/>
        <v>-2.8255072668515019E-3</v>
      </c>
      <c r="G230">
        <f t="shared" si="14"/>
        <v>-2.3444826508283841E-2</v>
      </c>
      <c r="H230">
        <f t="shared" si="15"/>
        <v>-7.9845970893029812E-3</v>
      </c>
      <c r="I230">
        <f t="shared" si="16"/>
        <v>-4.1926851025869662E-2</v>
      </c>
    </row>
    <row r="231" spans="1:9" x14ac:dyDescent="0.25">
      <c r="A231" s="139">
        <v>43734</v>
      </c>
      <c r="B231" s="140">
        <v>2861.95</v>
      </c>
      <c r="C231" s="140">
        <v>166.1</v>
      </c>
      <c r="D231" s="140">
        <v>1770.95</v>
      </c>
      <c r="E231" s="141">
        <v>51.05</v>
      </c>
      <c r="F231">
        <f t="shared" si="13"/>
        <v>1.3671702056068115E-2</v>
      </c>
      <c r="G231">
        <f t="shared" si="14"/>
        <v>6.3380281690140886E-2</v>
      </c>
      <c r="H231">
        <f t="shared" si="15"/>
        <v>1.0931613197853688E-2</v>
      </c>
      <c r="I231">
        <f t="shared" si="16"/>
        <v>-4.9348230912476823E-2</v>
      </c>
    </row>
    <row r="232" spans="1:9" x14ac:dyDescent="0.25">
      <c r="A232" s="139">
        <v>43735</v>
      </c>
      <c r="B232" s="140">
        <v>2857.2</v>
      </c>
      <c r="C232" s="140">
        <v>157.25</v>
      </c>
      <c r="D232" s="140">
        <v>1776.3</v>
      </c>
      <c r="E232" s="141">
        <v>48.75</v>
      </c>
      <c r="F232">
        <f t="shared" si="13"/>
        <v>-1.6597075420604834E-3</v>
      </c>
      <c r="G232">
        <f t="shared" si="14"/>
        <v>-5.328115593016252E-2</v>
      </c>
      <c r="H232">
        <f t="shared" si="15"/>
        <v>3.0209774414861564E-3</v>
      </c>
      <c r="I232">
        <f t="shared" si="16"/>
        <v>-4.5053868756121399E-2</v>
      </c>
    </row>
    <row r="233" spans="1:9" x14ac:dyDescent="0.25">
      <c r="A233" s="139">
        <v>43738</v>
      </c>
      <c r="B233" s="140">
        <v>2904.05</v>
      </c>
      <c r="C233" s="140">
        <v>154.15</v>
      </c>
      <c r="D233" s="140">
        <v>1762.15</v>
      </c>
      <c r="E233" s="141">
        <v>41.4</v>
      </c>
      <c r="F233">
        <f t="shared" si="13"/>
        <v>1.6397172056558999E-2</v>
      </c>
      <c r="G233">
        <f t="shared" si="14"/>
        <v>-1.9713831478537325E-2</v>
      </c>
      <c r="H233">
        <f t="shared" si="15"/>
        <v>-7.9659967347857144E-3</v>
      </c>
      <c r="I233">
        <f t="shared" si="16"/>
        <v>-0.15076923076923079</v>
      </c>
    </row>
    <row r="234" spans="1:9" x14ac:dyDescent="0.25">
      <c r="A234" s="139">
        <v>43739</v>
      </c>
      <c r="B234" s="140">
        <v>2902.9</v>
      </c>
      <c r="C234" s="140">
        <v>151.30000000000001</v>
      </c>
      <c r="D234" s="140">
        <v>1766.1</v>
      </c>
      <c r="E234" s="141">
        <v>32</v>
      </c>
      <c r="F234">
        <f t="shared" si="13"/>
        <v>-3.9599869148261596E-4</v>
      </c>
      <c r="G234">
        <f t="shared" si="14"/>
        <v>-1.8488485241647708E-2</v>
      </c>
      <c r="H234">
        <f t="shared" si="15"/>
        <v>2.2415798882046466E-3</v>
      </c>
      <c r="I234">
        <f t="shared" si="16"/>
        <v>-0.22705314009661834</v>
      </c>
    </row>
    <row r="235" spans="1:9" x14ac:dyDescent="0.25">
      <c r="A235" s="139">
        <v>43741</v>
      </c>
      <c r="B235" s="140">
        <v>2922.85</v>
      </c>
      <c r="C235" s="140">
        <v>144.4</v>
      </c>
      <c r="D235" s="140">
        <v>1748.95</v>
      </c>
      <c r="E235" s="141">
        <v>42.5</v>
      </c>
      <c r="F235">
        <f t="shared" si="13"/>
        <v>6.8724379069206023E-3</v>
      </c>
      <c r="G235">
        <f t="shared" si="14"/>
        <v>-4.5604758757435596E-2</v>
      </c>
      <c r="H235">
        <f t="shared" si="15"/>
        <v>-9.7106619104240215E-3</v>
      </c>
      <c r="I235">
        <f t="shared" si="16"/>
        <v>0.328125</v>
      </c>
    </row>
    <row r="236" spans="1:9" x14ac:dyDescent="0.25">
      <c r="A236" s="139">
        <v>43742</v>
      </c>
      <c r="B236" s="140">
        <v>3001.65</v>
      </c>
      <c r="C236" s="140">
        <v>143.30000000000001</v>
      </c>
      <c r="D236" s="140">
        <v>1724.4</v>
      </c>
      <c r="E236" s="141">
        <v>42.15</v>
      </c>
      <c r="F236">
        <f t="shared" si="13"/>
        <v>2.695998768325442E-2</v>
      </c>
      <c r="G236">
        <f t="shared" si="14"/>
        <v>-7.6177285318559159E-3</v>
      </c>
      <c r="H236">
        <f t="shared" si="15"/>
        <v>-1.4036993624746251E-2</v>
      </c>
      <c r="I236">
        <f t="shared" si="16"/>
        <v>-8.2352941176470924E-3</v>
      </c>
    </row>
    <row r="237" spans="1:9" x14ac:dyDescent="0.25">
      <c r="A237" s="139">
        <v>43745</v>
      </c>
      <c r="B237" s="140">
        <v>2984.2</v>
      </c>
      <c r="C237" s="140">
        <v>142.65</v>
      </c>
      <c r="D237" s="140">
        <v>1725.15</v>
      </c>
      <c r="E237" s="141">
        <v>45.65</v>
      </c>
      <c r="F237">
        <f t="shared" si="13"/>
        <v>-5.813469258574541E-3</v>
      </c>
      <c r="G237">
        <f t="shared" si="14"/>
        <v>-4.5359385903698925E-3</v>
      </c>
      <c r="H237">
        <f t="shared" si="15"/>
        <v>4.3493389004871255E-4</v>
      </c>
      <c r="I237">
        <f t="shared" si="16"/>
        <v>8.3036773428232499E-2</v>
      </c>
    </row>
    <row r="238" spans="1:9" x14ac:dyDescent="0.25">
      <c r="A238" s="139">
        <v>43747</v>
      </c>
      <c r="B238" s="140">
        <v>3000.85</v>
      </c>
      <c r="C238" s="140">
        <v>145.69999999999999</v>
      </c>
      <c r="D238" s="140">
        <v>1773.45</v>
      </c>
      <c r="E238" s="141">
        <v>43.25</v>
      </c>
      <c r="F238">
        <f t="shared" si="13"/>
        <v>5.5793847597346334E-3</v>
      </c>
      <c r="G238">
        <f t="shared" si="14"/>
        <v>2.1381002453557538E-2</v>
      </c>
      <c r="H238">
        <f t="shared" si="15"/>
        <v>2.7997565429093093E-2</v>
      </c>
      <c r="I238">
        <f t="shared" si="16"/>
        <v>-5.2573932092004352E-2</v>
      </c>
    </row>
    <row r="239" spans="1:9" x14ac:dyDescent="0.25">
      <c r="A239" s="139">
        <v>43748</v>
      </c>
      <c r="B239" s="140">
        <v>2991.9</v>
      </c>
      <c r="C239" s="140">
        <v>141.15</v>
      </c>
      <c r="D239" s="140">
        <v>1778.6</v>
      </c>
      <c r="E239" s="141">
        <v>40.950000000000003</v>
      </c>
      <c r="F239">
        <f t="shared" si="13"/>
        <v>-2.9824882949830277E-3</v>
      </c>
      <c r="G239">
        <f t="shared" si="14"/>
        <v>-3.1228551818805652E-2</v>
      </c>
      <c r="H239">
        <f t="shared" si="15"/>
        <v>2.903944289379381E-3</v>
      </c>
      <c r="I239">
        <f t="shared" si="16"/>
        <v>-5.3179190751445019E-2</v>
      </c>
    </row>
    <row r="240" spans="1:9" x14ac:dyDescent="0.25">
      <c r="A240" s="139">
        <v>43749</v>
      </c>
      <c r="B240" s="140">
        <v>3056.95</v>
      </c>
      <c r="C240" s="140">
        <v>147.05000000000001</v>
      </c>
      <c r="D240" s="140">
        <v>1790.25</v>
      </c>
      <c r="E240" s="141">
        <v>39.6</v>
      </c>
      <c r="F240">
        <f t="shared" si="13"/>
        <v>2.1742036832781753E-2</v>
      </c>
      <c r="G240">
        <f t="shared" si="14"/>
        <v>4.1799504073680521E-2</v>
      </c>
      <c r="H240">
        <f t="shared" si="15"/>
        <v>6.5500955807939343E-3</v>
      </c>
      <c r="I240">
        <f t="shared" si="16"/>
        <v>-3.2967032967033003E-2</v>
      </c>
    </row>
    <row r="241" spans="1:9" x14ac:dyDescent="0.25">
      <c r="A241" s="139">
        <v>43752</v>
      </c>
      <c r="B241" s="140">
        <v>3080.8</v>
      </c>
      <c r="C241" s="140">
        <v>147.80000000000001</v>
      </c>
      <c r="D241" s="140">
        <v>1798.7</v>
      </c>
      <c r="E241" s="141">
        <v>40.1</v>
      </c>
      <c r="F241">
        <f t="shared" si="13"/>
        <v>7.8018940447178936E-3</v>
      </c>
      <c r="G241">
        <f t="shared" si="14"/>
        <v>5.1003060183611015E-3</v>
      </c>
      <c r="H241">
        <f t="shared" si="15"/>
        <v>4.7200111716241E-3</v>
      </c>
      <c r="I241">
        <f t="shared" si="16"/>
        <v>1.2626262626262626E-2</v>
      </c>
    </row>
    <row r="242" spans="1:9" x14ac:dyDescent="0.25">
      <c r="A242" s="139">
        <v>43753</v>
      </c>
      <c r="B242" s="140">
        <v>3052.85</v>
      </c>
      <c r="C242" s="140">
        <v>153.5</v>
      </c>
      <c r="D242" s="140">
        <v>1803.1</v>
      </c>
      <c r="E242" s="141">
        <v>40.6</v>
      </c>
      <c r="F242">
        <f t="shared" si="13"/>
        <v>-9.0723188782135394E-3</v>
      </c>
      <c r="G242">
        <f t="shared" si="14"/>
        <v>3.8565629228687337E-2</v>
      </c>
      <c r="H242">
        <f t="shared" si="15"/>
        <v>2.4462111524989512E-3</v>
      </c>
      <c r="I242">
        <f t="shared" si="16"/>
        <v>1.2468827930174562E-2</v>
      </c>
    </row>
    <row r="243" spans="1:9" x14ac:dyDescent="0.25">
      <c r="A243" s="139">
        <v>43754</v>
      </c>
      <c r="B243" s="140">
        <v>3018.25</v>
      </c>
      <c r="C243" s="140">
        <v>149.9</v>
      </c>
      <c r="D243" s="140">
        <v>1765.7</v>
      </c>
      <c r="E243" s="141">
        <v>41.05</v>
      </c>
      <c r="F243">
        <f t="shared" si="13"/>
        <v>-1.1333671814861493E-2</v>
      </c>
      <c r="G243">
        <f t="shared" si="14"/>
        <v>-2.3452768729641658E-2</v>
      </c>
      <c r="H243">
        <f t="shared" si="15"/>
        <v>-2.0742055349120884E-2</v>
      </c>
      <c r="I243">
        <f t="shared" si="16"/>
        <v>1.1083743842364427E-2</v>
      </c>
    </row>
    <row r="244" spans="1:9" x14ac:dyDescent="0.25">
      <c r="A244" s="139">
        <v>43755</v>
      </c>
      <c r="B244" s="140">
        <v>3026.85</v>
      </c>
      <c r="C244" s="140">
        <v>148.30000000000001</v>
      </c>
      <c r="D244" s="140">
        <v>1812.3</v>
      </c>
      <c r="E244" s="141">
        <v>47.4</v>
      </c>
      <c r="F244">
        <f t="shared" si="13"/>
        <v>2.8493332228940308E-3</v>
      </c>
      <c r="G244">
        <f t="shared" si="14"/>
        <v>-1.0673782521681082E-2</v>
      </c>
      <c r="H244">
        <f t="shared" si="15"/>
        <v>2.6391799286401941E-2</v>
      </c>
      <c r="I244">
        <f t="shared" si="16"/>
        <v>0.15468940316686972</v>
      </c>
    </row>
    <row r="245" spans="1:9" x14ac:dyDescent="0.25">
      <c r="A245" s="139">
        <v>43756</v>
      </c>
      <c r="B245" s="140">
        <v>3085.2</v>
      </c>
      <c r="C245" s="140">
        <v>150.25</v>
      </c>
      <c r="D245" s="140">
        <v>1816.75</v>
      </c>
      <c r="E245" s="141">
        <v>51.4</v>
      </c>
      <c r="F245">
        <f t="shared" si="13"/>
        <v>1.9277466673274166E-2</v>
      </c>
      <c r="G245">
        <f t="shared" si="14"/>
        <v>1.3149022252191426E-2</v>
      </c>
      <c r="H245">
        <f t="shared" si="15"/>
        <v>2.4554433592672547E-3</v>
      </c>
      <c r="I245">
        <f t="shared" si="16"/>
        <v>8.4388185654008435E-2</v>
      </c>
    </row>
    <row r="246" spans="1:9" x14ac:dyDescent="0.25">
      <c r="A246" s="139">
        <v>43760</v>
      </c>
      <c r="B246" s="140">
        <v>2991.35</v>
      </c>
      <c r="C246" s="140">
        <v>149.15</v>
      </c>
      <c r="D246" s="140">
        <v>1780.2</v>
      </c>
      <c r="E246" s="141">
        <v>51.8</v>
      </c>
      <c r="F246">
        <f t="shared" si="13"/>
        <v>-3.0419421755477738E-2</v>
      </c>
      <c r="G246">
        <f t="shared" si="14"/>
        <v>-7.3211314475873169E-3</v>
      </c>
      <c r="H246">
        <f t="shared" si="15"/>
        <v>-2.0118343195266248E-2</v>
      </c>
      <c r="I246">
        <f t="shared" si="16"/>
        <v>7.7821011673151474E-3</v>
      </c>
    </row>
    <row r="247" spans="1:9" x14ac:dyDescent="0.25">
      <c r="A247" s="139">
        <v>43761</v>
      </c>
      <c r="B247" s="140">
        <v>2986.35</v>
      </c>
      <c r="C247" s="140">
        <v>146.25</v>
      </c>
      <c r="D247" s="140">
        <v>1767.4</v>
      </c>
      <c r="E247" s="141">
        <v>51.2</v>
      </c>
      <c r="F247">
        <f t="shared" si="13"/>
        <v>-1.6714861183077874E-3</v>
      </c>
      <c r="G247">
        <f t="shared" si="14"/>
        <v>-1.9443513241703021E-2</v>
      </c>
      <c r="H247">
        <f t="shared" si="15"/>
        <v>-7.1902033479384082E-3</v>
      </c>
      <c r="I247">
        <f t="shared" si="16"/>
        <v>-1.1583011583011473E-2</v>
      </c>
    </row>
    <row r="248" spans="1:9" x14ac:dyDescent="0.25">
      <c r="A248" s="139">
        <v>43762</v>
      </c>
      <c r="B248" s="140">
        <v>3016.7</v>
      </c>
      <c r="C248" s="140">
        <v>145.69999999999999</v>
      </c>
      <c r="D248" s="140">
        <v>1790.5</v>
      </c>
      <c r="E248" s="141">
        <v>48.3</v>
      </c>
      <c r="F248">
        <f t="shared" si="13"/>
        <v>1.016290789760072E-2</v>
      </c>
      <c r="G248">
        <f t="shared" si="14"/>
        <v>-3.7606837606838383E-3</v>
      </c>
      <c r="H248">
        <f t="shared" si="15"/>
        <v>1.3070046395835639E-2</v>
      </c>
      <c r="I248">
        <f t="shared" si="16"/>
        <v>-5.6640625000000111E-2</v>
      </c>
    </row>
    <row r="249" spans="1:9" x14ac:dyDescent="0.25">
      <c r="A249" s="139">
        <v>43763</v>
      </c>
      <c r="B249" s="140">
        <v>2981.8</v>
      </c>
      <c r="C249" s="140">
        <v>142.19999999999999</v>
      </c>
      <c r="D249" s="140">
        <v>1796.3</v>
      </c>
      <c r="E249" s="141">
        <v>52.15</v>
      </c>
      <c r="F249">
        <f t="shared" si="13"/>
        <v>-1.1568932939967394E-2</v>
      </c>
      <c r="G249">
        <f t="shared" si="14"/>
        <v>-2.4021962937542898E-2</v>
      </c>
      <c r="H249">
        <f t="shared" si="15"/>
        <v>3.2393186260820748E-3</v>
      </c>
      <c r="I249">
        <f t="shared" si="16"/>
        <v>7.9710144927536267E-2</v>
      </c>
    </row>
    <row r="250" spans="1:9" x14ac:dyDescent="0.25">
      <c r="A250" s="139">
        <v>43765</v>
      </c>
      <c r="B250" s="140">
        <v>3038.85</v>
      </c>
      <c r="C250" s="140">
        <v>144.65</v>
      </c>
      <c r="D250" s="140">
        <v>1792.6</v>
      </c>
      <c r="E250" s="141">
        <v>54.75</v>
      </c>
      <c r="F250">
        <f t="shared" si="13"/>
        <v>1.9132738614259751E-2</v>
      </c>
      <c r="G250">
        <f t="shared" si="14"/>
        <v>1.7229254571026843E-2</v>
      </c>
      <c r="H250">
        <f t="shared" si="15"/>
        <v>-2.0597895674442164E-3</v>
      </c>
      <c r="I250">
        <f t="shared" si="16"/>
        <v>4.9856184084372035E-2</v>
      </c>
    </row>
    <row r="251" spans="1:9" x14ac:dyDescent="0.25">
      <c r="A251" s="139">
        <v>43767</v>
      </c>
      <c r="B251" s="140">
        <v>3010.8</v>
      </c>
      <c r="C251" s="140">
        <v>149.5</v>
      </c>
      <c r="D251" s="140">
        <v>1814.25</v>
      </c>
      <c r="E251" s="141">
        <v>58.15</v>
      </c>
      <c r="F251">
        <f t="shared" si="13"/>
        <v>-9.2304654721357508E-3</v>
      </c>
      <c r="G251">
        <f t="shared" si="14"/>
        <v>3.3529208434151359E-2</v>
      </c>
      <c r="H251">
        <f t="shared" si="15"/>
        <v>1.2077429432109836E-2</v>
      </c>
      <c r="I251">
        <f t="shared" si="16"/>
        <v>6.2100456621004538E-2</v>
      </c>
    </row>
    <row r="252" spans="1:9" x14ac:dyDescent="0.25">
      <c r="A252" s="139">
        <v>43768</v>
      </c>
      <c r="B252" s="140">
        <v>2971.55</v>
      </c>
      <c r="C252" s="140">
        <v>150.1</v>
      </c>
      <c r="D252" s="140">
        <v>1821.3</v>
      </c>
      <c r="E252" s="141">
        <v>56.8</v>
      </c>
      <c r="F252">
        <f t="shared" si="13"/>
        <v>-1.3036402285106947E-2</v>
      </c>
      <c r="G252">
        <f t="shared" si="14"/>
        <v>4.013377926421367E-3</v>
      </c>
      <c r="H252">
        <f t="shared" si="15"/>
        <v>3.8859032658122941E-3</v>
      </c>
      <c r="I252">
        <f t="shared" si="16"/>
        <v>-2.3215821152192631E-2</v>
      </c>
    </row>
    <row r="253" spans="1:9" x14ac:dyDescent="0.25">
      <c r="A253" s="139">
        <v>43769</v>
      </c>
      <c r="B253" s="140">
        <v>3019.95</v>
      </c>
      <c r="C253" s="140">
        <v>148.35</v>
      </c>
      <c r="D253" s="140">
        <v>1809.6</v>
      </c>
      <c r="E253" s="141">
        <v>70.400000000000006</v>
      </c>
      <c r="F253">
        <f t="shared" si="13"/>
        <v>1.6287795931416139E-2</v>
      </c>
      <c r="G253">
        <f t="shared" si="14"/>
        <v>-1.1658894070619588E-2</v>
      </c>
      <c r="H253">
        <f t="shared" si="15"/>
        <v>-6.4239828693790401E-3</v>
      </c>
      <c r="I253">
        <f t="shared" si="16"/>
        <v>0.23943661971831001</v>
      </c>
    </row>
    <row r="254" spans="1:9" x14ac:dyDescent="0.25">
      <c r="A254" s="139">
        <v>43770</v>
      </c>
      <c r="B254" s="140">
        <v>3013.35</v>
      </c>
      <c r="C254" s="140">
        <v>153.05000000000001</v>
      </c>
      <c r="D254" s="140">
        <v>1766.35</v>
      </c>
      <c r="E254" s="141">
        <v>66.599999999999994</v>
      </c>
      <c r="F254">
        <f t="shared" si="13"/>
        <v>-2.1854666467987583E-3</v>
      </c>
      <c r="G254">
        <f t="shared" si="14"/>
        <v>3.1681833501853843E-2</v>
      </c>
      <c r="H254">
        <f t="shared" si="15"/>
        <v>-2.3900309460654291E-2</v>
      </c>
      <c r="I254">
        <f t="shared" si="16"/>
        <v>-5.3977272727272887E-2</v>
      </c>
    </row>
    <row r="255" spans="1:9" x14ac:dyDescent="0.25">
      <c r="A255" s="139">
        <v>43773</v>
      </c>
      <c r="B255" s="140">
        <v>3015.25</v>
      </c>
      <c r="C255" s="140">
        <v>157.6</v>
      </c>
      <c r="D255" s="140">
        <v>1785.9</v>
      </c>
      <c r="E255" s="141">
        <v>66.150000000000006</v>
      </c>
      <c r="F255">
        <f t="shared" si="13"/>
        <v>6.3052748602057207E-4</v>
      </c>
      <c r="G255">
        <f t="shared" si="14"/>
        <v>2.9728846782097241E-2</v>
      </c>
      <c r="H255">
        <f t="shared" si="15"/>
        <v>1.1068021626518064E-2</v>
      </c>
      <c r="I255">
        <f t="shared" si="16"/>
        <v>-6.7567567567565863E-3</v>
      </c>
    </row>
    <row r="256" spans="1:9" x14ac:dyDescent="0.25">
      <c r="A256" s="139">
        <v>43774</v>
      </c>
      <c r="B256" s="140">
        <v>2952.5</v>
      </c>
      <c r="C256" s="140">
        <v>157.5</v>
      </c>
      <c r="D256" s="140">
        <v>1793.85</v>
      </c>
      <c r="E256" s="141">
        <v>68.3</v>
      </c>
      <c r="F256">
        <f t="shared" si="13"/>
        <v>-2.0810878036647044E-2</v>
      </c>
      <c r="G256">
        <f t="shared" si="14"/>
        <v>-6.3451776649742588E-4</v>
      </c>
      <c r="H256">
        <f t="shared" si="15"/>
        <v>4.4515370401477222E-3</v>
      </c>
      <c r="I256">
        <f t="shared" si="16"/>
        <v>3.2501889644746658E-2</v>
      </c>
    </row>
    <row r="257" spans="1:9" x14ac:dyDescent="0.25">
      <c r="A257" s="139">
        <v>43775</v>
      </c>
      <c r="B257" s="140">
        <v>2811.35</v>
      </c>
      <c r="C257" s="140">
        <v>157.94999999999999</v>
      </c>
      <c r="D257" s="140">
        <v>1797.6</v>
      </c>
      <c r="E257" s="141">
        <v>68.7</v>
      </c>
      <c r="F257">
        <f t="shared" si="13"/>
        <v>-4.7806943268416627E-2</v>
      </c>
      <c r="G257">
        <f t="shared" si="14"/>
        <v>2.8571428571427851E-3</v>
      </c>
      <c r="H257">
        <f t="shared" si="15"/>
        <v>2.0904757922903254E-3</v>
      </c>
      <c r="I257">
        <f t="shared" si="16"/>
        <v>5.8565153733529385E-3</v>
      </c>
    </row>
    <row r="258" spans="1:9" x14ac:dyDescent="0.25">
      <c r="A258" s="139">
        <v>43776</v>
      </c>
      <c r="B258" s="140">
        <v>2747</v>
      </c>
      <c r="C258" s="140">
        <v>160.94999999999999</v>
      </c>
      <c r="D258" s="140">
        <v>1826.95</v>
      </c>
      <c r="E258" s="141">
        <v>66.45</v>
      </c>
      <c r="F258">
        <f t="shared" si="13"/>
        <v>-2.2889359204652536E-2</v>
      </c>
      <c r="G258">
        <f t="shared" si="14"/>
        <v>1.8993352326685663E-2</v>
      </c>
      <c r="H258">
        <f t="shared" si="15"/>
        <v>1.6327325322652502E-2</v>
      </c>
      <c r="I258">
        <f t="shared" si="16"/>
        <v>-3.2751091703056769E-2</v>
      </c>
    </row>
    <row r="259" spans="1:9" x14ac:dyDescent="0.25">
      <c r="A259" s="139">
        <v>43777</v>
      </c>
      <c r="B259" s="140">
        <v>2729.1</v>
      </c>
      <c r="C259" s="140">
        <v>155.5</v>
      </c>
      <c r="D259" s="140">
        <v>1794.85</v>
      </c>
      <c r="E259" s="141">
        <v>68.95</v>
      </c>
      <c r="F259">
        <f t="shared" si="13"/>
        <v>-6.5161994903531455E-3</v>
      </c>
      <c r="G259">
        <f t="shared" si="14"/>
        <v>-3.3861447654551034E-2</v>
      </c>
      <c r="H259">
        <f t="shared" si="15"/>
        <v>-1.7570267385533338E-2</v>
      </c>
      <c r="I259">
        <f t="shared" si="16"/>
        <v>3.7622272385252065E-2</v>
      </c>
    </row>
    <row r="260" spans="1:9" x14ac:dyDescent="0.25">
      <c r="A260" s="139">
        <v>43780</v>
      </c>
      <c r="B260" s="140">
        <v>2989.4</v>
      </c>
      <c r="C260" s="140">
        <v>152.69999999999999</v>
      </c>
      <c r="D260" s="140">
        <v>1773.95</v>
      </c>
      <c r="E260" s="141">
        <v>73</v>
      </c>
      <c r="F260">
        <f t="shared" ref="F260:F323" si="17">(B260-B259)/B259</f>
        <v>9.5379429115825795E-2</v>
      </c>
      <c r="G260">
        <f t="shared" ref="G260:G323" si="18">(C260-C259)/C259</f>
        <v>-1.8006430868167275E-2</v>
      </c>
      <c r="H260">
        <f t="shared" ref="H260:H323" si="19">(D260-D259)/D259</f>
        <v>-1.1644427110900557E-2</v>
      </c>
      <c r="I260">
        <f t="shared" ref="I260:I323" si="20">(E260-E259)/E259</f>
        <v>5.8738216098622148E-2</v>
      </c>
    </row>
    <row r="261" spans="1:9" x14ac:dyDescent="0.25">
      <c r="A261" s="139">
        <v>43782</v>
      </c>
      <c r="B261" s="140">
        <v>2999.7</v>
      </c>
      <c r="C261" s="140">
        <v>148.4</v>
      </c>
      <c r="D261" s="140">
        <v>1770.45</v>
      </c>
      <c r="E261" s="141">
        <v>68.2</v>
      </c>
      <c r="F261">
        <f t="shared" si="17"/>
        <v>3.4455074596908167E-3</v>
      </c>
      <c r="G261">
        <f t="shared" si="18"/>
        <v>-2.815979043876872E-2</v>
      </c>
      <c r="H261">
        <f t="shared" si="19"/>
        <v>-1.9729981115589501E-3</v>
      </c>
      <c r="I261">
        <f t="shared" si="20"/>
        <v>-6.5753424657534212E-2</v>
      </c>
    </row>
    <row r="262" spans="1:9" x14ac:dyDescent="0.25">
      <c r="A262" s="139">
        <v>43783</v>
      </c>
      <c r="B262" s="140">
        <v>3263.15</v>
      </c>
      <c r="C262" s="140">
        <v>144</v>
      </c>
      <c r="D262" s="140">
        <v>1771.85</v>
      </c>
      <c r="E262" s="141">
        <v>68.75</v>
      </c>
      <c r="F262">
        <f t="shared" si="17"/>
        <v>8.7825449211587928E-2</v>
      </c>
      <c r="G262">
        <f t="shared" si="18"/>
        <v>-2.9649595687331574E-2</v>
      </c>
      <c r="H262">
        <f t="shared" si="19"/>
        <v>7.907594114489895E-4</v>
      </c>
      <c r="I262">
        <f t="shared" si="20"/>
        <v>8.0645161290322162E-3</v>
      </c>
    </row>
    <row r="263" spans="1:9" x14ac:dyDescent="0.25">
      <c r="A263" s="139">
        <v>43784</v>
      </c>
      <c r="B263" s="140">
        <v>3281.1</v>
      </c>
      <c r="C263" s="140">
        <v>142.1</v>
      </c>
      <c r="D263" s="140">
        <v>1760.7</v>
      </c>
      <c r="E263" s="141">
        <v>68.7</v>
      </c>
      <c r="F263">
        <f t="shared" si="17"/>
        <v>5.500819760047751E-3</v>
      </c>
      <c r="G263">
        <f t="shared" si="18"/>
        <v>-1.3194444444444484E-2</v>
      </c>
      <c r="H263">
        <f t="shared" si="19"/>
        <v>-6.2928577475519169E-3</v>
      </c>
      <c r="I263">
        <f t="shared" si="20"/>
        <v>-7.2727272727268592E-4</v>
      </c>
    </row>
    <row r="264" spans="1:9" x14ac:dyDescent="0.25">
      <c r="A264" s="139">
        <v>43787</v>
      </c>
      <c r="B264" s="140">
        <v>3344.9</v>
      </c>
      <c r="C264" s="140">
        <v>143.4</v>
      </c>
      <c r="D264" s="140">
        <v>1739</v>
      </c>
      <c r="E264" s="141">
        <v>65.849999999999994</v>
      </c>
      <c r="F264">
        <f t="shared" si="17"/>
        <v>1.9444698424308977E-2</v>
      </c>
      <c r="G264">
        <f t="shared" si="18"/>
        <v>9.1484869809993763E-3</v>
      </c>
      <c r="H264">
        <f t="shared" si="19"/>
        <v>-1.2324643607656071E-2</v>
      </c>
      <c r="I264">
        <f t="shared" si="20"/>
        <v>-4.1484716157205365E-2</v>
      </c>
    </row>
    <row r="265" spans="1:9" x14ac:dyDescent="0.25">
      <c r="A265" s="139">
        <v>43788</v>
      </c>
      <c r="B265" s="140">
        <v>3232.45</v>
      </c>
      <c r="C265" s="140">
        <v>141.69999999999999</v>
      </c>
      <c r="D265" s="140">
        <v>1721.35</v>
      </c>
      <c r="E265" s="141">
        <v>64.150000000000006</v>
      </c>
      <c r="F265">
        <f t="shared" si="17"/>
        <v>-3.3618344345122508E-2</v>
      </c>
      <c r="G265">
        <f t="shared" si="18"/>
        <v>-1.1854951185495236E-2</v>
      </c>
      <c r="H265">
        <f t="shared" si="19"/>
        <v>-1.0149511213341053E-2</v>
      </c>
      <c r="I265">
        <f t="shared" si="20"/>
        <v>-2.5816249050873027E-2</v>
      </c>
    </row>
    <row r="266" spans="1:9" x14ac:dyDescent="0.25">
      <c r="A266" s="139">
        <v>43789</v>
      </c>
      <c r="B266" s="140">
        <v>3103.55</v>
      </c>
      <c r="C266" s="140">
        <v>141.44999999999999</v>
      </c>
      <c r="D266" s="140">
        <v>1723.5</v>
      </c>
      <c r="E266" s="141">
        <v>65.849999999999994</v>
      </c>
      <c r="F266">
        <f t="shared" si="17"/>
        <v>-3.9876873578864221E-2</v>
      </c>
      <c r="G266">
        <f t="shared" si="18"/>
        <v>-1.7642907551164433E-3</v>
      </c>
      <c r="H266">
        <f t="shared" si="19"/>
        <v>1.2490196647980312E-3</v>
      </c>
      <c r="I266">
        <f t="shared" si="20"/>
        <v>2.6500389711613226E-2</v>
      </c>
    </row>
    <row r="267" spans="1:9" x14ac:dyDescent="0.25">
      <c r="A267" s="139">
        <v>43790</v>
      </c>
      <c r="B267" s="140">
        <v>3139.85</v>
      </c>
      <c r="C267" s="140">
        <v>139.05000000000001</v>
      </c>
      <c r="D267" s="140">
        <v>1720.35</v>
      </c>
      <c r="E267" s="141">
        <v>64.25</v>
      </c>
      <c r="F267">
        <f t="shared" si="17"/>
        <v>1.1696283288492123E-2</v>
      </c>
      <c r="G267">
        <f t="shared" si="18"/>
        <v>-1.6967126193000902E-2</v>
      </c>
      <c r="H267">
        <f t="shared" si="19"/>
        <v>-1.8276762402089301E-3</v>
      </c>
      <c r="I267">
        <f t="shared" si="20"/>
        <v>-2.4297646165527629E-2</v>
      </c>
    </row>
    <row r="268" spans="1:9" x14ac:dyDescent="0.25">
      <c r="A268" s="139">
        <v>43791</v>
      </c>
      <c r="B268" s="140">
        <v>3177</v>
      </c>
      <c r="C268" s="140">
        <v>142.25</v>
      </c>
      <c r="D268" s="140">
        <v>1682.75</v>
      </c>
      <c r="E268" s="141">
        <v>64.8</v>
      </c>
      <c r="F268">
        <f t="shared" si="17"/>
        <v>1.1831775403283626E-2</v>
      </c>
      <c r="G268">
        <f t="shared" si="18"/>
        <v>2.3013304566702541E-2</v>
      </c>
      <c r="H268">
        <f t="shared" si="19"/>
        <v>-2.1856017670822746E-2</v>
      </c>
      <c r="I268">
        <f t="shared" si="20"/>
        <v>8.5603112840466483E-3</v>
      </c>
    </row>
    <row r="269" spans="1:9" x14ac:dyDescent="0.25">
      <c r="A269" s="139">
        <v>43794</v>
      </c>
      <c r="B269" s="140">
        <v>3190.3</v>
      </c>
      <c r="C269" s="140">
        <v>146.15</v>
      </c>
      <c r="D269" s="140">
        <v>1710.7</v>
      </c>
      <c r="E269" s="141">
        <v>63.75</v>
      </c>
      <c r="F269">
        <f t="shared" si="17"/>
        <v>4.186339313818125E-3</v>
      </c>
      <c r="G269">
        <f t="shared" si="18"/>
        <v>2.7416520210896349E-2</v>
      </c>
      <c r="H269">
        <f t="shared" si="19"/>
        <v>1.6609716238300428E-2</v>
      </c>
      <c r="I269">
        <f t="shared" si="20"/>
        <v>-1.6203703703703661E-2</v>
      </c>
    </row>
    <row r="270" spans="1:9" x14ac:dyDescent="0.25">
      <c r="A270" s="139">
        <v>43795</v>
      </c>
      <c r="B270" s="140">
        <v>3222.05</v>
      </c>
      <c r="C270" s="140">
        <v>145.1</v>
      </c>
      <c r="D270" s="140">
        <v>1710.3</v>
      </c>
      <c r="E270" s="141">
        <v>63.15</v>
      </c>
      <c r="F270">
        <f t="shared" si="17"/>
        <v>9.9520421276995882E-3</v>
      </c>
      <c r="G270">
        <f t="shared" si="18"/>
        <v>-7.1843995894629578E-3</v>
      </c>
      <c r="H270">
        <f t="shared" si="19"/>
        <v>-2.3382241187823167E-4</v>
      </c>
      <c r="I270">
        <f t="shared" si="20"/>
        <v>-9.4117647058823747E-3</v>
      </c>
    </row>
    <row r="271" spans="1:9" x14ac:dyDescent="0.25">
      <c r="A271" s="139">
        <v>43796</v>
      </c>
      <c r="B271" s="140">
        <v>3257.65</v>
      </c>
      <c r="C271" s="140">
        <v>146.94999999999999</v>
      </c>
      <c r="D271" s="140">
        <v>1715.35</v>
      </c>
      <c r="E271" s="141">
        <v>68.25</v>
      </c>
      <c r="F271">
        <f t="shared" si="17"/>
        <v>1.104886640492851E-2</v>
      </c>
      <c r="G271">
        <f t="shared" si="18"/>
        <v>1.2749827705030975E-2</v>
      </c>
      <c r="H271">
        <f t="shared" si="19"/>
        <v>2.952698357013363E-3</v>
      </c>
      <c r="I271">
        <f t="shared" si="20"/>
        <v>8.0760095011876504E-2</v>
      </c>
    </row>
    <row r="272" spans="1:9" x14ac:dyDescent="0.25">
      <c r="A272" s="139">
        <v>43797</v>
      </c>
      <c r="B272" s="140">
        <v>3339.15</v>
      </c>
      <c r="C272" s="140">
        <v>147.4</v>
      </c>
      <c r="D272" s="140">
        <v>1714.6</v>
      </c>
      <c r="E272" s="141">
        <v>70.05</v>
      </c>
      <c r="F272">
        <f t="shared" si="17"/>
        <v>2.5018034472702715E-2</v>
      </c>
      <c r="G272">
        <f t="shared" si="18"/>
        <v>3.0622660768970201E-3</v>
      </c>
      <c r="H272">
        <f t="shared" si="19"/>
        <v>-4.3722855393942927E-4</v>
      </c>
      <c r="I272">
        <f t="shared" si="20"/>
        <v>2.6373626373626332E-2</v>
      </c>
    </row>
    <row r="273" spans="1:9" x14ac:dyDescent="0.25">
      <c r="A273" s="139">
        <v>43798</v>
      </c>
      <c r="B273" s="140">
        <v>3307.45</v>
      </c>
      <c r="C273" s="140">
        <v>144.6</v>
      </c>
      <c r="D273" s="140">
        <v>1706.15</v>
      </c>
      <c r="E273" s="141">
        <v>68.3</v>
      </c>
      <c r="F273">
        <f t="shared" si="17"/>
        <v>-9.4934339577438191E-3</v>
      </c>
      <c r="G273">
        <f t="shared" si="18"/>
        <v>-1.8995929443690714E-2</v>
      </c>
      <c r="H273">
        <f t="shared" si="19"/>
        <v>-4.9282631517554056E-3</v>
      </c>
      <c r="I273">
        <f t="shared" si="20"/>
        <v>-2.4982155603140616E-2</v>
      </c>
    </row>
    <row r="274" spans="1:9" x14ac:dyDescent="0.25">
      <c r="A274" s="139">
        <v>43801</v>
      </c>
      <c r="B274" s="140">
        <v>3272.5</v>
      </c>
      <c r="C274" s="140">
        <v>144.69999999999999</v>
      </c>
      <c r="D274" s="140">
        <v>1738.25</v>
      </c>
      <c r="E274" s="141">
        <v>64.05</v>
      </c>
      <c r="F274">
        <f t="shared" si="17"/>
        <v>-1.0567053167848287E-2</v>
      </c>
      <c r="G274">
        <f t="shared" si="18"/>
        <v>6.9156293222679332E-4</v>
      </c>
      <c r="H274">
        <f t="shared" si="19"/>
        <v>1.8814289482167398E-2</v>
      </c>
      <c r="I274">
        <f t="shared" si="20"/>
        <v>-6.2225475841874087E-2</v>
      </c>
    </row>
    <row r="275" spans="1:9" x14ac:dyDescent="0.25">
      <c r="A275" s="139">
        <v>43802</v>
      </c>
      <c r="B275" s="140">
        <v>3289.35</v>
      </c>
      <c r="C275" s="140">
        <v>139.69999999999999</v>
      </c>
      <c r="D275" s="140">
        <v>1736.45</v>
      </c>
      <c r="E275" s="141">
        <v>59.5</v>
      </c>
      <c r="F275">
        <f t="shared" si="17"/>
        <v>5.1489686783804155E-3</v>
      </c>
      <c r="G275">
        <f t="shared" si="18"/>
        <v>-3.455425017277125E-2</v>
      </c>
      <c r="H275">
        <f t="shared" si="19"/>
        <v>-1.035524234143509E-3</v>
      </c>
      <c r="I275">
        <f t="shared" si="20"/>
        <v>-7.1038251366120173E-2</v>
      </c>
    </row>
    <row r="276" spans="1:9" x14ac:dyDescent="0.25">
      <c r="A276" s="139">
        <v>43803</v>
      </c>
      <c r="B276" s="140">
        <v>3483.35</v>
      </c>
      <c r="C276" s="140">
        <v>144.19999999999999</v>
      </c>
      <c r="D276" s="140">
        <v>1720.3</v>
      </c>
      <c r="E276" s="141">
        <v>63</v>
      </c>
      <c r="F276">
        <f t="shared" si="17"/>
        <v>5.8978217580981047E-2</v>
      </c>
      <c r="G276">
        <f t="shared" si="18"/>
        <v>3.2211882605583393E-2</v>
      </c>
      <c r="H276">
        <f t="shared" si="19"/>
        <v>-9.3005845259005963E-3</v>
      </c>
      <c r="I276">
        <f t="shared" si="20"/>
        <v>5.8823529411764705E-2</v>
      </c>
    </row>
    <row r="277" spans="1:9" x14ac:dyDescent="0.25">
      <c r="A277" s="139">
        <v>43804</v>
      </c>
      <c r="B277" s="140">
        <v>3511</v>
      </c>
      <c r="C277" s="140">
        <v>142.5</v>
      </c>
      <c r="D277" s="140">
        <v>1715.85</v>
      </c>
      <c r="E277" s="141">
        <v>62.1</v>
      </c>
      <c r="F277">
        <f t="shared" si="17"/>
        <v>7.9377610633442203E-3</v>
      </c>
      <c r="G277">
        <f t="shared" si="18"/>
        <v>-1.1789181692094235E-2</v>
      </c>
      <c r="H277">
        <f t="shared" si="19"/>
        <v>-2.5867581235831227E-3</v>
      </c>
      <c r="I277">
        <f t="shared" si="20"/>
        <v>-1.4285714285714263E-2</v>
      </c>
    </row>
    <row r="278" spans="1:9" x14ac:dyDescent="0.25">
      <c r="A278" s="139">
        <v>43805</v>
      </c>
      <c r="B278" s="140">
        <v>3450.35</v>
      </c>
      <c r="C278" s="140">
        <v>141.94999999999999</v>
      </c>
      <c r="D278" s="140">
        <v>1716.65</v>
      </c>
      <c r="E278" s="141">
        <v>56</v>
      </c>
      <c r="F278">
        <f t="shared" si="17"/>
        <v>-1.7274280831671915E-2</v>
      </c>
      <c r="G278">
        <f t="shared" si="18"/>
        <v>-3.8596491228070971E-3</v>
      </c>
      <c r="H278">
        <f t="shared" si="19"/>
        <v>4.6624122155210652E-4</v>
      </c>
      <c r="I278">
        <f t="shared" si="20"/>
        <v>-9.822866344605477E-2</v>
      </c>
    </row>
    <row r="279" spans="1:9" x14ac:dyDescent="0.25">
      <c r="A279" s="139">
        <v>43808</v>
      </c>
      <c r="B279" s="140">
        <v>3504.2</v>
      </c>
      <c r="C279" s="140">
        <v>142.6</v>
      </c>
      <c r="D279" s="140">
        <v>1726.35</v>
      </c>
      <c r="E279" s="141">
        <v>56.25</v>
      </c>
      <c r="F279">
        <f t="shared" si="17"/>
        <v>1.5607112321938328E-2</v>
      </c>
      <c r="G279">
        <f t="shared" si="18"/>
        <v>4.5790771398380118E-3</v>
      </c>
      <c r="H279">
        <f t="shared" si="19"/>
        <v>5.6505402965076265E-3</v>
      </c>
      <c r="I279">
        <f t="shared" si="20"/>
        <v>4.464285714285714E-3</v>
      </c>
    </row>
    <row r="280" spans="1:9" x14ac:dyDescent="0.25">
      <c r="A280" s="139">
        <v>43809</v>
      </c>
      <c r="B280" s="140">
        <v>3453.65</v>
      </c>
      <c r="C280" s="140">
        <v>140.85</v>
      </c>
      <c r="D280" s="140">
        <v>1713.15</v>
      </c>
      <c r="E280" s="141">
        <v>50.55</v>
      </c>
      <c r="F280">
        <f t="shared" si="17"/>
        <v>-1.4425546487072579E-2</v>
      </c>
      <c r="G280">
        <f t="shared" si="18"/>
        <v>-1.2272089761570827E-2</v>
      </c>
      <c r="H280">
        <f t="shared" si="19"/>
        <v>-7.6461899383090445E-3</v>
      </c>
      <c r="I280">
        <f t="shared" si="20"/>
        <v>-0.10133333333333339</v>
      </c>
    </row>
    <row r="281" spans="1:9" x14ac:dyDescent="0.25">
      <c r="A281" s="139">
        <v>43810</v>
      </c>
      <c r="B281" s="140">
        <v>3443.35</v>
      </c>
      <c r="C281" s="140">
        <v>138.5</v>
      </c>
      <c r="D281" s="140">
        <v>1738.2</v>
      </c>
      <c r="E281" s="141">
        <v>42.8</v>
      </c>
      <c r="F281">
        <f t="shared" si="17"/>
        <v>-2.9823520044011936E-3</v>
      </c>
      <c r="G281">
        <f t="shared" si="18"/>
        <v>-1.6684416045438369E-2</v>
      </c>
      <c r="H281">
        <f t="shared" si="19"/>
        <v>1.4622187199019324E-2</v>
      </c>
      <c r="I281">
        <f t="shared" si="20"/>
        <v>-0.1533135509396637</v>
      </c>
    </row>
    <row r="282" spans="1:9" x14ac:dyDescent="0.25">
      <c r="A282" s="139">
        <v>43811</v>
      </c>
      <c r="B282" s="140">
        <v>3412.8</v>
      </c>
      <c r="C282" s="140">
        <v>144</v>
      </c>
      <c r="D282" s="140">
        <v>1750.65</v>
      </c>
      <c r="E282" s="141">
        <v>45.35</v>
      </c>
      <c r="F282">
        <f t="shared" si="17"/>
        <v>-8.8721739004166671E-3</v>
      </c>
      <c r="G282">
        <f t="shared" si="18"/>
        <v>3.9711191335740074E-2</v>
      </c>
      <c r="H282">
        <f t="shared" si="19"/>
        <v>7.1625819813600534E-3</v>
      </c>
      <c r="I282">
        <f t="shared" si="20"/>
        <v>5.9579439252336552E-2</v>
      </c>
    </row>
    <row r="283" spans="1:9" x14ac:dyDescent="0.25">
      <c r="A283" s="139">
        <v>43812</v>
      </c>
      <c r="B283" s="140">
        <v>3548.45</v>
      </c>
      <c r="C283" s="140">
        <v>149.4</v>
      </c>
      <c r="D283" s="140">
        <v>1743.95</v>
      </c>
      <c r="E283" s="141">
        <v>46.65</v>
      </c>
      <c r="F283">
        <f t="shared" si="17"/>
        <v>3.9747421472104909E-2</v>
      </c>
      <c r="G283">
        <f t="shared" si="18"/>
        <v>3.750000000000004E-2</v>
      </c>
      <c r="H283">
        <f t="shared" si="19"/>
        <v>-3.8271499157456058E-3</v>
      </c>
      <c r="I283">
        <f t="shared" si="20"/>
        <v>2.8665931642778326E-2</v>
      </c>
    </row>
    <row r="284" spans="1:9" x14ac:dyDescent="0.25">
      <c r="A284" s="139">
        <v>43815</v>
      </c>
      <c r="B284" s="140">
        <v>3565</v>
      </c>
      <c r="C284" s="140">
        <v>147.15</v>
      </c>
      <c r="D284" s="140">
        <v>1731.45</v>
      </c>
      <c r="E284" s="141">
        <v>46.8</v>
      </c>
      <c r="F284">
        <f t="shared" si="17"/>
        <v>4.6640082289450841E-3</v>
      </c>
      <c r="G284">
        <f t="shared" si="18"/>
        <v>-1.5060240963855422E-2</v>
      </c>
      <c r="H284">
        <f t="shared" si="19"/>
        <v>-7.1676366868316174E-3</v>
      </c>
      <c r="I284">
        <f t="shared" si="20"/>
        <v>3.2154340836012558E-3</v>
      </c>
    </row>
    <row r="285" spans="1:9" x14ac:dyDescent="0.25">
      <c r="A285" s="139">
        <v>43816</v>
      </c>
      <c r="B285" s="140">
        <v>3548.45</v>
      </c>
      <c r="C285" s="140">
        <v>152.35</v>
      </c>
      <c r="D285" s="140">
        <v>1745.4</v>
      </c>
      <c r="E285" s="141">
        <v>47.6</v>
      </c>
      <c r="F285">
        <f t="shared" si="17"/>
        <v>-4.6423562412342724E-3</v>
      </c>
      <c r="G285">
        <f t="shared" si="18"/>
        <v>3.5338090383961865E-2</v>
      </c>
      <c r="H285">
        <f t="shared" si="19"/>
        <v>8.0568309798146331E-3</v>
      </c>
      <c r="I285">
        <f t="shared" si="20"/>
        <v>1.7094017094017186E-2</v>
      </c>
    </row>
    <row r="286" spans="1:9" x14ac:dyDescent="0.25">
      <c r="A286" s="139">
        <v>43817</v>
      </c>
      <c r="B286" s="140">
        <v>3622.3</v>
      </c>
      <c r="C286" s="140">
        <v>152.80000000000001</v>
      </c>
      <c r="D286" s="140">
        <v>1778.45</v>
      </c>
      <c r="E286" s="141">
        <v>46.75</v>
      </c>
      <c r="F286">
        <f t="shared" si="17"/>
        <v>2.0811903788978389E-2</v>
      </c>
      <c r="G286">
        <f t="shared" si="18"/>
        <v>2.953724975385737E-3</v>
      </c>
      <c r="H286">
        <f t="shared" si="19"/>
        <v>1.8935487567319786E-2</v>
      </c>
      <c r="I286">
        <f t="shared" si="20"/>
        <v>-1.7857142857142887E-2</v>
      </c>
    </row>
    <row r="287" spans="1:9" x14ac:dyDescent="0.25">
      <c r="A287" s="139">
        <v>43818</v>
      </c>
      <c r="B287" s="140">
        <v>3657.5</v>
      </c>
      <c r="C287" s="140">
        <v>149.35</v>
      </c>
      <c r="D287" s="140">
        <v>1803.1</v>
      </c>
      <c r="E287" s="141">
        <v>49.9</v>
      </c>
      <c r="F287">
        <f t="shared" si="17"/>
        <v>9.7175827512905651E-3</v>
      </c>
      <c r="G287">
        <f t="shared" si="18"/>
        <v>-2.2578534031413723E-2</v>
      </c>
      <c r="H287">
        <f t="shared" si="19"/>
        <v>1.3860384042283935E-2</v>
      </c>
      <c r="I287">
        <f t="shared" si="20"/>
        <v>6.7379679144385002E-2</v>
      </c>
    </row>
    <row r="288" spans="1:9" x14ac:dyDescent="0.25">
      <c r="A288" s="139">
        <v>43819</v>
      </c>
      <c r="B288" s="140">
        <v>3711.75</v>
      </c>
      <c r="C288" s="140">
        <v>144.25</v>
      </c>
      <c r="D288" s="140">
        <v>1799.25</v>
      </c>
      <c r="E288" s="141">
        <v>51.4</v>
      </c>
      <c r="F288">
        <f t="shared" si="17"/>
        <v>1.4832535885167464E-2</v>
      </c>
      <c r="G288">
        <f t="shared" si="18"/>
        <v>-3.4147974556411081E-2</v>
      </c>
      <c r="H288">
        <f t="shared" si="19"/>
        <v>-2.135211580056519E-3</v>
      </c>
      <c r="I288">
        <f t="shared" si="20"/>
        <v>3.0060120240480964E-2</v>
      </c>
    </row>
    <row r="289" spans="1:9" x14ac:dyDescent="0.25">
      <c r="A289" s="139">
        <v>43822</v>
      </c>
      <c r="B289" s="140">
        <v>3740.55</v>
      </c>
      <c r="C289" s="140">
        <v>147.75</v>
      </c>
      <c r="D289" s="140">
        <v>1807.55</v>
      </c>
      <c r="E289" s="141">
        <v>49.65</v>
      </c>
      <c r="F289">
        <f t="shared" si="17"/>
        <v>7.7591432612649511E-3</v>
      </c>
      <c r="G289">
        <f t="shared" si="18"/>
        <v>2.4263431542461005E-2</v>
      </c>
      <c r="H289">
        <f t="shared" si="19"/>
        <v>4.6130332082812029E-3</v>
      </c>
      <c r="I289">
        <f t="shared" si="20"/>
        <v>-3.4046692607003895E-2</v>
      </c>
    </row>
    <row r="290" spans="1:9" x14ac:dyDescent="0.25">
      <c r="A290" s="139">
        <v>43823</v>
      </c>
      <c r="B290" s="140">
        <v>3747.45</v>
      </c>
      <c r="C290" s="140">
        <v>148.05000000000001</v>
      </c>
      <c r="D290" s="140">
        <v>1803.45</v>
      </c>
      <c r="E290" s="141">
        <v>51.2</v>
      </c>
      <c r="F290">
        <f t="shared" si="17"/>
        <v>1.8446485142558275E-3</v>
      </c>
      <c r="G290">
        <f t="shared" si="18"/>
        <v>2.030456852791955E-3</v>
      </c>
      <c r="H290">
        <f t="shared" si="19"/>
        <v>-2.2682636718209231E-3</v>
      </c>
      <c r="I290">
        <f t="shared" si="20"/>
        <v>3.1218529707955776E-2</v>
      </c>
    </row>
    <row r="291" spans="1:9" x14ac:dyDescent="0.25">
      <c r="A291" s="139">
        <v>43825</v>
      </c>
      <c r="B291" s="140">
        <v>3912.4</v>
      </c>
      <c r="C291" s="140">
        <v>150.69999999999999</v>
      </c>
      <c r="D291" s="140">
        <v>1809.6</v>
      </c>
      <c r="E291" s="141">
        <v>48.65</v>
      </c>
      <c r="F291">
        <f t="shared" si="17"/>
        <v>4.401659795327497E-2</v>
      </c>
      <c r="G291">
        <f t="shared" si="18"/>
        <v>1.7899358324890084E-2</v>
      </c>
      <c r="H291">
        <f t="shared" si="19"/>
        <v>3.4101305830490799E-3</v>
      </c>
      <c r="I291">
        <f t="shared" si="20"/>
        <v>-4.9804687500000083E-2</v>
      </c>
    </row>
    <row r="292" spans="1:9" x14ac:dyDescent="0.25">
      <c r="A292" s="139">
        <v>43826</v>
      </c>
      <c r="B292" s="140">
        <v>3906.5</v>
      </c>
      <c r="C292" s="140">
        <v>151.75</v>
      </c>
      <c r="D292" s="140">
        <v>1812.25</v>
      </c>
      <c r="E292" s="141">
        <v>48</v>
      </c>
      <c r="F292">
        <f t="shared" si="17"/>
        <v>-1.5080257642368089E-3</v>
      </c>
      <c r="G292">
        <f t="shared" si="18"/>
        <v>6.9674850696749262E-3</v>
      </c>
      <c r="H292">
        <f t="shared" si="19"/>
        <v>1.4644120247569027E-3</v>
      </c>
      <c r="I292">
        <f t="shared" si="20"/>
        <v>-1.3360739979444987E-2</v>
      </c>
    </row>
    <row r="293" spans="1:9" x14ac:dyDescent="0.25">
      <c r="A293" s="139">
        <v>43829</v>
      </c>
      <c r="B293" s="140">
        <v>3870.65</v>
      </c>
      <c r="C293" s="140">
        <v>154.5</v>
      </c>
      <c r="D293" s="140">
        <v>1802.3</v>
      </c>
      <c r="E293" s="141">
        <v>47.35</v>
      </c>
      <c r="F293">
        <f t="shared" si="17"/>
        <v>-9.177012671189021E-3</v>
      </c>
      <c r="G293">
        <f t="shared" si="18"/>
        <v>1.8121911037891267E-2</v>
      </c>
      <c r="H293">
        <f t="shared" si="19"/>
        <v>-5.4904124706856372E-3</v>
      </c>
      <c r="I293">
        <f t="shared" si="20"/>
        <v>-1.3541666666666638E-2</v>
      </c>
    </row>
    <row r="294" spans="1:9" x14ac:dyDescent="0.25">
      <c r="A294" s="139">
        <v>43830</v>
      </c>
      <c r="B294" s="140">
        <v>3799.3</v>
      </c>
      <c r="C294" s="140">
        <v>152.44999999999999</v>
      </c>
      <c r="D294" s="140">
        <v>1784.95</v>
      </c>
      <c r="E294" s="141">
        <v>46.95</v>
      </c>
      <c r="F294">
        <f t="shared" si="17"/>
        <v>-1.8433596424373144E-2</v>
      </c>
      <c r="G294">
        <f t="shared" si="18"/>
        <v>-1.3268608414239555E-2</v>
      </c>
      <c r="H294">
        <f t="shared" si="19"/>
        <v>-9.6265882483492805E-3</v>
      </c>
      <c r="I294">
        <f t="shared" si="20"/>
        <v>-8.4477296726504451E-3</v>
      </c>
    </row>
    <row r="295" spans="1:9" x14ac:dyDescent="0.25">
      <c r="A295" s="139">
        <v>43831</v>
      </c>
      <c r="B295" s="140">
        <v>3786.55</v>
      </c>
      <c r="C295" s="140">
        <v>154.6</v>
      </c>
      <c r="D295" s="140">
        <v>1793.2</v>
      </c>
      <c r="E295" s="141">
        <v>46.65</v>
      </c>
      <c r="F295">
        <f t="shared" si="17"/>
        <v>-3.3558813465638404E-3</v>
      </c>
      <c r="G295">
        <f t="shared" si="18"/>
        <v>1.4102984585109911E-2</v>
      </c>
      <c r="H295">
        <f t="shared" si="19"/>
        <v>4.6219782066724557E-3</v>
      </c>
      <c r="I295">
        <f t="shared" si="20"/>
        <v>-6.3897763578275668E-3</v>
      </c>
    </row>
    <row r="296" spans="1:9" x14ac:dyDescent="0.25">
      <c r="A296" s="139">
        <v>43832</v>
      </c>
      <c r="B296" s="140">
        <v>3905.7</v>
      </c>
      <c r="C296" s="140">
        <v>159.44999999999999</v>
      </c>
      <c r="D296" s="140">
        <v>1790.65</v>
      </c>
      <c r="E296" s="141">
        <v>47.35</v>
      </c>
      <c r="F296">
        <f t="shared" si="17"/>
        <v>3.1466638496784577E-2</v>
      </c>
      <c r="G296">
        <f t="shared" si="18"/>
        <v>3.1371280724450161E-2</v>
      </c>
      <c r="H296">
        <f t="shared" si="19"/>
        <v>-1.4220388132946433E-3</v>
      </c>
      <c r="I296">
        <f t="shared" si="20"/>
        <v>1.5005359056806063E-2</v>
      </c>
    </row>
    <row r="297" spans="1:9" x14ac:dyDescent="0.25">
      <c r="A297" s="139">
        <v>43833</v>
      </c>
      <c r="B297" s="140">
        <v>3952.3</v>
      </c>
      <c r="C297" s="140">
        <v>157.75</v>
      </c>
      <c r="D297" s="140">
        <v>1751.4</v>
      </c>
      <c r="E297" s="141">
        <v>47.1</v>
      </c>
      <c r="F297">
        <f t="shared" si="17"/>
        <v>1.1931279924213422E-2</v>
      </c>
      <c r="G297">
        <f t="shared" si="18"/>
        <v>-1.066164941988077E-2</v>
      </c>
      <c r="H297">
        <f t="shared" si="19"/>
        <v>-2.1919414737665094E-2</v>
      </c>
      <c r="I297">
        <f t="shared" si="20"/>
        <v>-5.279831045406547E-3</v>
      </c>
    </row>
    <row r="298" spans="1:9" x14ac:dyDescent="0.25">
      <c r="A298" s="139">
        <v>43836</v>
      </c>
      <c r="B298" s="140">
        <v>3959.25</v>
      </c>
      <c r="C298" s="140">
        <v>150.55000000000001</v>
      </c>
      <c r="D298" s="140">
        <v>1707.15</v>
      </c>
      <c r="E298" s="141">
        <v>45.15</v>
      </c>
      <c r="F298">
        <f t="shared" si="17"/>
        <v>1.7584697517900507E-3</v>
      </c>
      <c r="G298">
        <f t="shared" si="18"/>
        <v>-4.5641838351822429E-2</v>
      </c>
      <c r="H298">
        <f t="shared" si="19"/>
        <v>-2.5265501884206919E-2</v>
      </c>
      <c r="I298">
        <f t="shared" si="20"/>
        <v>-4.1401273885350379E-2</v>
      </c>
    </row>
    <row r="299" spans="1:9" x14ac:dyDescent="0.25">
      <c r="A299" s="139">
        <v>43837</v>
      </c>
      <c r="B299" s="140">
        <v>4235.05</v>
      </c>
      <c r="C299" s="140">
        <v>156</v>
      </c>
      <c r="D299" s="140">
        <v>1724.4</v>
      </c>
      <c r="E299" s="141">
        <v>45.05</v>
      </c>
      <c r="F299">
        <f t="shared" si="17"/>
        <v>6.9659657763465346E-2</v>
      </c>
      <c r="G299">
        <f t="shared" si="18"/>
        <v>3.6200597808037117E-2</v>
      </c>
      <c r="H299">
        <f t="shared" si="19"/>
        <v>1.0104560231965556E-2</v>
      </c>
      <c r="I299">
        <f t="shared" si="20"/>
        <v>-2.2148394241417813E-3</v>
      </c>
    </row>
    <row r="300" spans="1:9" x14ac:dyDescent="0.25">
      <c r="A300" s="139">
        <v>43838</v>
      </c>
      <c r="B300" s="140">
        <v>4142.55</v>
      </c>
      <c r="C300" s="140">
        <v>157.35</v>
      </c>
      <c r="D300" s="140">
        <v>1728.8</v>
      </c>
      <c r="E300" s="141">
        <v>46.05</v>
      </c>
      <c r="F300">
        <f t="shared" si="17"/>
        <v>-2.1841536699684774E-2</v>
      </c>
      <c r="G300">
        <f t="shared" si="18"/>
        <v>8.6538461538461179E-3</v>
      </c>
      <c r="H300">
        <f t="shared" si="19"/>
        <v>2.5516121549523682E-3</v>
      </c>
      <c r="I300">
        <f t="shared" si="20"/>
        <v>2.2197558268590458E-2</v>
      </c>
    </row>
    <row r="301" spans="1:9" x14ac:dyDescent="0.25">
      <c r="A301" s="139">
        <v>43839</v>
      </c>
      <c r="B301" s="140">
        <v>4163.1000000000004</v>
      </c>
      <c r="C301" s="140">
        <v>158.15</v>
      </c>
      <c r="D301" s="140">
        <v>1772.55</v>
      </c>
      <c r="E301" s="141">
        <v>47.3</v>
      </c>
      <c r="F301">
        <f t="shared" si="17"/>
        <v>4.9607126045552088E-3</v>
      </c>
      <c r="G301">
        <f t="shared" si="18"/>
        <v>5.0842071814427162E-3</v>
      </c>
      <c r="H301">
        <f t="shared" si="19"/>
        <v>2.5306571031929664E-2</v>
      </c>
      <c r="I301">
        <f t="shared" si="20"/>
        <v>2.714440825190011E-2</v>
      </c>
    </row>
    <row r="302" spans="1:9" x14ac:dyDescent="0.25">
      <c r="A302" s="139">
        <v>43840</v>
      </c>
      <c r="B302" s="140">
        <v>4188.8999999999996</v>
      </c>
      <c r="C302" s="140">
        <v>159.94999999999999</v>
      </c>
      <c r="D302" s="140">
        <v>1792.55</v>
      </c>
      <c r="E302" s="141">
        <v>44.75</v>
      </c>
      <c r="F302">
        <f t="shared" si="17"/>
        <v>6.1973048929882231E-3</v>
      </c>
      <c r="G302">
        <f t="shared" si="18"/>
        <v>1.1381599747075453E-2</v>
      </c>
      <c r="H302">
        <f t="shared" si="19"/>
        <v>1.1283179600011283E-2</v>
      </c>
      <c r="I302">
        <f t="shared" si="20"/>
        <v>-5.3911205073995716E-2</v>
      </c>
    </row>
    <row r="303" spans="1:9" x14ac:dyDescent="0.25">
      <c r="A303" s="139">
        <v>43843</v>
      </c>
      <c r="B303" s="140">
        <v>4190.1000000000004</v>
      </c>
      <c r="C303" s="140">
        <v>160.44999999999999</v>
      </c>
      <c r="D303" s="140">
        <v>1804.9</v>
      </c>
      <c r="E303" s="141">
        <v>42.1</v>
      </c>
      <c r="F303">
        <f t="shared" si="17"/>
        <v>2.8647138867023028E-4</v>
      </c>
      <c r="G303">
        <f t="shared" si="18"/>
        <v>3.1259768677711786E-3</v>
      </c>
      <c r="H303">
        <f t="shared" si="19"/>
        <v>6.8896265097208647E-3</v>
      </c>
      <c r="I303">
        <f t="shared" si="20"/>
        <v>-5.9217877094972032E-2</v>
      </c>
    </row>
    <row r="304" spans="1:9" x14ac:dyDescent="0.25">
      <c r="A304" s="139">
        <v>43844</v>
      </c>
      <c r="B304" s="140">
        <v>4145.6000000000004</v>
      </c>
      <c r="C304" s="140">
        <v>165</v>
      </c>
      <c r="D304" s="140">
        <v>1819.15</v>
      </c>
      <c r="E304" s="141">
        <v>38.549999999999997</v>
      </c>
      <c r="F304">
        <f t="shared" si="17"/>
        <v>-1.0620271592563423E-2</v>
      </c>
      <c r="G304">
        <f t="shared" si="18"/>
        <v>2.8357743845434789E-2</v>
      </c>
      <c r="H304">
        <f t="shared" si="19"/>
        <v>7.8951742478807693E-3</v>
      </c>
      <c r="I304">
        <f t="shared" si="20"/>
        <v>-8.4323040380047606E-2</v>
      </c>
    </row>
    <row r="305" spans="1:9" x14ac:dyDescent="0.25">
      <c r="A305" s="139">
        <v>43845</v>
      </c>
      <c r="B305" s="140">
        <v>4137.3999999999996</v>
      </c>
      <c r="C305" s="140">
        <v>164.65</v>
      </c>
      <c r="D305" s="140">
        <v>1842.25</v>
      </c>
      <c r="E305" s="141">
        <v>39.75</v>
      </c>
      <c r="F305">
        <f t="shared" si="17"/>
        <v>-1.9780007719029154E-3</v>
      </c>
      <c r="G305">
        <f t="shared" si="18"/>
        <v>-2.1212121212120867E-3</v>
      </c>
      <c r="H305">
        <f t="shared" si="19"/>
        <v>1.2698238188164752E-2</v>
      </c>
      <c r="I305">
        <f t="shared" si="20"/>
        <v>3.1128404669260777E-2</v>
      </c>
    </row>
    <row r="306" spans="1:9" x14ac:dyDescent="0.25">
      <c r="A306" s="139">
        <v>43846</v>
      </c>
      <c r="B306" s="140">
        <v>4149.55</v>
      </c>
      <c r="C306" s="140">
        <v>162.25</v>
      </c>
      <c r="D306" s="140">
        <v>1835.15</v>
      </c>
      <c r="E306" s="141">
        <v>39.950000000000003</v>
      </c>
      <c r="F306">
        <f t="shared" si="17"/>
        <v>2.9366268671147454E-3</v>
      </c>
      <c r="G306">
        <f t="shared" si="18"/>
        <v>-1.4576374126935958E-2</v>
      </c>
      <c r="H306">
        <f t="shared" si="19"/>
        <v>-3.8539829013434163E-3</v>
      </c>
      <c r="I306">
        <f t="shared" si="20"/>
        <v>5.0314465408805749E-3</v>
      </c>
    </row>
    <row r="307" spans="1:9" x14ac:dyDescent="0.25">
      <c r="A307" s="139">
        <v>43847</v>
      </c>
      <c r="B307" s="140">
        <v>4165.6499999999996</v>
      </c>
      <c r="C307" s="140">
        <v>159.5</v>
      </c>
      <c r="D307" s="140">
        <v>1830.05</v>
      </c>
      <c r="E307" s="141">
        <v>39.25</v>
      </c>
      <c r="F307">
        <f t="shared" si="17"/>
        <v>3.8799387885432041E-3</v>
      </c>
      <c r="G307">
        <f t="shared" si="18"/>
        <v>-1.6949152542372881E-2</v>
      </c>
      <c r="H307">
        <f t="shared" si="19"/>
        <v>-2.7790643816582492E-3</v>
      </c>
      <c r="I307">
        <f t="shared" si="20"/>
        <v>-1.7521902377972534E-2</v>
      </c>
    </row>
    <row r="308" spans="1:9" x14ac:dyDescent="0.25">
      <c r="A308" s="139">
        <v>43850</v>
      </c>
      <c r="B308" s="140">
        <v>4204.95</v>
      </c>
      <c r="C308" s="140">
        <v>156.9</v>
      </c>
      <c r="D308" s="140">
        <v>1848.75</v>
      </c>
      <c r="E308" s="141">
        <v>38.65</v>
      </c>
      <c r="F308">
        <f t="shared" si="17"/>
        <v>9.4343019696806474E-3</v>
      </c>
      <c r="G308">
        <f t="shared" si="18"/>
        <v>-1.6300940438871439E-2</v>
      </c>
      <c r="H308">
        <f t="shared" si="19"/>
        <v>1.0218300046446844E-2</v>
      </c>
      <c r="I308">
        <f t="shared" si="20"/>
        <v>-1.5286624203821693E-2</v>
      </c>
    </row>
    <row r="309" spans="1:9" x14ac:dyDescent="0.25">
      <c r="A309" s="139">
        <v>43851</v>
      </c>
      <c r="B309" s="140">
        <v>4158.8999999999996</v>
      </c>
      <c r="C309" s="140">
        <v>153.9</v>
      </c>
      <c r="D309" s="140">
        <v>1810.75</v>
      </c>
      <c r="E309" s="141">
        <v>38.35</v>
      </c>
      <c r="F309">
        <f t="shared" si="17"/>
        <v>-1.0951378732208512E-2</v>
      </c>
      <c r="G309">
        <f t="shared" si="18"/>
        <v>-1.9120458891013385E-2</v>
      </c>
      <c r="H309">
        <f t="shared" si="19"/>
        <v>-2.0554428668018931E-2</v>
      </c>
      <c r="I309">
        <f t="shared" si="20"/>
        <v>-7.7619663648123456E-3</v>
      </c>
    </row>
    <row r="310" spans="1:9" x14ac:dyDescent="0.25">
      <c r="A310" s="139">
        <v>43852</v>
      </c>
      <c r="B310" s="140">
        <v>4161.6499999999996</v>
      </c>
      <c r="C310" s="140">
        <v>153.19999999999999</v>
      </c>
      <c r="D310" s="140">
        <v>1779.25</v>
      </c>
      <c r="E310" s="141">
        <v>38.450000000000003</v>
      </c>
      <c r="F310">
        <f t="shared" si="17"/>
        <v>6.6123253744980654E-4</v>
      </c>
      <c r="G310">
        <f t="shared" si="18"/>
        <v>-4.5484080571800978E-3</v>
      </c>
      <c r="H310">
        <f t="shared" si="19"/>
        <v>-1.7396106585668921E-2</v>
      </c>
      <c r="I310">
        <f t="shared" si="20"/>
        <v>2.6075619295958647E-3</v>
      </c>
    </row>
    <row r="311" spans="1:9" x14ac:dyDescent="0.25">
      <c r="A311" s="139">
        <v>43853</v>
      </c>
      <c r="B311" s="140">
        <v>4189.5</v>
      </c>
      <c r="C311" s="140">
        <v>154.15</v>
      </c>
      <c r="D311" s="140">
        <v>1776.1</v>
      </c>
      <c r="E311" s="141">
        <v>40.950000000000003</v>
      </c>
      <c r="F311">
        <f t="shared" si="17"/>
        <v>6.6920572369133314E-3</v>
      </c>
      <c r="G311">
        <f t="shared" si="18"/>
        <v>6.2010443864230881E-3</v>
      </c>
      <c r="H311">
        <f t="shared" si="19"/>
        <v>-1.7704088801461801E-3</v>
      </c>
      <c r="I311">
        <f t="shared" si="20"/>
        <v>6.5019505851755519E-2</v>
      </c>
    </row>
    <row r="312" spans="1:9" x14ac:dyDescent="0.25">
      <c r="A312" s="139">
        <v>43854</v>
      </c>
      <c r="B312" s="140">
        <v>4220.7</v>
      </c>
      <c r="C312" s="140">
        <v>155.9</v>
      </c>
      <c r="D312" s="140">
        <v>1786.8</v>
      </c>
      <c r="E312" s="141">
        <v>42.8</v>
      </c>
      <c r="F312">
        <f t="shared" si="17"/>
        <v>7.4471894020765768E-3</v>
      </c>
      <c r="G312">
        <f t="shared" si="18"/>
        <v>1.1352578657152125E-2</v>
      </c>
      <c r="H312">
        <f t="shared" si="19"/>
        <v>6.0244355610607767E-3</v>
      </c>
      <c r="I312">
        <f t="shared" si="20"/>
        <v>4.5177045177045037E-2</v>
      </c>
    </row>
    <row r="313" spans="1:9" x14ac:dyDescent="0.25">
      <c r="A313" s="139">
        <v>43857</v>
      </c>
      <c r="B313" s="140">
        <v>4319.3</v>
      </c>
      <c r="C313" s="140">
        <v>148.85</v>
      </c>
      <c r="D313" s="140">
        <v>1788.35</v>
      </c>
      <c r="E313" s="141">
        <v>42.4</v>
      </c>
      <c r="F313">
        <f t="shared" si="17"/>
        <v>2.3361053853626263E-2</v>
      </c>
      <c r="G313">
        <f t="shared" si="18"/>
        <v>-4.522129570237339E-2</v>
      </c>
      <c r="H313">
        <f t="shared" si="19"/>
        <v>8.6747257667335717E-4</v>
      </c>
      <c r="I313">
        <f t="shared" si="20"/>
        <v>-9.3457943925233326E-3</v>
      </c>
    </row>
    <row r="314" spans="1:9" x14ac:dyDescent="0.25">
      <c r="A314" s="139">
        <v>43858</v>
      </c>
      <c r="B314" s="140">
        <v>4424.25</v>
      </c>
      <c r="C314" s="140">
        <v>142.19999999999999</v>
      </c>
      <c r="D314" s="140">
        <v>1779.1</v>
      </c>
      <c r="E314" s="141">
        <v>41.65</v>
      </c>
      <c r="F314">
        <f t="shared" si="17"/>
        <v>2.4297918644224717E-2</v>
      </c>
      <c r="G314">
        <f t="shared" si="18"/>
        <v>-4.4675848169297989E-2</v>
      </c>
      <c r="H314">
        <f t="shared" si="19"/>
        <v>-5.1723655883915342E-3</v>
      </c>
      <c r="I314">
        <f t="shared" si="20"/>
        <v>-1.7688679245283018E-2</v>
      </c>
    </row>
    <row r="315" spans="1:9" x14ac:dyDescent="0.25">
      <c r="A315" s="139">
        <v>43859</v>
      </c>
      <c r="B315" s="140">
        <v>4324.3</v>
      </c>
      <c r="C315" s="140">
        <v>142.19999999999999</v>
      </c>
      <c r="D315" s="140">
        <v>1796.95</v>
      </c>
      <c r="E315" s="141">
        <v>41.2</v>
      </c>
      <c r="F315">
        <f t="shared" si="17"/>
        <v>-2.2591399672260794E-2</v>
      </c>
      <c r="G315">
        <f t="shared" si="18"/>
        <v>0</v>
      </c>
      <c r="H315">
        <f t="shared" si="19"/>
        <v>1.003316283514144E-2</v>
      </c>
      <c r="I315">
        <f t="shared" si="20"/>
        <v>-1.0804321728691375E-2</v>
      </c>
    </row>
    <row r="316" spans="1:9" x14ac:dyDescent="0.25">
      <c r="A316" s="139">
        <v>43860</v>
      </c>
      <c r="B316" s="140">
        <v>4499.3999999999996</v>
      </c>
      <c r="C316" s="140">
        <v>140.94999999999999</v>
      </c>
      <c r="D316" s="140">
        <v>1805</v>
      </c>
      <c r="E316" s="141">
        <v>39.049999999999997</v>
      </c>
      <c r="F316">
        <f t="shared" si="17"/>
        <v>4.0492102768077944E-2</v>
      </c>
      <c r="G316">
        <f t="shared" si="18"/>
        <v>-8.7904360056258804E-3</v>
      </c>
      <c r="H316">
        <f t="shared" si="19"/>
        <v>4.4798130165001554E-3</v>
      </c>
      <c r="I316">
        <f t="shared" si="20"/>
        <v>-5.2184466019417612E-2</v>
      </c>
    </row>
    <row r="317" spans="1:9" x14ac:dyDescent="0.25">
      <c r="A317" s="139">
        <v>43861</v>
      </c>
      <c r="B317" s="140">
        <v>4654.25</v>
      </c>
      <c r="C317" s="140">
        <v>137.9</v>
      </c>
      <c r="D317" s="140">
        <v>1795.65</v>
      </c>
      <c r="E317" s="141">
        <v>39.25</v>
      </c>
      <c r="F317">
        <f t="shared" si="17"/>
        <v>3.441569987109401E-2</v>
      </c>
      <c r="G317">
        <f t="shared" si="18"/>
        <v>-2.1638879035118717E-2</v>
      </c>
      <c r="H317">
        <f t="shared" si="19"/>
        <v>-5.180055401661999E-3</v>
      </c>
      <c r="I317">
        <f t="shared" si="20"/>
        <v>5.1216389244558994E-3</v>
      </c>
    </row>
    <row r="318" spans="1:9" x14ac:dyDescent="0.25">
      <c r="A318" s="139">
        <v>43862</v>
      </c>
      <c r="B318" s="140">
        <v>4446.6499999999996</v>
      </c>
      <c r="C318" s="140">
        <v>134.9</v>
      </c>
      <c r="D318" s="140">
        <v>1755.35</v>
      </c>
      <c r="E318" s="141">
        <v>37.9</v>
      </c>
      <c r="F318">
        <f t="shared" si="17"/>
        <v>-4.4604393833593034E-2</v>
      </c>
      <c r="G318">
        <f t="shared" si="18"/>
        <v>-2.175489485134155E-2</v>
      </c>
      <c r="H318">
        <f t="shared" si="19"/>
        <v>-2.2443126444463109E-2</v>
      </c>
      <c r="I318">
        <f t="shared" si="20"/>
        <v>-3.439490445859876E-2</v>
      </c>
    </row>
    <row r="319" spans="1:9" x14ac:dyDescent="0.25">
      <c r="A319" s="139">
        <v>43864</v>
      </c>
      <c r="B319" s="140">
        <v>4746.55</v>
      </c>
      <c r="C319" s="140">
        <v>134.15</v>
      </c>
      <c r="D319" s="140">
        <v>1867.65</v>
      </c>
      <c r="E319" s="141">
        <v>36</v>
      </c>
      <c r="F319">
        <f t="shared" si="17"/>
        <v>6.7444030899666163E-2</v>
      </c>
      <c r="G319">
        <f t="shared" si="18"/>
        <v>-5.5596738324684945E-3</v>
      </c>
      <c r="H319">
        <f t="shared" si="19"/>
        <v>6.397584527302258E-2</v>
      </c>
      <c r="I319">
        <f t="shared" si="20"/>
        <v>-5.0131926121371996E-2</v>
      </c>
    </row>
    <row r="320" spans="1:9" x14ac:dyDescent="0.25">
      <c r="A320" s="139">
        <v>43865</v>
      </c>
      <c r="B320" s="140">
        <v>4763.55</v>
      </c>
      <c r="C320" s="140">
        <v>138.55000000000001</v>
      </c>
      <c r="D320" s="140">
        <v>1891.3</v>
      </c>
      <c r="E320" s="141">
        <v>34.950000000000003</v>
      </c>
      <c r="F320">
        <f t="shared" si="17"/>
        <v>3.5815487037953882E-3</v>
      </c>
      <c r="G320">
        <f t="shared" si="18"/>
        <v>3.2799105478941527E-2</v>
      </c>
      <c r="H320">
        <f t="shared" si="19"/>
        <v>1.2662972184295698E-2</v>
      </c>
      <c r="I320">
        <f t="shared" si="20"/>
        <v>-2.9166666666666587E-2</v>
      </c>
    </row>
    <row r="321" spans="1:9" x14ac:dyDescent="0.25">
      <c r="A321" s="139">
        <v>43866</v>
      </c>
      <c r="B321" s="140">
        <v>4655.95</v>
      </c>
      <c r="C321" s="140">
        <v>143.1</v>
      </c>
      <c r="D321" s="140">
        <v>1873.5</v>
      </c>
      <c r="E321" s="141">
        <v>37.6</v>
      </c>
      <c r="F321">
        <f t="shared" si="17"/>
        <v>-2.2588195778358654E-2</v>
      </c>
      <c r="G321">
        <f t="shared" si="18"/>
        <v>3.2840129916997349E-2</v>
      </c>
      <c r="H321">
        <f t="shared" si="19"/>
        <v>-9.411515888542249E-3</v>
      </c>
      <c r="I321">
        <f t="shared" si="20"/>
        <v>7.5822603719599382E-2</v>
      </c>
    </row>
    <row r="322" spans="1:9" x14ac:dyDescent="0.25">
      <c r="A322" s="139">
        <v>43867</v>
      </c>
      <c r="B322" s="140">
        <v>4664.45</v>
      </c>
      <c r="C322" s="140">
        <v>143.85</v>
      </c>
      <c r="D322" s="140">
        <v>1856.8</v>
      </c>
      <c r="E322" s="141">
        <v>38.549999999999997</v>
      </c>
      <c r="F322">
        <f t="shared" si="17"/>
        <v>1.8256209796067399E-3</v>
      </c>
      <c r="G322">
        <f t="shared" si="18"/>
        <v>5.2410901467505244E-3</v>
      </c>
      <c r="H322">
        <f t="shared" si="19"/>
        <v>-8.9137977048305561E-3</v>
      </c>
      <c r="I322">
        <f t="shared" si="20"/>
        <v>2.5265957446808398E-2</v>
      </c>
    </row>
    <row r="323" spans="1:9" x14ac:dyDescent="0.25">
      <c r="A323" s="139">
        <v>43868</v>
      </c>
      <c r="B323" s="140">
        <v>4597.3500000000004</v>
      </c>
      <c r="C323" s="140">
        <v>144.6</v>
      </c>
      <c r="D323" s="140">
        <v>1858.7</v>
      </c>
      <c r="E323" s="141">
        <v>38.700000000000003</v>
      </c>
      <c r="F323">
        <f t="shared" si="17"/>
        <v>-1.4385404495706773E-2</v>
      </c>
      <c r="G323">
        <f t="shared" si="18"/>
        <v>5.2137643378519297E-3</v>
      </c>
      <c r="H323">
        <f t="shared" si="19"/>
        <v>1.023265833692423E-3</v>
      </c>
      <c r="I323">
        <f t="shared" si="20"/>
        <v>3.8910505836577355E-3</v>
      </c>
    </row>
    <row r="324" spans="1:9" x14ac:dyDescent="0.25">
      <c r="A324" s="139">
        <v>43871</v>
      </c>
      <c r="B324" s="140">
        <v>4613.7</v>
      </c>
      <c r="C324" s="140">
        <v>140.30000000000001</v>
      </c>
      <c r="D324" s="140">
        <v>1869.5</v>
      </c>
      <c r="E324" s="141">
        <v>37.549999999999997</v>
      </c>
      <c r="F324">
        <f t="shared" ref="F324:F387" si="21">(B324-B323)/B323</f>
        <v>3.5563966197917178E-3</v>
      </c>
      <c r="G324">
        <f t="shared" ref="G324:G387" si="22">(C324-C323)/C323</f>
        <v>-2.9737206085753688E-2</v>
      </c>
      <c r="H324">
        <f t="shared" ref="H324:H387" si="23">(D324-D323)/D323</f>
        <v>5.8105127239468203E-3</v>
      </c>
      <c r="I324">
        <f t="shared" ref="I324:I387" si="24">(E324-E323)/E323</f>
        <v>-2.9715762273901953E-2</v>
      </c>
    </row>
    <row r="325" spans="1:9" x14ac:dyDescent="0.25">
      <c r="A325" s="139">
        <v>43872</v>
      </c>
      <c r="B325" s="140">
        <v>4619.1499999999996</v>
      </c>
      <c r="C325" s="140">
        <v>140.75</v>
      </c>
      <c r="D325" s="140">
        <v>1878.1</v>
      </c>
      <c r="E325" s="141">
        <v>36.85</v>
      </c>
      <c r="F325">
        <f t="shared" si="21"/>
        <v>1.1812644948739229E-3</v>
      </c>
      <c r="G325">
        <f t="shared" si="22"/>
        <v>3.207412687098992E-3</v>
      </c>
      <c r="H325">
        <f t="shared" si="23"/>
        <v>4.6001604707140457E-3</v>
      </c>
      <c r="I325">
        <f t="shared" si="24"/>
        <v>-1.8641810918774853E-2</v>
      </c>
    </row>
    <row r="326" spans="1:9" x14ac:dyDescent="0.25">
      <c r="A326" s="139">
        <v>43873</v>
      </c>
      <c r="B326" s="140">
        <v>4619.8</v>
      </c>
      <c r="C326" s="140">
        <v>141.55000000000001</v>
      </c>
      <c r="D326" s="140">
        <v>1893.7</v>
      </c>
      <c r="E326" s="141">
        <v>35.200000000000003</v>
      </c>
      <c r="F326">
        <f t="shared" si="21"/>
        <v>1.4071853046568E-4</v>
      </c>
      <c r="G326">
        <f t="shared" si="22"/>
        <v>5.6838365896981265E-3</v>
      </c>
      <c r="H326">
        <f t="shared" si="23"/>
        <v>8.3062669719397991E-3</v>
      </c>
      <c r="I326">
        <f t="shared" si="24"/>
        <v>-4.4776119402985037E-2</v>
      </c>
    </row>
    <row r="327" spans="1:9" x14ac:dyDescent="0.25">
      <c r="A327" s="139">
        <v>43874</v>
      </c>
      <c r="B327" s="140">
        <v>4692.6499999999996</v>
      </c>
      <c r="C327" s="140">
        <v>142.5</v>
      </c>
      <c r="D327" s="140">
        <v>1874.05</v>
      </c>
      <c r="E327" s="141">
        <v>37.200000000000003</v>
      </c>
      <c r="F327">
        <f t="shared" si="21"/>
        <v>1.5769080912593499E-2</v>
      </c>
      <c r="G327">
        <f t="shared" si="22"/>
        <v>6.7114093959730736E-3</v>
      </c>
      <c r="H327">
        <f t="shared" si="23"/>
        <v>-1.0376511591065158E-2</v>
      </c>
      <c r="I327">
        <f t="shared" si="24"/>
        <v>5.6818181818181816E-2</v>
      </c>
    </row>
    <row r="328" spans="1:9" x14ac:dyDescent="0.25">
      <c r="A328" s="139">
        <v>43875</v>
      </c>
      <c r="B328" s="140">
        <v>4489.7</v>
      </c>
      <c r="C328" s="140">
        <v>141.1</v>
      </c>
      <c r="D328" s="140">
        <v>1877.05</v>
      </c>
      <c r="E328" s="141">
        <v>38.9</v>
      </c>
      <c r="F328">
        <f t="shared" si="21"/>
        <v>-4.3248484331880672E-2</v>
      </c>
      <c r="G328">
        <f t="shared" si="22"/>
        <v>-9.8245614035088122E-3</v>
      </c>
      <c r="H328">
        <f t="shared" si="23"/>
        <v>1.6008110776126571E-3</v>
      </c>
      <c r="I328">
        <f t="shared" si="24"/>
        <v>4.5698924731182679E-2</v>
      </c>
    </row>
    <row r="329" spans="1:9" x14ac:dyDescent="0.25">
      <c r="A329" s="139">
        <v>43878</v>
      </c>
      <c r="B329" s="140">
        <v>4535.8500000000004</v>
      </c>
      <c r="C329" s="140">
        <v>142.1</v>
      </c>
      <c r="D329" s="140">
        <v>1881.4</v>
      </c>
      <c r="E329" s="141">
        <v>37.15</v>
      </c>
      <c r="F329">
        <f t="shared" si="21"/>
        <v>1.0279083234960141E-2</v>
      </c>
      <c r="G329">
        <f t="shared" si="22"/>
        <v>7.087172218284905E-3</v>
      </c>
      <c r="H329">
        <f t="shared" si="23"/>
        <v>2.3174662369143798E-3</v>
      </c>
      <c r="I329">
        <f t="shared" si="24"/>
        <v>-4.4987146529562982E-2</v>
      </c>
    </row>
    <row r="330" spans="1:9" x14ac:dyDescent="0.25">
      <c r="A330" s="139">
        <v>43879</v>
      </c>
      <c r="B330" s="140">
        <v>4503.55</v>
      </c>
      <c r="C330" s="140">
        <v>140.55000000000001</v>
      </c>
      <c r="D330" s="140">
        <v>1863.65</v>
      </c>
      <c r="E330" s="141">
        <v>35.049999999999997</v>
      </c>
      <c r="F330">
        <f t="shared" si="21"/>
        <v>-7.1210467718289139E-3</v>
      </c>
      <c r="G330">
        <f t="shared" si="22"/>
        <v>-1.0907811400422119E-2</v>
      </c>
      <c r="H330">
        <f t="shared" si="23"/>
        <v>-9.4344636972467314E-3</v>
      </c>
      <c r="I330">
        <f t="shared" si="24"/>
        <v>-5.6527590847913901E-2</v>
      </c>
    </row>
    <row r="331" spans="1:9" x14ac:dyDescent="0.25">
      <c r="A331" s="139">
        <v>43880</v>
      </c>
      <c r="B331" s="140">
        <v>4476.3999999999996</v>
      </c>
      <c r="C331" s="140">
        <v>142.65</v>
      </c>
      <c r="D331" s="140">
        <v>1884.9</v>
      </c>
      <c r="E331" s="141">
        <v>35.299999999999997</v>
      </c>
      <c r="F331">
        <f t="shared" si="21"/>
        <v>-6.0285774555629548E-3</v>
      </c>
      <c r="G331">
        <f t="shared" si="22"/>
        <v>1.494130202774809E-2</v>
      </c>
      <c r="H331">
        <f t="shared" si="23"/>
        <v>1.1402355592520055E-2</v>
      </c>
      <c r="I331">
        <f t="shared" si="24"/>
        <v>7.1326676176890159E-3</v>
      </c>
    </row>
    <row r="332" spans="1:9" x14ac:dyDescent="0.25">
      <c r="A332" s="139">
        <v>43881</v>
      </c>
      <c r="B332" s="140">
        <v>4352.2</v>
      </c>
      <c r="C332" s="140">
        <v>142.35</v>
      </c>
      <c r="D332" s="140">
        <v>1842.25</v>
      </c>
      <c r="E332" s="141">
        <v>35.450000000000003</v>
      </c>
      <c r="F332">
        <f t="shared" si="21"/>
        <v>-2.7745509784648341E-2</v>
      </c>
      <c r="G332">
        <f t="shared" si="22"/>
        <v>-2.1030494216614888E-3</v>
      </c>
      <c r="H332">
        <f t="shared" si="23"/>
        <v>-2.262719507666194E-2</v>
      </c>
      <c r="I332">
        <f t="shared" si="24"/>
        <v>4.2492917847027113E-3</v>
      </c>
    </row>
    <row r="333" spans="1:9" x14ac:dyDescent="0.25">
      <c r="A333" s="139">
        <v>43885</v>
      </c>
      <c r="B333" s="140">
        <v>4123.3</v>
      </c>
      <c r="C333" s="140">
        <v>133.19999999999999</v>
      </c>
      <c r="D333" s="140">
        <v>1818.95</v>
      </c>
      <c r="E333" s="141">
        <v>34.950000000000003</v>
      </c>
      <c r="F333">
        <f t="shared" si="21"/>
        <v>-5.2594090345112733E-2</v>
      </c>
      <c r="G333">
        <f t="shared" si="22"/>
        <v>-6.4278187565858846E-2</v>
      </c>
      <c r="H333">
        <f t="shared" si="23"/>
        <v>-1.2647577690324307E-2</v>
      </c>
      <c r="I333">
        <f t="shared" si="24"/>
        <v>-1.4104372355430182E-2</v>
      </c>
    </row>
    <row r="334" spans="1:9" x14ac:dyDescent="0.25">
      <c r="A334" s="139">
        <v>43886</v>
      </c>
      <c r="B334" s="140">
        <v>4148.3999999999996</v>
      </c>
      <c r="C334" s="140">
        <v>132.69999999999999</v>
      </c>
      <c r="D334" s="140">
        <v>1826.1</v>
      </c>
      <c r="E334" s="141">
        <v>35.15</v>
      </c>
      <c r="F334">
        <f t="shared" si="21"/>
        <v>6.0873572138819519E-3</v>
      </c>
      <c r="G334">
        <f t="shared" si="22"/>
        <v>-3.7537537537537542E-3</v>
      </c>
      <c r="H334">
        <f t="shared" si="23"/>
        <v>3.9308392204292931E-3</v>
      </c>
      <c r="I334">
        <f t="shared" si="24"/>
        <v>5.7224606580828534E-3</v>
      </c>
    </row>
    <row r="335" spans="1:9" x14ac:dyDescent="0.25">
      <c r="A335" s="139">
        <v>43887</v>
      </c>
      <c r="B335" s="140">
        <v>4041.45</v>
      </c>
      <c r="C335" s="140">
        <v>130.25</v>
      </c>
      <c r="D335" s="140">
        <v>1826.65</v>
      </c>
      <c r="E335" s="141">
        <v>36.549999999999997</v>
      </c>
      <c r="F335">
        <f t="shared" si="21"/>
        <v>-2.578102400925654E-2</v>
      </c>
      <c r="G335">
        <f t="shared" si="22"/>
        <v>-1.8462697814619358E-2</v>
      </c>
      <c r="H335">
        <f t="shared" si="23"/>
        <v>3.0118832484539833E-4</v>
      </c>
      <c r="I335">
        <f t="shared" si="24"/>
        <v>3.9829302987197689E-2</v>
      </c>
    </row>
    <row r="336" spans="1:9" x14ac:dyDescent="0.25">
      <c r="A336" s="139">
        <v>43888</v>
      </c>
      <c r="B336" s="140">
        <v>4017.65</v>
      </c>
      <c r="C336" s="140">
        <v>130.55000000000001</v>
      </c>
      <c r="D336" s="140">
        <v>1843.8</v>
      </c>
      <c r="E336" s="141">
        <v>36.799999999999997</v>
      </c>
      <c r="F336">
        <f t="shared" si="21"/>
        <v>-5.8889754914695789E-3</v>
      </c>
      <c r="G336">
        <f t="shared" si="22"/>
        <v>2.3032629558542139E-3</v>
      </c>
      <c r="H336">
        <f t="shared" si="23"/>
        <v>9.3887717953630209E-3</v>
      </c>
      <c r="I336">
        <f t="shared" si="24"/>
        <v>6.8399452804377573E-3</v>
      </c>
    </row>
    <row r="337" spans="1:9" x14ac:dyDescent="0.25">
      <c r="A337" s="139">
        <v>43889</v>
      </c>
      <c r="B337" s="140">
        <v>3828.05</v>
      </c>
      <c r="C337" s="140">
        <v>114</v>
      </c>
      <c r="D337" s="140">
        <v>1797.95</v>
      </c>
      <c r="E337" s="141">
        <v>34.6</v>
      </c>
      <c r="F337">
        <f t="shared" si="21"/>
        <v>-4.7191766331064158E-2</v>
      </c>
      <c r="G337">
        <f t="shared" si="22"/>
        <v>-0.12677135197242442</v>
      </c>
      <c r="H337">
        <f t="shared" si="23"/>
        <v>-2.4867122247532222E-2</v>
      </c>
      <c r="I337">
        <f t="shared" si="24"/>
        <v>-5.9782608695652065E-2</v>
      </c>
    </row>
    <row r="338" spans="1:9" x14ac:dyDescent="0.25">
      <c r="A338" s="139">
        <v>43892</v>
      </c>
      <c r="B338" s="140">
        <v>3935.1</v>
      </c>
      <c r="C338" s="140">
        <v>110.95</v>
      </c>
      <c r="D338" s="140">
        <v>1786.8</v>
      </c>
      <c r="E338" s="141">
        <v>31.55</v>
      </c>
      <c r="F338">
        <f t="shared" si="21"/>
        <v>2.7964629511108716E-2</v>
      </c>
      <c r="G338">
        <f t="shared" si="22"/>
        <v>-2.6754385964912256E-2</v>
      </c>
      <c r="H338">
        <f t="shared" si="23"/>
        <v>-6.2015072721711339E-3</v>
      </c>
      <c r="I338">
        <f t="shared" si="24"/>
        <v>-8.8150289017341052E-2</v>
      </c>
    </row>
    <row r="339" spans="1:9" x14ac:dyDescent="0.25">
      <c r="A339" s="139">
        <v>43893</v>
      </c>
      <c r="B339" s="140">
        <v>4034.95</v>
      </c>
      <c r="C339" s="140">
        <v>119.55</v>
      </c>
      <c r="D339" s="140">
        <v>1800.55</v>
      </c>
      <c r="E339" s="141">
        <v>31.2</v>
      </c>
      <c r="F339">
        <f t="shared" si="21"/>
        <v>2.5374196335544181E-2</v>
      </c>
      <c r="G339">
        <f t="shared" si="22"/>
        <v>7.7512392969806165E-2</v>
      </c>
      <c r="H339">
        <f t="shared" si="23"/>
        <v>7.6953212446832326E-3</v>
      </c>
      <c r="I339">
        <f t="shared" si="24"/>
        <v>-1.1093502377179126E-2</v>
      </c>
    </row>
    <row r="340" spans="1:9" x14ac:dyDescent="0.25">
      <c r="A340" s="139">
        <v>43894</v>
      </c>
      <c r="B340" s="140">
        <v>3892.65</v>
      </c>
      <c r="C340" s="140">
        <v>119.35</v>
      </c>
      <c r="D340" s="140">
        <v>1847.95</v>
      </c>
      <c r="E340" s="141">
        <v>29.3</v>
      </c>
      <c r="F340">
        <f t="shared" si="21"/>
        <v>-3.5266855847036455E-2</v>
      </c>
      <c r="G340">
        <f t="shared" si="22"/>
        <v>-1.6729401923881459E-3</v>
      </c>
      <c r="H340">
        <f t="shared" si="23"/>
        <v>2.6325289494876617E-2</v>
      </c>
      <c r="I340">
        <f t="shared" si="24"/>
        <v>-6.0897435897435855E-2</v>
      </c>
    </row>
    <row r="341" spans="1:9" x14ac:dyDescent="0.25">
      <c r="A341" s="139">
        <v>43895</v>
      </c>
      <c r="B341" s="140">
        <v>4101.45</v>
      </c>
      <c r="C341" s="140">
        <v>117.1</v>
      </c>
      <c r="D341" s="140">
        <v>1874.45</v>
      </c>
      <c r="E341" s="141">
        <v>36.799999999999997</v>
      </c>
      <c r="F341">
        <f t="shared" si="21"/>
        <v>5.3639551462371322E-2</v>
      </c>
      <c r="G341">
        <f t="shared" si="22"/>
        <v>-1.8852115626309177E-2</v>
      </c>
      <c r="H341">
        <f t="shared" si="23"/>
        <v>1.4340214832652399E-2</v>
      </c>
      <c r="I341">
        <f t="shared" si="24"/>
        <v>0.25597269624573366</v>
      </c>
    </row>
    <row r="342" spans="1:9" x14ac:dyDescent="0.25">
      <c r="A342" s="139">
        <v>43896</v>
      </c>
      <c r="B342" s="140">
        <v>4430.6000000000004</v>
      </c>
      <c r="C342" s="140">
        <v>111.05</v>
      </c>
      <c r="D342" s="140">
        <v>1877.45</v>
      </c>
      <c r="E342" s="141">
        <v>16.149999999999999</v>
      </c>
      <c r="F342">
        <f t="shared" si="21"/>
        <v>8.0252105962525591E-2</v>
      </c>
      <c r="G342">
        <f t="shared" si="22"/>
        <v>-5.1665243381724998E-2</v>
      </c>
      <c r="H342">
        <f t="shared" si="23"/>
        <v>1.6004694710448398E-3</v>
      </c>
      <c r="I342">
        <f t="shared" si="24"/>
        <v>-0.56114130434782605</v>
      </c>
    </row>
    <row r="343" spans="1:9" x14ac:dyDescent="0.25">
      <c r="A343" s="139">
        <v>43899</v>
      </c>
      <c r="B343" s="140">
        <v>4284.3500000000004</v>
      </c>
      <c r="C343" s="140">
        <v>94.9</v>
      </c>
      <c r="D343" s="140">
        <v>1867.15</v>
      </c>
      <c r="E343" s="141">
        <v>21.25</v>
      </c>
      <c r="F343">
        <f t="shared" si="21"/>
        <v>-3.3009073263214915E-2</v>
      </c>
      <c r="G343">
        <f t="shared" si="22"/>
        <v>-0.14542998649257083</v>
      </c>
      <c r="H343">
        <f t="shared" si="23"/>
        <v>-5.486164744733524E-3</v>
      </c>
      <c r="I343">
        <f t="shared" si="24"/>
        <v>0.31578947368421062</v>
      </c>
    </row>
    <row r="344" spans="1:9" x14ac:dyDescent="0.25">
      <c r="A344" s="139">
        <v>43901</v>
      </c>
      <c r="B344" s="140">
        <v>4296.75</v>
      </c>
      <c r="C344" s="140">
        <v>92</v>
      </c>
      <c r="D344" s="140">
        <v>1882.85</v>
      </c>
      <c r="E344" s="141">
        <v>28.8</v>
      </c>
      <c r="F344">
        <f t="shared" si="21"/>
        <v>2.8942546710702057E-3</v>
      </c>
      <c r="G344">
        <f t="shared" si="22"/>
        <v>-3.0558482613277191E-2</v>
      </c>
      <c r="H344">
        <f t="shared" si="23"/>
        <v>8.4085370752214963E-3</v>
      </c>
      <c r="I344">
        <f t="shared" si="24"/>
        <v>0.35529411764705887</v>
      </c>
    </row>
    <row r="345" spans="1:9" x14ac:dyDescent="0.25">
      <c r="A345" s="139">
        <v>43902</v>
      </c>
      <c r="B345" s="140">
        <v>4015.05</v>
      </c>
      <c r="C345" s="140">
        <v>79.849999999999994</v>
      </c>
      <c r="D345" s="140">
        <v>1843.35</v>
      </c>
      <c r="E345" s="141">
        <v>25.05</v>
      </c>
      <c r="F345">
        <f t="shared" si="21"/>
        <v>-6.5561179961598839E-2</v>
      </c>
      <c r="G345">
        <f t="shared" si="22"/>
        <v>-0.13206521739130442</v>
      </c>
      <c r="H345">
        <f t="shared" si="23"/>
        <v>-2.0978835276309851E-2</v>
      </c>
      <c r="I345">
        <f t="shared" si="24"/>
        <v>-0.13020833333333334</v>
      </c>
    </row>
    <row r="346" spans="1:9" x14ac:dyDescent="0.25">
      <c r="A346" s="139">
        <v>43903</v>
      </c>
      <c r="B346" s="140">
        <v>3919.85</v>
      </c>
      <c r="C346" s="140">
        <v>84.05</v>
      </c>
      <c r="D346" s="140">
        <v>1797.7</v>
      </c>
      <c r="E346" s="141">
        <v>25.55</v>
      </c>
      <c r="F346">
        <f t="shared" si="21"/>
        <v>-2.3710788159549762E-2</v>
      </c>
      <c r="G346">
        <f t="shared" si="22"/>
        <v>5.2598622417031976E-2</v>
      </c>
      <c r="H346">
        <f t="shared" si="23"/>
        <v>-2.4764694713429281E-2</v>
      </c>
      <c r="I346">
        <f t="shared" si="24"/>
        <v>1.9960079840319361E-2</v>
      </c>
    </row>
    <row r="347" spans="1:9" x14ac:dyDescent="0.25">
      <c r="A347" s="139">
        <v>43906</v>
      </c>
      <c r="B347" s="140">
        <v>3886.05</v>
      </c>
      <c r="C347" s="140">
        <v>74.849999999999994</v>
      </c>
      <c r="D347" s="140">
        <v>1683.4</v>
      </c>
      <c r="E347" s="141">
        <v>37.1</v>
      </c>
      <c r="F347">
        <f t="shared" si="21"/>
        <v>-8.6227789328672602E-3</v>
      </c>
      <c r="G347">
        <f t="shared" si="22"/>
        <v>-0.10945865556216541</v>
      </c>
      <c r="H347">
        <f t="shared" si="23"/>
        <v>-6.3581242699004253E-2</v>
      </c>
      <c r="I347">
        <f t="shared" si="24"/>
        <v>0.45205479452054798</v>
      </c>
    </row>
    <row r="348" spans="1:9" x14ac:dyDescent="0.25">
      <c r="A348" s="139">
        <v>43907</v>
      </c>
      <c r="B348" s="140">
        <v>3830.65</v>
      </c>
      <c r="C348" s="140">
        <v>75</v>
      </c>
      <c r="D348" s="140">
        <v>1731.6</v>
      </c>
      <c r="E348" s="141">
        <v>58.65</v>
      </c>
      <c r="F348">
        <f t="shared" si="21"/>
        <v>-1.4256121254229896E-2</v>
      </c>
      <c r="G348">
        <f t="shared" si="22"/>
        <v>2.0040080160321403E-3</v>
      </c>
      <c r="H348">
        <f t="shared" si="23"/>
        <v>2.8632529404775939E-2</v>
      </c>
      <c r="I348">
        <f t="shared" si="24"/>
        <v>0.58086253369272223</v>
      </c>
    </row>
    <row r="349" spans="1:9" x14ac:dyDescent="0.25">
      <c r="A349" s="139">
        <v>43908</v>
      </c>
      <c r="B349" s="140">
        <v>3598.15</v>
      </c>
      <c r="C349" s="140">
        <v>72.95</v>
      </c>
      <c r="D349" s="140">
        <v>1618.2</v>
      </c>
      <c r="E349" s="141">
        <v>60.45</v>
      </c>
      <c r="F349">
        <f t="shared" si="21"/>
        <v>-6.0694660175166094E-2</v>
      </c>
      <c r="G349">
        <f t="shared" si="22"/>
        <v>-2.7333333333333296E-2</v>
      </c>
      <c r="H349">
        <f t="shared" si="23"/>
        <v>-6.5488565488565409E-2</v>
      </c>
      <c r="I349">
        <f t="shared" si="24"/>
        <v>3.0690537084399051E-2</v>
      </c>
    </row>
    <row r="350" spans="1:9" x14ac:dyDescent="0.25">
      <c r="A350" s="139">
        <v>43909</v>
      </c>
      <c r="B350" s="140">
        <v>3248.85</v>
      </c>
      <c r="C350" s="140">
        <v>69.349999999999994</v>
      </c>
      <c r="D350" s="140">
        <v>1601.2</v>
      </c>
      <c r="E350" s="141">
        <v>53.85</v>
      </c>
      <c r="F350">
        <f t="shared" si="21"/>
        <v>-9.7077664911134939E-2</v>
      </c>
      <c r="G350">
        <f t="shared" si="22"/>
        <v>-4.934886908841684E-2</v>
      </c>
      <c r="H350">
        <f t="shared" si="23"/>
        <v>-1.050549993820294E-2</v>
      </c>
      <c r="I350">
        <f t="shared" si="24"/>
        <v>-0.10918114143920597</v>
      </c>
    </row>
    <row r="351" spans="1:9" x14ac:dyDescent="0.25">
      <c r="A351" s="139">
        <v>43910</v>
      </c>
      <c r="B351" s="140">
        <v>3570</v>
      </c>
      <c r="C351" s="140">
        <v>75.45</v>
      </c>
      <c r="D351" s="140">
        <v>1742.95</v>
      </c>
      <c r="E351" s="141">
        <v>45.85</v>
      </c>
      <c r="F351">
        <f t="shared" si="21"/>
        <v>9.8850362435938907E-2</v>
      </c>
      <c r="G351">
        <f t="shared" si="22"/>
        <v>8.7959625090122701E-2</v>
      </c>
      <c r="H351">
        <f t="shared" si="23"/>
        <v>8.85273544841369E-2</v>
      </c>
      <c r="I351">
        <f t="shared" si="24"/>
        <v>-0.14856081708449395</v>
      </c>
    </row>
    <row r="352" spans="1:9" x14ac:dyDescent="0.25">
      <c r="A352" s="139">
        <v>43913</v>
      </c>
      <c r="B352" s="140">
        <v>3216.85</v>
      </c>
      <c r="C352" s="140">
        <v>62.65</v>
      </c>
      <c r="D352" s="140">
        <v>1498.45</v>
      </c>
      <c r="E352" s="141">
        <v>39.75</v>
      </c>
      <c r="F352">
        <f t="shared" si="21"/>
        <v>-9.8921568627451009E-2</v>
      </c>
      <c r="G352">
        <f t="shared" si="22"/>
        <v>-0.16964877402253153</v>
      </c>
      <c r="H352">
        <f t="shared" si="23"/>
        <v>-0.14027941134283828</v>
      </c>
      <c r="I352">
        <f t="shared" si="24"/>
        <v>-0.13304252998909491</v>
      </c>
    </row>
    <row r="353" spans="1:9" x14ac:dyDescent="0.25">
      <c r="A353" s="139">
        <v>43914</v>
      </c>
      <c r="B353" s="140">
        <v>3184.05</v>
      </c>
      <c r="C353" s="140">
        <v>62.8</v>
      </c>
      <c r="D353" s="140">
        <v>1524.85</v>
      </c>
      <c r="E353" s="141">
        <v>35</v>
      </c>
      <c r="F353">
        <f t="shared" si="21"/>
        <v>-1.0196310054867255E-2</v>
      </c>
      <c r="G353">
        <f t="shared" si="22"/>
        <v>2.3942537909018131E-3</v>
      </c>
      <c r="H353">
        <f t="shared" si="23"/>
        <v>1.7618205478994869E-2</v>
      </c>
      <c r="I353">
        <f t="shared" si="24"/>
        <v>-0.11949685534591195</v>
      </c>
    </row>
    <row r="354" spans="1:9" x14ac:dyDescent="0.25">
      <c r="A354" s="139">
        <v>43915</v>
      </c>
      <c r="B354" s="140">
        <v>3261.25</v>
      </c>
      <c r="C354" s="140">
        <v>64.2</v>
      </c>
      <c r="D354" s="140">
        <v>1593.15</v>
      </c>
      <c r="E354" s="141">
        <v>29.6</v>
      </c>
      <c r="F354">
        <f t="shared" si="21"/>
        <v>2.4245850410640479E-2</v>
      </c>
      <c r="G354">
        <f t="shared" si="22"/>
        <v>2.2292993630573341E-2</v>
      </c>
      <c r="H354">
        <f t="shared" si="23"/>
        <v>4.479129094665061E-2</v>
      </c>
      <c r="I354">
        <f t="shared" si="24"/>
        <v>-0.15428571428571425</v>
      </c>
    </row>
    <row r="355" spans="1:9" x14ac:dyDescent="0.25">
      <c r="A355" s="139">
        <v>43916</v>
      </c>
      <c r="B355" s="140">
        <v>3331.85</v>
      </c>
      <c r="C355" s="140">
        <v>65.8</v>
      </c>
      <c r="D355" s="140">
        <v>1616.95</v>
      </c>
      <c r="E355" s="141">
        <v>26.6</v>
      </c>
      <c r="F355">
        <f t="shared" si="21"/>
        <v>2.1648141050210779E-2</v>
      </c>
      <c r="G355">
        <f t="shared" si="22"/>
        <v>2.4922118380062214E-2</v>
      </c>
      <c r="H355">
        <f t="shared" si="23"/>
        <v>1.4938957411417602E-2</v>
      </c>
      <c r="I355">
        <f t="shared" si="24"/>
        <v>-0.10135135135135134</v>
      </c>
    </row>
    <row r="356" spans="1:9" x14ac:dyDescent="0.25">
      <c r="A356" s="139">
        <v>43917</v>
      </c>
      <c r="B356" s="140">
        <v>3391.35</v>
      </c>
      <c r="C356" s="140">
        <v>63.75</v>
      </c>
      <c r="D356" s="140">
        <v>1604.15</v>
      </c>
      <c r="E356" s="141">
        <v>26.35</v>
      </c>
      <c r="F356">
        <f t="shared" si="21"/>
        <v>1.7857946786319912E-2</v>
      </c>
      <c r="G356">
        <f t="shared" si="22"/>
        <v>-3.1155015197568348E-2</v>
      </c>
      <c r="H356">
        <f t="shared" si="23"/>
        <v>-7.9161384087324625E-3</v>
      </c>
      <c r="I356">
        <f t="shared" si="24"/>
        <v>-9.3984962406015032E-3</v>
      </c>
    </row>
    <row r="357" spans="1:9" x14ac:dyDescent="0.25">
      <c r="A357" s="139">
        <v>43920</v>
      </c>
      <c r="B357" s="140">
        <v>3188</v>
      </c>
      <c r="C357" s="140">
        <v>61.55</v>
      </c>
      <c r="D357" s="140">
        <v>1594.95</v>
      </c>
      <c r="E357" s="141">
        <v>24.9</v>
      </c>
      <c r="F357">
        <f t="shared" si="21"/>
        <v>-5.9961372314859838E-2</v>
      </c>
      <c r="G357">
        <f t="shared" si="22"/>
        <v>-3.4509803921568674E-2</v>
      </c>
      <c r="H357">
        <f t="shared" si="23"/>
        <v>-5.7351245207742695E-3</v>
      </c>
      <c r="I357">
        <f t="shared" si="24"/>
        <v>-5.5028462998102573E-2</v>
      </c>
    </row>
    <row r="358" spans="1:9" x14ac:dyDescent="0.25">
      <c r="A358" s="139">
        <v>43921</v>
      </c>
      <c r="B358" s="140">
        <v>3579.85</v>
      </c>
      <c r="C358" s="140">
        <v>64.7</v>
      </c>
      <c r="D358" s="140">
        <v>1666.5</v>
      </c>
      <c r="E358" s="141">
        <v>22.45</v>
      </c>
      <c r="F358">
        <f t="shared" si="21"/>
        <v>0.12291405269761603</v>
      </c>
      <c r="G358">
        <f t="shared" si="22"/>
        <v>5.1177904142973289E-2</v>
      </c>
      <c r="H358">
        <f t="shared" si="23"/>
        <v>4.4860340449543845E-2</v>
      </c>
      <c r="I358">
        <f t="shared" si="24"/>
        <v>-9.8393574297188729E-2</v>
      </c>
    </row>
    <row r="359" spans="1:9" x14ac:dyDescent="0.25">
      <c r="A359" s="139">
        <v>43922</v>
      </c>
      <c r="B359" s="140">
        <v>3572.95</v>
      </c>
      <c r="C359" s="140">
        <v>62.65</v>
      </c>
      <c r="D359" s="140">
        <v>1603.2</v>
      </c>
      <c r="E359" s="141">
        <v>23.95</v>
      </c>
      <c r="F359">
        <f t="shared" si="21"/>
        <v>-1.927455060966267E-3</v>
      </c>
      <c r="G359">
        <f t="shared" si="22"/>
        <v>-3.1684698608964515E-2</v>
      </c>
      <c r="H359">
        <f t="shared" si="23"/>
        <v>-3.7983798379837959E-2</v>
      </c>
      <c r="I359">
        <f t="shared" si="24"/>
        <v>6.6815144766147E-2</v>
      </c>
    </row>
    <row r="360" spans="1:9" x14ac:dyDescent="0.25">
      <c r="A360" s="139">
        <v>43924</v>
      </c>
      <c r="B360" s="140">
        <v>3429.35</v>
      </c>
      <c r="C360" s="140">
        <v>62.8</v>
      </c>
      <c r="D360" s="140">
        <v>1520.9</v>
      </c>
      <c r="E360" s="141">
        <v>24.1</v>
      </c>
      <c r="F360">
        <f t="shared" si="21"/>
        <v>-4.019087868567988E-2</v>
      </c>
      <c r="G360">
        <f t="shared" si="22"/>
        <v>2.3942537909018131E-3</v>
      </c>
      <c r="H360">
        <f t="shared" si="23"/>
        <v>-5.1334830339321326E-2</v>
      </c>
      <c r="I360">
        <f t="shared" si="24"/>
        <v>6.263048016701551E-3</v>
      </c>
    </row>
    <row r="361" spans="1:9" x14ac:dyDescent="0.25">
      <c r="A361" s="139">
        <v>43928</v>
      </c>
      <c r="B361" s="140">
        <v>3754.9</v>
      </c>
      <c r="C361" s="140">
        <v>66.75</v>
      </c>
      <c r="D361" s="140">
        <v>1623.8</v>
      </c>
      <c r="E361" s="141">
        <v>24.55</v>
      </c>
      <c r="F361">
        <f t="shared" si="21"/>
        <v>9.4930526193010387E-2</v>
      </c>
      <c r="G361">
        <f t="shared" si="22"/>
        <v>6.2898089171974564E-2</v>
      </c>
      <c r="H361">
        <f t="shared" si="23"/>
        <v>6.7657308172792335E-2</v>
      </c>
      <c r="I361">
        <f t="shared" si="24"/>
        <v>1.867219917012445E-2</v>
      </c>
    </row>
    <row r="362" spans="1:9" x14ac:dyDescent="0.25">
      <c r="A362" s="139">
        <v>43929</v>
      </c>
      <c r="B362" s="140">
        <v>3769.25</v>
      </c>
      <c r="C362" s="140">
        <v>70.3</v>
      </c>
      <c r="D362" s="140">
        <v>1608.95</v>
      </c>
      <c r="E362" s="141">
        <v>24.75</v>
      </c>
      <c r="F362">
        <f t="shared" si="21"/>
        <v>3.8216730139284424E-3</v>
      </c>
      <c r="G362">
        <f t="shared" si="22"/>
        <v>5.3183520599250897E-2</v>
      </c>
      <c r="H362">
        <f t="shared" si="23"/>
        <v>-9.1452149279467355E-3</v>
      </c>
      <c r="I362">
        <f t="shared" si="24"/>
        <v>8.1466395112016008E-3</v>
      </c>
    </row>
    <row r="363" spans="1:9" x14ac:dyDescent="0.25">
      <c r="A363" s="139">
        <v>43930</v>
      </c>
      <c r="B363" s="140">
        <v>3836.55</v>
      </c>
      <c r="C363" s="140">
        <v>76.8</v>
      </c>
      <c r="D363" s="140">
        <v>1651.35</v>
      </c>
      <c r="E363" s="141">
        <v>24.9</v>
      </c>
      <c r="F363">
        <f t="shared" si="21"/>
        <v>1.7855010943821765E-2</v>
      </c>
      <c r="G363">
        <f t="shared" si="22"/>
        <v>9.2460881934566155E-2</v>
      </c>
      <c r="H363">
        <f t="shared" si="23"/>
        <v>2.6352590198576626E-2</v>
      </c>
      <c r="I363">
        <f t="shared" si="24"/>
        <v>6.0606060606060034E-3</v>
      </c>
    </row>
    <row r="364" spans="1:9" x14ac:dyDescent="0.25">
      <c r="A364" s="139">
        <v>43934</v>
      </c>
      <c r="B364" s="140">
        <v>3687.75</v>
      </c>
      <c r="C364" s="140">
        <v>78.3</v>
      </c>
      <c r="D364" s="140">
        <v>1680.85</v>
      </c>
      <c r="E364" s="141">
        <v>24.1</v>
      </c>
      <c r="F364">
        <f t="shared" si="21"/>
        <v>-3.8784845759862421E-2</v>
      </c>
      <c r="G364">
        <f t="shared" si="22"/>
        <v>1.953125E-2</v>
      </c>
      <c r="H364">
        <f t="shared" si="23"/>
        <v>1.7864171738274745E-2</v>
      </c>
      <c r="I364">
        <f t="shared" si="24"/>
        <v>-3.2128514056224786E-2</v>
      </c>
    </row>
    <row r="365" spans="1:9" x14ac:dyDescent="0.25">
      <c r="A365" s="139">
        <v>43936</v>
      </c>
      <c r="B365" s="140">
        <v>3699.3</v>
      </c>
      <c r="C365" s="140">
        <v>78.599999999999994</v>
      </c>
      <c r="D365" s="140">
        <v>1718.2</v>
      </c>
      <c r="E365" s="141">
        <v>24.5</v>
      </c>
      <c r="F365">
        <f t="shared" si="21"/>
        <v>3.1319910514541879E-3</v>
      </c>
      <c r="G365">
        <f t="shared" si="22"/>
        <v>3.8314176245210366E-3</v>
      </c>
      <c r="H365">
        <f t="shared" si="23"/>
        <v>2.2220900139810297E-2</v>
      </c>
      <c r="I365">
        <f t="shared" si="24"/>
        <v>1.6597510373443924E-2</v>
      </c>
    </row>
    <row r="366" spans="1:9" x14ac:dyDescent="0.25">
      <c r="A366" s="139">
        <v>43937</v>
      </c>
      <c r="B366" s="140">
        <v>3910.45</v>
      </c>
      <c r="C366" s="140">
        <v>82.7</v>
      </c>
      <c r="D366" s="140">
        <v>1743.1</v>
      </c>
      <c r="E366" s="141">
        <v>24.6</v>
      </c>
      <c r="F366">
        <f t="shared" si="21"/>
        <v>5.7078366177384807E-2</v>
      </c>
      <c r="G366">
        <f t="shared" si="22"/>
        <v>5.2162849872773649E-2</v>
      </c>
      <c r="H366">
        <f t="shared" si="23"/>
        <v>1.4491910138516972E-2</v>
      </c>
      <c r="I366">
        <f t="shared" si="24"/>
        <v>4.0816326530612821E-3</v>
      </c>
    </row>
    <row r="367" spans="1:9" x14ac:dyDescent="0.25">
      <c r="A367" s="139">
        <v>43938</v>
      </c>
      <c r="B367" s="140">
        <v>3896.8</v>
      </c>
      <c r="C367" s="140">
        <v>84.1</v>
      </c>
      <c r="D367" s="140">
        <v>1756.25</v>
      </c>
      <c r="E367" s="141">
        <v>25.1</v>
      </c>
      <c r="F367">
        <f t="shared" si="21"/>
        <v>-3.4906468564997986E-3</v>
      </c>
      <c r="G367">
        <f t="shared" si="22"/>
        <v>1.6928657799274383E-2</v>
      </c>
      <c r="H367">
        <f t="shared" si="23"/>
        <v>7.5440307498136029E-3</v>
      </c>
      <c r="I367">
        <f t="shared" si="24"/>
        <v>2.032520325203252E-2</v>
      </c>
    </row>
    <row r="368" spans="1:9" x14ac:dyDescent="0.25">
      <c r="A368" s="139">
        <v>43941</v>
      </c>
      <c r="B368" s="140">
        <v>3966.1</v>
      </c>
      <c r="C368" s="140">
        <v>81.45</v>
      </c>
      <c r="D368" s="140">
        <v>1730.45</v>
      </c>
      <c r="E368" s="141">
        <v>29.45</v>
      </c>
      <c r="F368">
        <f t="shared" si="21"/>
        <v>1.7783822623691162E-2</v>
      </c>
      <c r="G368">
        <f t="shared" si="22"/>
        <v>-3.1510107015457686E-2</v>
      </c>
      <c r="H368">
        <f t="shared" si="23"/>
        <v>-1.4690391459074708E-2</v>
      </c>
      <c r="I368">
        <f t="shared" si="24"/>
        <v>0.17330677290836644</v>
      </c>
    </row>
    <row r="369" spans="1:9" x14ac:dyDescent="0.25">
      <c r="A369" s="139">
        <v>43942</v>
      </c>
      <c r="B369" s="140">
        <v>4109.6499999999996</v>
      </c>
      <c r="C369" s="140">
        <v>78.45</v>
      </c>
      <c r="D369" s="140">
        <v>1726</v>
      </c>
      <c r="E369" s="141">
        <v>29.65</v>
      </c>
      <c r="F369">
        <f t="shared" si="21"/>
        <v>3.6194246236857297E-2</v>
      </c>
      <c r="G369">
        <f t="shared" si="22"/>
        <v>-3.6832412523020254E-2</v>
      </c>
      <c r="H369">
        <f t="shared" si="23"/>
        <v>-2.5715854257563325E-3</v>
      </c>
      <c r="I369">
        <f t="shared" si="24"/>
        <v>6.7911714770797719E-3</v>
      </c>
    </row>
    <row r="370" spans="1:9" x14ac:dyDescent="0.25">
      <c r="A370" s="139">
        <v>43943</v>
      </c>
      <c r="B370" s="140">
        <v>4193.25</v>
      </c>
      <c r="C370" s="140">
        <v>76.099999999999994</v>
      </c>
      <c r="D370" s="140">
        <v>1813</v>
      </c>
      <c r="E370" s="141">
        <v>29.6</v>
      </c>
      <c r="F370">
        <f t="shared" si="21"/>
        <v>2.0342364921587086E-2</v>
      </c>
      <c r="G370">
        <f t="shared" si="22"/>
        <v>-2.9955385595921077E-2</v>
      </c>
      <c r="H370">
        <f t="shared" si="23"/>
        <v>5.0405561993047507E-2</v>
      </c>
      <c r="I370">
        <f t="shared" si="24"/>
        <v>-1.6863406408093478E-3</v>
      </c>
    </row>
    <row r="371" spans="1:9" x14ac:dyDescent="0.25">
      <c r="A371" s="139">
        <v>43944</v>
      </c>
      <c r="B371" s="140">
        <v>4170.3500000000004</v>
      </c>
      <c r="C371" s="140">
        <v>77.599999999999994</v>
      </c>
      <c r="D371" s="140">
        <v>1821.65</v>
      </c>
      <c r="E371" s="141">
        <v>28.3</v>
      </c>
      <c r="F371">
        <f t="shared" si="21"/>
        <v>-5.4611578131520027E-3</v>
      </c>
      <c r="G371">
        <f t="shared" si="22"/>
        <v>1.9710906701708279E-2</v>
      </c>
      <c r="H371">
        <f t="shared" si="23"/>
        <v>4.7710976282405353E-3</v>
      </c>
      <c r="I371">
        <f t="shared" si="24"/>
        <v>-4.3918918918918942E-2</v>
      </c>
    </row>
    <row r="372" spans="1:9" x14ac:dyDescent="0.25">
      <c r="A372" s="139">
        <v>43945</v>
      </c>
      <c r="B372" s="140">
        <v>4202.3999999999996</v>
      </c>
      <c r="C372" s="140">
        <v>77.95</v>
      </c>
      <c r="D372" s="140">
        <v>1827.55</v>
      </c>
      <c r="E372" s="141">
        <v>26.6</v>
      </c>
      <c r="F372">
        <f t="shared" si="21"/>
        <v>7.6852062776503818E-3</v>
      </c>
      <c r="G372">
        <f t="shared" si="22"/>
        <v>4.5103092783506261E-3</v>
      </c>
      <c r="H372">
        <f t="shared" si="23"/>
        <v>3.2388219471357633E-3</v>
      </c>
      <c r="I372">
        <f t="shared" si="24"/>
        <v>-6.0070671378091849E-2</v>
      </c>
    </row>
    <row r="373" spans="1:9" x14ac:dyDescent="0.25">
      <c r="A373" s="139">
        <v>43948</v>
      </c>
      <c r="B373" s="140">
        <v>4200.6499999999996</v>
      </c>
      <c r="C373" s="140">
        <v>78.45</v>
      </c>
      <c r="D373" s="140">
        <v>1851.35</v>
      </c>
      <c r="E373" s="141">
        <v>27.05</v>
      </c>
      <c r="F373">
        <f t="shared" si="21"/>
        <v>-4.1642870740529227E-4</v>
      </c>
      <c r="G373">
        <f t="shared" si="22"/>
        <v>6.4143681847338031E-3</v>
      </c>
      <c r="H373">
        <f t="shared" si="23"/>
        <v>1.3022899510273292E-2</v>
      </c>
      <c r="I373">
        <f t="shared" si="24"/>
        <v>1.6917293233082678E-2</v>
      </c>
    </row>
    <row r="374" spans="1:9" x14ac:dyDescent="0.25">
      <c r="A374" s="139">
        <v>43949</v>
      </c>
      <c r="B374" s="140">
        <v>4318.3500000000004</v>
      </c>
      <c r="C374" s="140">
        <v>76.849999999999994</v>
      </c>
      <c r="D374" s="140">
        <v>1824.4</v>
      </c>
      <c r="E374" s="141">
        <v>27.25</v>
      </c>
      <c r="F374">
        <f t="shared" si="21"/>
        <v>2.8019473176770438E-2</v>
      </c>
      <c r="G374">
        <f t="shared" si="22"/>
        <v>-2.0395156150414383E-2</v>
      </c>
      <c r="H374">
        <f t="shared" si="23"/>
        <v>-1.4556944932076495E-2</v>
      </c>
      <c r="I374">
        <f t="shared" si="24"/>
        <v>7.3937153419593084E-3</v>
      </c>
    </row>
    <row r="375" spans="1:9" x14ac:dyDescent="0.25">
      <c r="A375" s="139">
        <v>43950</v>
      </c>
      <c r="B375" s="140">
        <v>4187.6499999999996</v>
      </c>
      <c r="C375" s="140">
        <v>79.150000000000006</v>
      </c>
      <c r="D375" s="140">
        <v>1767.5</v>
      </c>
      <c r="E375" s="141">
        <v>28.05</v>
      </c>
      <c r="F375">
        <f t="shared" si="21"/>
        <v>-3.0266189632614474E-2</v>
      </c>
      <c r="G375">
        <f t="shared" si="22"/>
        <v>2.9928432010410039E-2</v>
      </c>
      <c r="H375">
        <f t="shared" si="23"/>
        <v>-3.1188335891251966E-2</v>
      </c>
      <c r="I375">
        <f t="shared" si="24"/>
        <v>2.9357798165137641E-2</v>
      </c>
    </row>
    <row r="376" spans="1:9" x14ac:dyDescent="0.25">
      <c r="A376" s="139">
        <v>43951</v>
      </c>
      <c r="B376" s="140">
        <v>4571.3999999999996</v>
      </c>
      <c r="C376" s="140">
        <v>89.55</v>
      </c>
      <c r="D376" s="140">
        <v>1758.7</v>
      </c>
      <c r="E376" s="141">
        <v>27.9</v>
      </c>
      <c r="F376">
        <f t="shared" si="21"/>
        <v>9.1638508471338351E-2</v>
      </c>
      <c r="G376">
        <f t="shared" si="22"/>
        <v>0.13139608338597589</v>
      </c>
      <c r="H376">
        <f t="shared" si="23"/>
        <v>-4.9787835926449527E-3</v>
      </c>
      <c r="I376">
        <f t="shared" si="24"/>
        <v>-5.3475935828877766E-3</v>
      </c>
    </row>
    <row r="377" spans="1:9" x14ac:dyDescent="0.25">
      <c r="A377" s="139">
        <v>43955</v>
      </c>
      <c r="B377" s="140">
        <v>4586.75</v>
      </c>
      <c r="C377" s="140">
        <v>79.95</v>
      </c>
      <c r="D377" s="140">
        <v>1676.8</v>
      </c>
      <c r="E377" s="141">
        <v>27.05</v>
      </c>
      <c r="F377">
        <f t="shared" si="21"/>
        <v>3.3578334864593704E-3</v>
      </c>
      <c r="G377">
        <f t="shared" si="22"/>
        <v>-0.10720268006700162</v>
      </c>
      <c r="H377">
        <f t="shared" si="23"/>
        <v>-4.6568488087792168E-2</v>
      </c>
      <c r="I377">
        <f t="shared" si="24"/>
        <v>-3.0465949820788457E-2</v>
      </c>
    </row>
    <row r="378" spans="1:9" x14ac:dyDescent="0.25">
      <c r="A378" s="139">
        <v>43956</v>
      </c>
      <c r="B378" s="140">
        <v>4513.6000000000004</v>
      </c>
      <c r="C378" s="140">
        <v>78.900000000000006</v>
      </c>
      <c r="D378" s="140">
        <v>1619.15</v>
      </c>
      <c r="E378" s="141">
        <v>26.6</v>
      </c>
      <c r="F378">
        <f t="shared" si="21"/>
        <v>-1.5948111407859518E-2</v>
      </c>
      <c r="G378">
        <f t="shared" si="22"/>
        <v>-1.3133208255159439E-2</v>
      </c>
      <c r="H378">
        <f t="shared" si="23"/>
        <v>-3.4380963740457932E-2</v>
      </c>
      <c r="I378">
        <f t="shared" si="24"/>
        <v>-1.6635859519408477E-2</v>
      </c>
    </row>
    <row r="379" spans="1:9" x14ac:dyDescent="0.25">
      <c r="A379" s="139">
        <v>43957</v>
      </c>
      <c r="B379" s="140">
        <v>4416.8999999999996</v>
      </c>
      <c r="C379" s="140">
        <v>79.45</v>
      </c>
      <c r="D379" s="140">
        <v>1610.65</v>
      </c>
      <c r="E379" s="141">
        <v>26.3</v>
      </c>
      <c r="F379">
        <f t="shared" si="21"/>
        <v>-2.142414037575344E-2</v>
      </c>
      <c r="G379">
        <f t="shared" si="22"/>
        <v>6.970849176172334E-3</v>
      </c>
      <c r="H379">
        <f t="shared" si="23"/>
        <v>-5.2496680356977424E-3</v>
      </c>
      <c r="I379">
        <f t="shared" si="24"/>
        <v>-1.127819548872183E-2</v>
      </c>
    </row>
    <row r="380" spans="1:9" x14ac:dyDescent="0.25">
      <c r="A380" s="139">
        <v>43958</v>
      </c>
      <c r="B380" s="140">
        <v>4352.45</v>
      </c>
      <c r="C380" s="140">
        <v>78.55</v>
      </c>
      <c r="D380" s="140">
        <v>1594.3</v>
      </c>
      <c r="E380" s="141">
        <v>28.1</v>
      </c>
      <c r="F380">
        <f t="shared" si="21"/>
        <v>-1.4591681948878133E-2</v>
      </c>
      <c r="G380">
        <f t="shared" si="22"/>
        <v>-1.1327879169288933E-2</v>
      </c>
      <c r="H380">
        <f t="shared" si="23"/>
        <v>-1.0151181200136675E-2</v>
      </c>
      <c r="I380">
        <f t="shared" si="24"/>
        <v>6.84410646387833E-2</v>
      </c>
    </row>
    <row r="381" spans="1:9" x14ac:dyDescent="0.25">
      <c r="A381" s="139">
        <v>43959</v>
      </c>
      <c r="B381" s="140">
        <v>4255.8</v>
      </c>
      <c r="C381" s="140">
        <v>77.400000000000006</v>
      </c>
      <c r="D381" s="140">
        <v>1578.4</v>
      </c>
      <c r="E381" s="141">
        <v>27.05</v>
      </c>
      <c r="F381">
        <f t="shared" si="21"/>
        <v>-2.2205884042320909E-2</v>
      </c>
      <c r="G381">
        <f t="shared" si="22"/>
        <v>-1.4640356460852853E-2</v>
      </c>
      <c r="H381">
        <f t="shared" si="23"/>
        <v>-9.9730289155114237E-3</v>
      </c>
      <c r="I381">
        <f t="shared" si="24"/>
        <v>-3.7366548042704652E-2</v>
      </c>
    </row>
    <row r="382" spans="1:9" x14ac:dyDescent="0.25">
      <c r="A382" s="139">
        <v>43962</v>
      </c>
      <c r="B382" s="140">
        <v>4235.2</v>
      </c>
      <c r="C382" s="140">
        <v>79.599999999999994</v>
      </c>
      <c r="D382" s="140">
        <v>1569.6</v>
      </c>
      <c r="E382" s="141">
        <v>27.8</v>
      </c>
      <c r="F382">
        <f t="shared" si="21"/>
        <v>-4.84045302880783E-3</v>
      </c>
      <c r="G382">
        <f t="shared" si="22"/>
        <v>2.8423772609818973E-2</v>
      </c>
      <c r="H382">
        <f t="shared" si="23"/>
        <v>-5.5752660922454263E-3</v>
      </c>
      <c r="I382">
        <f t="shared" si="24"/>
        <v>2.7726432532347505E-2</v>
      </c>
    </row>
    <row r="383" spans="1:9" x14ac:dyDescent="0.25">
      <c r="A383" s="139">
        <v>43963</v>
      </c>
      <c r="B383" s="140">
        <v>4207.95</v>
      </c>
      <c r="C383" s="140">
        <v>89.05</v>
      </c>
      <c r="D383" s="140">
        <v>1523.35</v>
      </c>
      <c r="E383" s="141">
        <v>27.95</v>
      </c>
      <c r="F383">
        <f t="shared" si="21"/>
        <v>-6.4341707593502081E-3</v>
      </c>
      <c r="G383">
        <f t="shared" si="22"/>
        <v>0.11871859296482416</v>
      </c>
      <c r="H383">
        <f t="shared" si="23"/>
        <v>-2.9466106014271153E-2</v>
      </c>
      <c r="I383">
        <f t="shared" si="24"/>
        <v>5.3956834532373592E-3</v>
      </c>
    </row>
    <row r="384" spans="1:9" x14ac:dyDescent="0.25">
      <c r="A384" s="139">
        <v>43964</v>
      </c>
      <c r="B384" s="140">
        <v>4369.3500000000004</v>
      </c>
      <c r="C384" s="140">
        <v>90.25</v>
      </c>
      <c r="D384" s="140">
        <v>1563.3</v>
      </c>
      <c r="E384" s="141">
        <v>28.65</v>
      </c>
      <c r="F384">
        <f t="shared" si="21"/>
        <v>3.8355969058567842E-2</v>
      </c>
      <c r="G384">
        <f t="shared" si="22"/>
        <v>1.3475575519371173E-2</v>
      </c>
      <c r="H384">
        <f t="shared" si="23"/>
        <v>2.6225096005514193E-2</v>
      </c>
      <c r="I384">
        <f t="shared" si="24"/>
        <v>2.50447227191413E-2</v>
      </c>
    </row>
    <row r="385" spans="1:9" x14ac:dyDescent="0.25">
      <c r="A385" s="139">
        <v>43965</v>
      </c>
      <c r="B385" s="140">
        <v>4317.3500000000004</v>
      </c>
      <c r="C385" s="140">
        <v>89.15</v>
      </c>
      <c r="D385" s="140">
        <v>1522.4</v>
      </c>
      <c r="E385" s="141">
        <v>28.2</v>
      </c>
      <c r="F385">
        <f t="shared" si="21"/>
        <v>-1.1901083685216335E-2</v>
      </c>
      <c r="G385">
        <f t="shared" si="22"/>
        <v>-1.2188365650969465E-2</v>
      </c>
      <c r="H385">
        <f t="shared" si="23"/>
        <v>-2.6162604746369771E-2</v>
      </c>
      <c r="I385">
        <f t="shared" si="24"/>
        <v>-1.5706806282722488E-2</v>
      </c>
    </row>
    <row r="386" spans="1:9" x14ac:dyDescent="0.25">
      <c r="A386" s="139">
        <v>43966</v>
      </c>
      <c r="B386" s="140">
        <v>4406.3500000000004</v>
      </c>
      <c r="C386" s="140">
        <v>92.95</v>
      </c>
      <c r="D386" s="140">
        <v>1552.95</v>
      </c>
      <c r="E386" s="141">
        <v>28.7</v>
      </c>
      <c r="F386">
        <f t="shared" si="21"/>
        <v>2.0614497318957228E-2</v>
      </c>
      <c r="G386">
        <f t="shared" si="22"/>
        <v>4.2624789680314044E-2</v>
      </c>
      <c r="H386">
        <f t="shared" si="23"/>
        <v>2.0066999474513895E-2</v>
      </c>
      <c r="I386">
        <f t="shared" si="24"/>
        <v>1.7730496453900711E-2</v>
      </c>
    </row>
    <row r="387" spans="1:9" x14ac:dyDescent="0.25">
      <c r="A387" s="139">
        <v>43969</v>
      </c>
      <c r="B387" s="140">
        <v>4256.3999999999996</v>
      </c>
      <c r="C387" s="140">
        <v>92.5</v>
      </c>
      <c r="D387" s="140">
        <v>1501.1</v>
      </c>
      <c r="E387" s="141">
        <v>27.55</v>
      </c>
      <c r="F387">
        <f t="shared" si="21"/>
        <v>-3.4030433351867354E-2</v>
      </c>
      <c r="G387">
        <f t="shared" si="22"/>
        <v>-4.841312533620256E-3</v>
      </c>
      <c r="H387">
        <f t="shared" si="23"/>
        <v>-3.3388067870826578E-2</v>
      </c>
      <c r="I387">
        <f t="shared" si="24"/>
        <v>-4.0069686411149774E-2</v>
      </c>
    </row>
    <row r="388" spans="1:9" x14ac:dyDescent="0.25">
      <c r="A388" s="139">
        <v>43970</v>
      </c>
      <c r="B388" s="140">
        <v>4301.75</v>
      </c>
      <c r="C388" s="140">
        <v>90</v>
      </c>
      <c r="D388" s="140">
        <v>1503.95</v>
      </c>
      <c r="E388" s="141">
        <v>27.4</v>
      </c>
      <c r="F388">
        <f t="shared" ref="F388:F451" si="25">(B388-B387)/B387</f>
        <v>1.0654543745888631E-2</v>
      </c>
      <c r="G388">
        <f t="shared" ref="G388:G451" si="26">(C388-C387)/C387</f>
        <v>-2.7027027027027029E-2</v>
      </c>
      <c r="H388">
        <f t="shared" ref="H388:H451" si="27">(D388-D387)/D387</f>
        <v>1.8986076876957808E-3</v>
      </c>
      <c r="I388">
        <f t="shared" ref="I388:I451" si="28">(E388-E387)/E387</f>
        <v>-5.4446460980037067E-3</v>
      </c>
    </row>
    <row r="389" spans="1:9" x14ac:dyDescent="0.25">
      <c r="A389" s="139">
        <v>43971</v>
      </c>
      <c r="B389" s="140">
        <v>4390.8500000000004</v>
      </c>
      <c r="C389" s="140">
        <v>88.55</v>
      </c>
      <c r="D389" s="140">
        <v>1500.05</v>
      </c>
      <c r="E389" s="141">
        <v>27.15</v>
      </c>
      <c r="F389">
        <f t="shared" si="25"/>
        <v>2.0712500726448622E-2</v>
      </c>
      <c r="G389">
        <f t="shared" si="26"/>
        <v>-1.6111111111111142E-2</v>
      </c>
      <c r="H389">
        <f t="shared" si="27"/>
        <v>-2.5931713155358162E-3</v>
      </c>
      <c r="I389">
        <f t="shared" si="28"/>
        <v>-9.1240875912408769E-3</v>
      </c>
    </row>
    <row r="390" spans="1:9" x14ac:dyDescent="0.25">
      <c r="A390" s="139">
        <v>43972</v>
      </c>
      <c r="B390" s="140">
        <v>4296.3</v>
      </c>
      <c r="C390" s="140">
        <v>90.2</v>
      </c>
      <c r="D390" s="140">
        <v>1574.3</v>
      </c>
      <c r="E390" s="141">
        <v>26.9</v>
      </c>
      <c r="F390">
        <f t="shared" si="25"/>
        <v>-2.1533416081168835E-2</v>
      </c>
      <c r="G390">
        <f t="shared" si="26"/>
        <v>1.8633540372670874E-2</v>
      </c>
      <c r="H390">
        <f t="shared" si="27"/>
        <v>4.9498350054998169E-2</v>
      </c>
      <c r="I390">
        <f t="shared" si="28"/>
        <v>-9.2081031307550652E-3</v>
      </c>
    </row>
    <row r="391" spans="1:9" x14ac:dyDescent="0.25">
      <c r="A391" s="139">
        <v>43973</v>
      </c>
      <c r="B391" s="140">
        <v>4342.3999999999996</v>
      </c>
      <c r="C391" s="140">
        <v>89.1</v>
      </c>
      <c r="D391" s="140">
        <v>1617.9</v>
      </c>
      <c r="E391" s="141">
        <v>26.55</v>
      </c>
      <c r="F391">
        <f t="shared" si="25"/>
        <v>1.0730163163652318E-2</v>
      </c>
      <c r="G391">
        <f t="shared" si="26"/>
        <v>-1.2195121951219606E-2</v>
      </c>
      <c r="H391">
        <f t="shared" si="27"/>
        <v>2.7694848504097147E-2</v>
      </c>
      <c r="I391">
        <f t="shared" si="28"/>
        <v>-1.30111524163568E-2</v>
      </c>
    </row>
    <row r="392" spans="1:9" x14ac:dyDescent="0.25">
      <c r="A392" s="139">
        <v>43977</v>
      </c>
      <c r="B392" s="140">
        <v>4499.95</v>
      </c>
      <c r="C392" s="140">
        <v>87.9</v>
      </c>
      <c r="D392" s="140">
        <v>1629.85</v>
      </c>
      <c r="E392" s="141">
        <v>27.4</v>
      </c>
      <c r="F392">
        <f t="shared" si="25"/>
        <v>3.6281779661016991E-2</v>
      </c>
      <c r="G392">
        <f t="shared" si="26"/>
        <v>-1.3468013468013341E-2</v>
      </c>
      <c r="H392">
        <f t="shared" si="27"/>
        <v>7.3861178070336962E-3</v>
      </c>
      <c r="I392">
        <f t="shared" si="28"/>
        <v>3.2015065913370916E-2</v>
      </c>
    </row>
    <row r="393" spans="1:9" x14ac:dyDescent="0.25">
      <c r="A393" s="139">
        <v>43978</v>
      </c>
      <c r="B393" s="140">
        <v>4551.6499999999996</v>
      </c>
      <c r="C393" s="140">
        <v>87.9</v>
      </c>
      <c r="D393" s="140">
        <v>1619.45</v>
      </c>
      <c r="E393" s="141">
        <v>27.6</v>
      </c>
      <c r="F393">
        <f t="shared" si="25"/>
        <v>1.1489016544628234E-2</v>
      </c>
      <c r="G393">
        <f t="shared" si="26"/>
        <v>0</v>
      </c>
      <c r="H393">
        <f t="shared" si="27"/>
        <v>-6.3809553026351285E-3</v>
      </c>
      <c r="I393">
        <f t="shared" si="28"/>
        <v>7.2992700729928046E-3</v>
      </c>
    </row>
    <row r="394" spans="1:9" x14ac:dyDescent="0.25">
      <c r="A394" s="139">
        <v>43979</v>
      </c>
      <c r="B394" s="140">
        <v>4633</v>
      </c>
      <c r="C394" s="140">
        <v>89.95</v>
      </c>
      <c r="D394" s="140">
        <v>1643.6</v>
      </c>
      <c r="E394" s="141">
        <v>27</v>
      </c>
      <c r="F394">
        <f t="shared" si="25"/>
        <v>1.7872639592235864E-2</v>
      </c>
      <c r="G394">
        <f t="shared" si="26"/>
        <v>2.3321956769055713E-2</v>
      </c>
      <c r="H394">
        <f t="shared" si="27"/>
        <v>1.4912470283120727E-2</v>
      </c>
      <c r="I394">
        <f t="shared" si="28"/>
        <v>-2.173913043478266E-2</v>
      </c>
    </row>
    <row r="395" spans="1:9" x14ac:dyDescent="0.25">
      <c r="A395" s="139">
        <v>43980</v>
      </c>
      <c r="B395" s="140">
        <v>4875.8</v>
      </c>
      <c r="C395" s="140">
        <v>92.2</v>
      </c>
      <c r="D395" s="140">
        <v>1683.1</v>
      </c>
      <c r="E395" s="141">
        <v>26.85</v>
      </c>
      <c r="F395">
        <f t="shared" si="25"/>
        <v>5.2406647960284949E-2</v>
      </c>
      <c r="G395">
        <f t="shared" si="26"/>
        <v>2.5013896609227346E-2</v>
      </c>
      <c r="H395">
        <f t="shared" si="27"/>
        <v>2.4032611340958871E-2</v>
      </c>
      <c r="I395">
        <f t="shared" si="28"/>
        <v>-5.5555555555555029E-3</v>
      </c>
    </row>
    <row r="396" spans="1:9" x14ac:dyDescent="0.25">
      <c r="A396" s="139">
        <v>43983</v>
      </c>
      <c r="B396" s="140">
        <v>5051.5</v>
      </c>
      <c r="C396" s="140">
        <v>93.65</v>
      </c>
      <c r="D396" s="140">
        <v>1693.25</v>
      </c>
      <c r="E396" s="141">
        <v>27.15</v>
      </c>
      <c r="F396">
        <f t="shared" si="25"/>
        <v>3.6035112186718038E-2</v>
      </c>
      <c r="G396">
        <f t="shared" si="26"/>
        <v>1.5726681127982676E-2</v>
      </c>
      <c r="H396">
        <f t="shared" si="27"/>
        <v>6.0305388865783916E-3</v>
      </c>
      <c r="I396">
        <f t="shared" si="28"/>
        <v>1.1173184357541792E-2</v>
      </c>
    </row>
    <row r="397" spans="1:9" x14ac:dyDescent="0.25">
      <c r="A397" s="139">
        <v>43984</v>
      </c>
      <c r="B397" s="140">
        <v>5197.5</v>
      </c>
      <c r="C397" s="140">
        <v>96.9</v>
      </c>
      <c r="D397" s="140">
        <v>1709.3</v>
      </c>
      <c r="E397" s="141">
        <v>27.15</v>
      </c>
      <c r="F397">
        <f t="shared" si="25"/>
        <v>2.8902306245669602E-2</v>
      </c>
      <c r="G397">
        <f t="shared" si="26"/>
        <v>3.4703683929524824E-2</v>
      </c>
      <c r="H397">
        <f t="shared" si="27"/>
        <v>9.4788129337073403E-3</v>
      </c>
      <c r="I397">
        <f t="shared" si="28"/>
        <v>0</v>
      </c>
    </row>
    <row r="398" spans="1:9" x14ac:dyDescent="0.25">
      <c r="A398" s="139">
        <v>43985</v>
      </c>
      <c r="B398" s="140">
        <v>5384.95</v>
      </c>
      <c r="C398" s="140">
        <v>96.7</v>
      </c>
      <c r="D398" s="140">
        <v>1716.55</v>
      </c>
      <c r="E398" s="141">
        <v>27.95</v>
      </c>
      <c r="F398">
        <f t="shared" si="25"/>
        <v>3.606541606541603E-2</v>
      </c>
      <c r="G398">
        <f t="shared" si="26"/>
        <v>-2.0639834881321243E-3</v>
      </c>
      <c r="H398">
        <f t="shared" si="27"/>
        <v>4.241502369390979E-3</v>
      </c>
      <c r="I398">
        <f t="shared" si="28"/>
        <v>2.9465930018416235E-2</v>
      </c>
    </row>
    <row r="399" spans="1:9" x14ac:dyDescent="0.25">
      <c r="A399" s="139">
        <v>43986</v>
      </c>
      <c r="B399" s="140">
        <v>5180.55</v>
      </c>
      <c r="C399" s="140">
        <v>104.4</v>
      </c>
      <c r="D399" s="140">
        <v>1633.75</v>
      </c>
      <c r="E399" s="141">
        <v>27.95</v>
      </c>
      <c r="F399">
        <f t="shared" si="25"/>
        <v>-3.7957641203725127E-2</v>
      </c>
      <c r="G399">
        <f t="shared" si="26"/>
        <v>7.9627714581178927E-2</v>
      </c>
      <c r="H399">
        <f t="shared" si="27"/>
        <v>-4.8236287903061351E-2</v>
      </c>
      <c r="I399">
        <f t="shared" si="28"/>
        <v>0</v>
      </c>
    </row>
    <row r="400" spans="1:9" x14ac:dyDescent="0.25">
      <c r="A400" s="139">
        <v>43987</v>
      </c>
      <c r="B400" s="140">
        <v>5006.25</v>
      </c>
      <c r="C400" s="140">
        <v>105.3</v>
      </c>
      <c r="D400" s="140">
        <v>1638.55</v>
      </c>
      <c r="E400" s="141">
        <v>28.85</v>
      </c>
      <c r="F400">
        <f t="shared" si="25"/>
        <v>-3.3645076294988016E-2</v>
      </c>
      <c r="G400">
        <f t="shared" si="26"/>
        <v>8.6206896551723321E-3</v>
      </c>
      <c r="H400">
        <f t="shared" si="27"/>
        <v>2.9380260137719691E-3</v>
      </c>
      <c r="I400">
        <f t="shared" si="28"/>
        <v>3.220035778175321E-2</v>
      </c>
    </row>
    <row r="401" spans="1:9" x14ac:dyDescent="0.25">
      <c r="A401" s="139">
        <v>43990</v>
      </c>
      <c r="B401" s="140">
        <v>5010.05</v>
      </c>
      <c r="C401" s="140">
        <v>105.1</v>
      </c>
      <c r="D401" s="140">
        <v>1634.25</v>
      </c>
      <c r="E401" s="141">
        <v>30.6</v>
      </c>
      <c r="F401">
        <f t="shared" si="25"/>
        <v>7.590511860175145E-4</v>
      </c>
      <c r="G401">
        <f t="shared" si="26"/>
        <v>-1.899335232668593E-3</v>
      </c>
      <c r="H401">
        <f t="shared" si="27"/>
        <v>-2.624271459522111E-3</v>
      </c>
      <c r="I401">
        <f t="shared" si="28"/>
        <v>6.0658578856152508E-2</v>
      </c>
    </row>
    <row r="402" spans="1:9" x14ac:dyDescent="0.25">
      <c r="A402" s="139">
        <v>43991</v>
      </c>
      <c r="B402" s="140">
        <v>5040.7</v>
      </c>
      <c r="C402" s="140">
        <v>104.6</v>
      </c>
      <c r="D402" s="140">
        <v>1642.05</v>
      </c>
      <c r="E402" s="141">
        <v>29.85</v>
      </c>
      <c r="F402">
        <f t="shared" si="25"/>
        <v>6.1177034161334987E-3</v>
      </c>
      <c r="G402">
        <f t="shared" si="26"/>
        <v>-4.7573739295908657E-3</v>
      </c>
      <c r="H402">
        <f t="shared" si="27"/>
        <v>4.772831574116539E-3</v>
      </c>
      <c r="I402">
        <f t="shared" si="28"/>
        <v>-2.4509803921568627E-2</v>
      </c>
    </row>
    <row r="403" spans="1:9" x14ac:dyDescent="0.25">
      <c r="A403" s="139">
        <v>43992</v>
      </c>
      <c r="B403" s="140">
        <v>5019.3500000000004</v>
      </c>
      <c r="C403" s="140">
        <v>106.1</v>
      </c>
      <c r="D403" s="140">
        <v>1635.95</v>
      </c>
      <c r="E403" s="141">
        <v>30.4</v>
      </c>
      <c r="F403">
        <f t="shared" si="25"/>
        <v>-4.2355228440493298E-3</v>
      </c>
      <c r="G403">
        <f t="shared" si="26"/>
        <v>1.4340344168260039E-2</v>
      </c>
      <c r="H403">
        <f t="shared" si="27"/>
        <v>-3.7148686093601956E-3</v>
      </c>
      <c r="I403">
        <f t="shared" si="28"/>
        <v>1.8425460636515817E-2</v>
      </c>
    </row>
    <row r="404" spans="1:9" x14ac:dyDescent="0.25">
      <c r="A404" s="139">
        <v>43993</v>
      </c>
      <c r="B404" s="140">
        <v>4976.45</v>
      </c>
      <c r="C404" s="140">
        <v>101.05</v>
      </c>
      <c r="D404" s="140">
        <v>1610.6</v>
      </c>
      <c r="E404" s="141">
        <v>29.8</v>
      </c>
      <c r="F404">
        <f t="shared" si="25"/>
        <v>-8.5469234064172745E-3</v>
      </c>
      <c r="G404">
        <f t="shared" si="26"/>
        <v>-4.7596606974552286E-2</v>
      </c>
      <c r="H404">
        <f t="shared" si="27"/>
        <v>-1.5495583605856008E-2</v>
      </c>
      <c r="I404">
        <f t="shared" si="28"/>
        <v>-1.9736842105263087E-2</v>
      </c>
    </row>
    <row r="405" spans="1:9" x14ac:dyDescent="0.25">
      <c r="A405" s="139">
        <v>43994</v>
      </c>
      <c r="B405" s="140">
        <v>4975.7</v>
      </c>
      <c r="C405" s="140">
        <v>103.3</v>
      </c>
      <c r="D405" s="140">
        <v>1637.35</v>
      </c>
      <c r="E405" s="141">
        <v>29.5</v>
      </c>
      <c r="F405">
        <f t="shared" si="25"/>
        <v>-1.5070984336223615E-4</v>
      </c>
      <c r="G405">
        <f t="shared" si="26"/>
        <v>2.2266204849084613E-2</v>
      </c>
      <c r="H405">
        <f t="shared" si="27"/>
        <v>1.6608717248230473E-2</v>
      </c>
      <c r="I405">
        <f t="shared" si="28"/>
        <v>-1.0067114093959755E-2</v>
      </c>
    </row>
    <row r="406" spans="1:9" x14ac:dyDescent="0.25">
      <c r="A406" s="139">
        <v>43997</v>
      </c>
      <c r="B406" s="140">
        <v>5291.75</v>
      </c>
      <c r="C406" s="140">
        <v>102.4</v>
      </c>
      <c r="D406" s="140">
        <v>1618.2</v>
      </c>
      <c r="E406" s="141">
        <v>29</v>
      </c>
      <c r="F406">
        <f t="shared" si="25"/>
        <v>6.3518700886307497E-2</v>
      </c>
      <c r="G406">
        <f t="shared" si="26"/>
        <v>-8.7124878993222795E-3</v>
      </c>
      <c r="H406">
        <f t="shared" si="27"/>
        <v>-1.169572785293301E-2</v>
      </c>
      <c r="I406">
        <f t="shared" si="28"/>
        <v>-1.6949152542372881E-2</v>
      </c>
    </row>
    <row r="407" spans="1:9" x14ac:dyDescent="0.25">
      <c r="A407" s="139">
        <v>43998</v>
      </c>
      <c r="B407" s="140">
        <v>5303.4</v>
      </c>
      <c r="C407" s="140">
        <v>103.85</v>
      </c>
      <c r="D407" s="140">
        <v>1621.7</v>
      </c>
      <c r="E407" s="141">
        <v>28.4</v>
      </c>
      <c r="F407">
        <f t="shared" si="25"/>
        <v>2.2015401332261797E-3</v>
      </c>
      <c r="G407">
        <f t="shared" si="26"/>
        <v>1.4160156249999889E-2</v>
      </c>
      <c r="H407">
        <f t="shared" si="27"/>
        <v>2.1628970461006055E-3</v>
      </c>
      <c r="I407">
        <f t="shared" si="28"/>
        <v>-2.0689655172413841E-2</v>
      </c>
    </row>
    <row r="408" spans="1:9" x14ac:dyDescent="0.25">
      <c r="A408" s="139">
        <v>43999</v>
      </c>
      <c r="B408" s="140">
        <v>5338.35</v>
      </c>
      <c r="C408" s="140">
        <v>102.1</v>
      </c>
      <c r="D408" s="140">
        <v>1595.4</v>
      </c>
      <c r="E408" s="141">
        <v>27.65</v>
      </c>
      <c r="F408">
        <f t="shared" si="25"/>
        <v>6.5901120036204568E-3</v>
      </c>
      <c r="G408">
        <f t="shared" si="26"/>
        <v>-1.6851227732306212E-2</v>
      </c>
      <c r="H408">
        <f t="shared" si="27"/>
        <v>-1.6217549485108191E-2</v>
      </c>
      <c r="I408">
        <f t="shared" si="28"/>
        <v>-2.6408450704225355E-2</v>
      </c>
    </row>
    <row r="409" spans="1:9" x14ac:dyDescent="0.25">
      <c r="A409" s="139">
        <v>44000</v>
      </c>
      <c r="B409" s="140">
        <v>5566.85</v>
      </c>
      <c r="C409" s="140">
        <v>107</v>
      </c>
      <c r="D409" s="140">
        <v>1597.8</v>
      </c>
      <c r="E409" s="141">
        <v>28</v>
      </c>
      <c r="F409">
        <f t="shared" si="25"/>
        <v>4.2803487969129035E-2</v>
      </c>
      <c r="G409">
        <f t="shared" si="26"/>
        <v>4.799216454456421E-2</v>
      </c>
      <c r="H409">
        <f t="shared" si="27"/>
        <v>1.5043249341856984E-3</v>
      </c>
      <c r="I409">
        <f t="shared" si="28"/>
        <v>1.2658227848101318E-2</v>
      </c>
    </row>
    <row r="410" spans="1:9" x14ac:dyDescent="0.25">
      <c r="A410" s="139">
        <v>44001</v>
      </c>
      <c r="B410" s="140">
        <v>5687.25</v>
      </c>
      <c r="C410" s="140">
        <v>105.25</v>
      </c>
      <c r="D410" s="140">
        <v>1622.5</v>
      </c>
      <c r="E410" s="141">
        <v>28</v>
      </c>
      <c r="F410">
        <f t="shared" si="25"/>
        <v>2.1628030214573706E-2</v>
      </c>
      <c r="G410">
        <f t="shared" si="26"/>
        <v>-1.6355140186915886E-2</v>
      </c>
      <c r="H410">
        <f t="shared" si="27"/>
        <v>1.5458755789210193E-2</v>
      </c>
      <c r="I410">
        <f t="shared" si="28"/>
        <v>0</v>
      </c>
    </row>
    <row r="411" spans="1:9" x14ac:dyDescent="0.25">
      <c r="A411" s="139">
        <v>44004</v>
      </c>
      <c r="B411" s="140">
        <v>5546.1</v>
      </c>
      <c r="C411" s="140">
        <v>110.05</v>
      </c>
      <c r="D411" s="140">
        <v>1652.15</v>
      </c>
      <c r="E411" s="141">
        <v>27.75</v>
      </c>
      <c r="F411">
        <f t="shared" si="25"/>
        <v>-2.4818673348278981E-2</v>
      </c>
      <c r="G411">
        <f t="shared" si="26"/>
        <v>4.5605700712589049E-2</v>
      </c>
      <c r="H411">
        <f t="shared" si="27"/>
        <v>1.8274268104776635E-2</v>
      </c>
      <c r="I411">
        <f t="shared" si="28"/>
        <v>-8.9285714285714281E-3</v>
      </c>
    </row>
    <row r="412" spans="1:9" x14ac:dyDescent="0.25">
      <c r="A412" s="139">
        <v>44005</v>
      </c>
      <c r="B412" s="140">
        <v>5907.1</v>
      </c>
      <c r="C412" s="140">
        <v>110</v>
      </c>
      <c r="D412" s="140">
        <v>1683.9</v>
      </c>
      <c r="E412" s="141">
        <v>27.55</v>
      </c>
      <c r="F412">
        <f t="shared" si="25"/>
        <v>6.5090784515244943E-2</v>
      </c>
      <c r="G412">
        <f t="shared" si="26"/>
        <v>-4.5433893684686195E-4</v>
      </c>
      <c r="H412">
        <f t="shared" si="27"/>
        <v>1.9217383409496715E-2</v>
      </c>
      <c r="I412">
        <f t="shared" si="28"/>
        <v>-7.2072072072071813E-3</v>
      </c>
    </row>
    <row r="413" spans="1:9" x14ac:dyDescent="0.25">
      <c r="A413" s="139">
        <v>44006</v>
      </c>
      <c r="B413" s="140">
        <v>5661.6</v>
      </c>
      <c r="C413" s="140">
        <v>109.45</v>
      </c>
      <c r="D413" s="140">
        <v>1747.25</v>
      </c>
      <c r="E413" s="141">
        <v>27.05</v>
      </c>
      <c r="F413">
        <f t="shared" si="25"/>
        <v>-4.1560156421932927E-2</v>
      </c>
      <c r="G413">
        <f t="shared" si="26"/>
        <v>-4.9999999999999741E-3</v>
      </c>
      <c r="H413">
        <f t="shared" si="27"/>
        <v>3.7620998871666908E-2</v>
      </c>
      <c r="I413">
        <f t="shared" si="28"/>
        <v>-1.8148820326678767E-2</v>
      </c>
    </row>
    <row r="414" spans="1:9" x14ac:dyDescent="0.25">
      <c r="A414" s="139">
        <v>44007</v>
      </c>
      <c r="B414" s="140">
        <v>5693.65</v>
      </c>
      <c r="C414" s="140">
        <v>111.25</v>
      </c>
      <c r="D414" s="140">
        <v>1689</v>
      </c>
      <c r="E414" s="141">
        <v>27</v>
      </c>
      <c r="F414">
        <f t="shared" si="25"/>
        <v>5.6609439027835362E-3</v>
      </c>
      <c r="G414">
        <f t="shared" si="26"/>
        <v>1.6445865692096821E-2</v>
      </c>
      <c r="H414">
        <f t="shared" si="27"/>
        <v>-3.3338102732865929E-2</v>
      </c>
      <c r="I414">
        <f t="shared" si="28"/>
        <v>-1.8484288354898599E-3</v>
      </c>
    </row>
    <row r="415" spans="1:9" x14ac:dyDescent="0.25">
      <c r="A415" s="139">
        <v>44008</v>
      </c>
      <c r="B415" s="140">
        <v>5578.6</v>
      </c>
      <c r="C415" s="140">
        <v>109.95</v>
      </c>
      <c r="D415" s="140">
        <v>1686.75</v>
      </c>
      <c r="E415" s="141">
        <v>26.75</v>
      </c>
      <c r="F415">
        <f t="shared" si="25"/>
        <v>-2.0206721523100168E-2</v>
      </c>
      <c r="G415">
        <f t="shared" si="26"/>
        <v>-1.168539325842694E-2</v>
      </c>
      <c r="H415">
        <f t="shared" si="27"/>
        <v>-1.3321492007104796E-3</v>
      </c>
      <c r="I415">
        <f t="shared" si="28"/>
        <v>-9.2592592592592587E-3</v>
      </c>
    </row>
    <row r="416" spans="1:9" x14ac:dyDescent="0.25">
      <c r="A416" s="139">
        <v>44011</v>
      </c>
      <c r="B416" s="140">
        <v>5551.2</v>
      </c>
      <c r="C416" s="140">
        <v>107.95</v>
      </c>
      <c r="D416" s="140">
        <v>1691.95</v>
      </c>
      <c r="E416" s="141">
        <v>26.1</v>
      </c>
      <c r="F416">
        <f t="shared" si="25"/>
        <v>-4.911626572975396E-3</v>
      </c>
      <c r="G416">
        <f t="shared" si="26"/>
        <v>-1.8190086402910415E-2</v>
      </c>
      <c r="H416">
        <f t="shared" si="27"/>
        <v>3.0828516377649595E-3</v>
      </c>
      <c r="I416">
        <f t="shared" si="28"/>
        <v>-2.4299065420560696E-2</v>
      </c>
    </row>
    <row r="417" spans="1:9" x14ac:dyDescent="0.25">
      <c r="A417" s="139">
        <v>44012</v>
      </c>
      <c r="B417" s="140">
        <v>5758.9</v>
      </c>
      <c r="C417" s="140">
        <v>106.4</v>
      </c>
      <c r="D417" s="140">
        <v>1687.45</v>
      </c>
      <c r="E417" s="141">
        <v>25.6</v>
      </c>
      <c r="F417">
        <f t="shared" si="25"/>
        <v>3.7415333621559271E-2</v>
      </c>
      <c r="G417">
        <f t="shared" si="26"/>
        <v>-1.4358499305233878E-2</v>
      </c>
      <c r="H417">
        <f t="shared" si="27"/>
        <v>-2.6596530630337775E-3</v>
      </c>
      <c r="I417">
        <f t="shared" si="28"/>
        <v>-1.9157088122605363E-2</v>
      </c>
    </row>
    <row r="418" spans="1:9" x14ac:dyDescent="0.25">
      <c r="A418" s="139">
        <v>44013</v>
      </c>
      <c r="B418" s="140">
        <v>5873.95</v>
      </c>
      <c r="C418" s="140">
        <v>107.7</v>
      </c>
      <c r="D418" s="140">
        <v>1688</v>
      </c>
      <c r="E418" s="141">
        <v>26.9</v>
      </c>
      <c r="F418">
        <f t="shared" si="25"/>
        <v>1.9977773533140043E-2</v>
      </c>
      <c r="G418">
        <f t="shared" si="26"/>
        <v>1.2218045112781928E-2</v>
      </c>
      <c r="H418">
        <f t="shared" si="27"/>
        <v>3.2593558327651456E-4</v>
      </c>
      <c r="I418">
        <f t="shared" si="28"/>
        <v>5.0781249999999889E-2</v>
      </c>
    </row>
    <row r="419" spans="1:9" x14ac:dyDescent="0.25">
      <c r="A419" s="139">
        <v>44014</v>
      </c>
      <c r="B419" s="140">
        <v>5958</v>
      </c>
      <c r="C419" s="140">
        <v>106.4</v>
      </c>
      <c r="D419" s="140">
        <v>1686.45</v>
      </c>
      <c r="E419" s="141">
        <v>26.25</v>
      </c>
      <c r="F419">
        <f t="shared" si="25"/>
        <v>1.4308940321248936E-2</v>
      </c>
      <c r="G419">
        <f t="shared" si="26"/>
        <v>-1.2070566388115107E-2</v>
      </c>
      <c r="H419">
        <f t="shared" si="27"/>
        <v>-9.1824644549760338E-4</v>
      </c>
      <c r="I419">
        <f t="shared" si="28"/>
        <v>-2.416356877323415E-2</v>
      </c>
    </row>
    <row r="420" spans="1:9" x14ac:dyDescent="0.25">
      <c r="A420" s="139">
        <v>44015</v>
      </c>
      <c r="B420" s="140">
        <v>5983.4</v>
      </c>
      <c r="C420" s="140">
        <v>106.45</v>
      </c>
      <c r="D420" s="140">
        <v>1695.65</v>
      </c>
      <c r="E420" s="141">
        <v>26.15</v>
      </c>
      <c r="F420">
        <f t="shared" si="25"/>
        <v>4.2631755622691567E-3</v>
      </c>
      <c r="G420">
        <f t="shared" si="26"/>
        <v>4.6992481203004844E-4</v>
      </c>
      <c r="H420">
        <f t="shared" si="27"/>
        <v>5.4552462272821874E-3</v>
      </c>
      <c r="I420">
        <f t="shared" si="28"/>
        <v>-3.8095238095238637E-3</v>
      </c>
    </row>
    <row r="421" spans="1:9" x14ac:dyDescent="0.25">
      <c r="A421" s="139">
        <v>44018</v>
      </c>
      <c r="B421" s="140">
        <v>5967.35</v>
      </c>
      <c r="C421" s="140">
        <v>110.25</v>
      </c>
      <c r="D421" s="140">
        <v>1708.85</v>
      </c>
      <c r="E421" s="141">
        <v>26.05</v>
      </c>
      <c r="F421">
        <f t="shared" si="25"/>
        <v>-2.6824213657785328E-3</v>
      </c>
      <c r="G421">
        <f t="shared" si="26"/>
        <v>3.5697510568341917E-2</v>
      </c>
      <c r="H421">
        <f t="shared" si="27"/>
        <v>7.7846253649042066E-3</v>
      </c>
      <c r="I421">
        <f t="shared" si="28"/>
        <v>-3.8240917782025956E-3</v>
      </c>
    </row>
    <row r="422" spans="1:9" x14ac:dyDescent="0.25">
      <c r="A422" s="139">
        <v>44019</v>
      </c>
      <c r="B422" s="140">
        <v>5881.55</v>
      </c>
      <c r="C422" s="140">
        <v>107.6</v>
      </c>
      <c r="D422" s="140">
        <v>1745.75</v>
      </c>
      <c r="E422" s="141">
        <v>25.75</v>
      </c>
      <c r="F422">
        <f t="shared" si="25"/>
        <v>-1.4378241598029305E-2</v>
      </c>
      <c r="G422">
        <f t="shared" si="26"/>
        <v>-2.4036281179138374E-2</v>
      </c>
      <c r="H422">
        <f t="shared" si="27"/>
        <v>2.1593469292214118E-2</v>
      </c>
      <c r="I422">
        <f t="shared" si="28"/>
        <v>-1.151631477927066E-2</v>
      </c>
    </row>
    <row r="423" spans="1:9" x14ac:dyDescent="0.25">
      <c r="A423" s="139">
        <v>44020</v>
      </c>
      <c r="B423" s="140">
        <v>6086.4</v>
      </c>
      <c r="C423" s="140">
        <v>110.4</v>
      </c>
      <c r="D423" s="140">
        <v>1686.25</v>
      </c>
      <c r="E423" s="141">
        <v>26.05</v>
      </c>
      <c r="F423">
        <f t="shared" si="25"/>
        <v>3.4829254193197275E-2</v>
      </c>
      <c r="G423">
        <f t="shared" si="26"/>
        <v>2.6022304832713863E-2</v>
      </c>
      <c r="H423">
        <f t="shared" si="27"/>
        <v>-3.4082772447372192E-2</v>
      </c>
      <c r="I423">
        <f t="shared" si="28"/>
        <v>1.1650485436893232E-2</v>
      </c>
    </row>
    <row r="424" spans="1:9" x14ac:dyDescent="0.25">
      <c r="A424" s="139">
        <v>44021</v>
      </c>
      <c r="B424" s="140">
        <v>6220.55</v>
      </c>
      <c r="C424" s="140">
        <v>112</v>
      </c>
      <c r="D424" s="140">
        <v>1717.25</v>
      </c>
      <c r="E424" s="141">
        <v>26.65</v>
      </c>
      <c r="F424">
        <f t="shared" si="25"/>
        <v>2.2040943743428063E-2</v>
      </c>
      <c r="G424">
        <f t="shared" si="26"/>
        <v>1.4492753623188354E-2</v>
      </c>
      <c r="H424">
        <f t="shared" si="27"/>
        <v>1.8383988139362491E-2</v>
      </c>
      <c r="I424">
        <f t="shared" si="28"/>
        <v>2.3032629558541184E-2</v>
      </c>
    </row>
    <row r="425" spans="1:9" x14ac:dyDescent="0.25">
      <c r="A425" s="139">
        <v>44022</v>
      </c>
      <c r="B425" s="140">
        <v>6230.1</v>
      </c>
      <c r="C425" s="140">
        <v>110.35</v>
      </c>
      <c r="D425" s="140">
        <v>1703.5</v>
      </c>
      <c r="E425" s="141">
        <v>25.55</v>
      </c>
      <c r="F425">
        <f t="shared" si="25"/>
        <v>1.5352340227150624E-3</v>
      </c>
      <c r="G425">
        <f t="shared" si="26"/>
        <v>-1.4732142857142907E-2</v>
      </c>
      <c r="H425">
        <f t="shared" si="27"/>
        <v>-8.0069879167273261E-3</v>
      </c>
      <c r="I425">
        <f t="shared" si="28"/>
        <v>-4.1275797373358271E-2</v>
      </c>
    </row>
    <row r="426" spans="1:9" x14ac:dyDescent="0.25">
      <c r="A426" s="139">
        <v>44025</v>
      </c>
      <c r="B426" s="140">
        <v>6467.8</v>
      </c>
      <c r="C426" s="140">
        <v>112.4</v>
      </c>
      <c r="D426" s="140">
        <v>1705.65</v>
      </c>
      <c r="E426" s="141">
        <v>22.05</v>
      </c>
      <c r="F426">
        <f t="shared" si="25"/>
        <v>3.8153480682493024E-2</v>
      </c>
      <c r="G426">
        <f t="shared" si="26"/>
        <v>1.857725419120989E-2</v>
      </c>
      <c r="H426">
        <f t="shared" si="27"/>
        <v>1.2621074258879312E-3</v>
      </c>
      <c r="I426">
        <f t="shared" si="28"/>
        <v>-0.13698630136986301</v>
      </c>
    </row>
    <row r="427" spans="1:9" x14ac:dyDescent="0.25">
      <c r="A427" s="139">
        <v>44026</v>
      </c>
      <c r="B427" s="140">
        <v>6362</v>
      </c>
      <c r="C427" s="140">
        <v>108.9</v>
      </c>
      <c r="D427" s="140">
        <v>1688.4</v>
      </c>
      <c r="E427" s="141">
        <v>20.95</v>
      </c>
      <c r="F427">
        <f t="shared" si="25"/>
        <v>-1.6357957883669901E-2</v>
      </c>
      <c r="G427">
        <f t="shared" si="26"/>
        <v>-3.1138790035587186E-2</v>
      </c>
      <c r="H427">
        <f t="shared" si="27"/>
        <v>-1.0113446486676633E-2</v>
      </c>
      <c r="I427">
        <f t="shared" si="28"/>
        <v>-4.9886621315192808E-2</v>
      </c>
    </row>
    <row r="428" spans="1:9" x14ac:dyDescent="0.25">
      <c r="A428" s="139">
        <v>44027</v>
      </c>
      <c r="B428" s="140">
        <v>6467.05</v>
      </c>
      <c r="C428" s="140">
        <v>109.1</v>
      </c>
      <c r="D428" s="140">
        <v>1671.65</v>
      </c>
      <c r="E428" s="141">
        <v>20.45</v>
      </c>
      <c r="F428">
        <f t="shared" si="25"/>
        <v>1.6512103112228886E-2</v>
      </c>
      <c r="G428">
        <f t="shared" si="26"/>
        <v>1.8365472910926411E-3</v>
      </c>
      <c r="H428">
        <f t="shared" si="27"/>
        <v>-9.9206349206349201E-3</v>
      </c>
      <c r="I428">
        <f t="shared" si="28"/>
        <v>-2.386634844868735E-2</v>
      </c>
    </row>
    <row r="429" spans="1:9" x14ac:dyDescent="0.25">
      <c r="A429" s="139">
        <v>44028</v>
      </c>
      <c r="B429" s="140">
        <v>6448.5</v>
      </c>
      <c r="C429" s="140">
        <v>108.9</v>
      </c>
      <c r="D429" s="140">
        <v>1693.2</v>
      </c>
      <c r="E429" s="141">
        <v>19.2</v>
      </c>
      <c r="F429">
        <f t="shared" si="25"/>
        <v>-2.8683866678006482E-3</v>
      </c>
      <c r="G429">
        <f t="shared" si="26"/>
        <v>-1.8331805682858721E-3</v>
      </c>
      <c r="H429">
        <f t="shared" si="27"/>
        <v>1.2891454550892802E-2</v>
      </c>
      <c r="I429">
        <f t="shared" si="28"/>
        <v>-6.1124694376528121E-2</v>
      </c>
    </row>
    <row r="430" spans="1:9" x14ac:dyDescent="0.25">
      <c r="A430" s="139">
        <v>44029</v>
      </c>
      <c r="B430" s="140">
        <v>6469.25</v>
      </c>
      <c r="C430" s="140">
        <v>109.15</v>
      </c>
      <c r="D430" s="140">
        <v>1717.9</v>
      </c>
      <c r="E430" s="141">
        <v>19.8</v>
      </c>
      <c r="F430">
        <f t="shared" si="25"/>
        <v>3.217802589749554E-3</v>
      </c>
      <c r="G430">
        <f t="shared" si="26"/>
        <v>2.295684113865932E-3</v>
      </c>
      <c r="H430">
        <f t="shared" si="27"/>
        <v>1.4587762815969787E-2</v>
      </c>
      <c r="I430">
        <f t="shared" si="28"/>
        <v>3.1250000000000076E-2</v>
      </c>
    </row>
    <row r="431" spans="1:9" x14ac:dyDescent="0.25">
      <c r="A431" s="139">
        <v>44032</v>
      </c>
      <c r="B431" s="140">
        <v>6831.25</v>
      </c>
      <c r="C431" s="140">
        <v>108.1</v>
      </c>
      <c r="D431" s="140">
        <v>1751.6</v>
      </c>
      <c r="E431" s="141">
        <v>19.45</v>
      </c>
      <c r="F431">
        <f t="shared" si="25"/>
        <v>5.5957027476137108E-2</v>
      </c>
      <c r="G431">
        <f t="shared" si="26"/>
        <v>-9.6197892808063332E-3</v>
      </c>
      <c r="H431">
        <f t="shared" si="27"/>
        <v>1.9616974212701449E-2</v>
      </c>
      <c r="I431">
        <f t="shared" si="28"/>
        <v>-1.7676767676767749E-2</v>
      </c>
    </row>
    <row r="432" spans="1:9" x14ac:dyDescent="0.25">
      <c r="A432" s="139">
        <v>44033</v>
      </c>
      <c r="B432" s="140">
        <v>7120.35</v>
      </c>
      <c r="C432" s="140">
        <v>110.8</v>
      </c>
      <c r="D432" s="140">
        <v>1724.25</v>
      </c>
      <c r="E432" s="141">
        <v>19.3</v>
      </c>
      <c r="F432">
        <f t="shared" si="25"/>
        <v>4.2320219579140034E-2</v>
      </c>
      <c r="G432">
        <f t="shared" si="26"/>
        <v>2.4976873265494939E-2</v>
      </c>
      <c r="H432">
        <f t="shared" si="27"/>
        <v>-1.5614295501255943E-2</v>
      </c>
      <c r="I432">
        <f t="shared" si="28"/>
        <v>-7.7120822622107239E-3</v>
      </c>
    </row>
    <row r="433" spans="1:9" x14ac:dyDescent="0.25">
      <c r="A433" s="139">
        <v>44034</v>
      </c>
      <c r="B433" s="140">
        <v>7376.15</v>
      </c>
      <c r="C433" s="140">
        <v>112.1</v>
      </c>
      <c r="D433" s="140">
        <v>1695.75</v>
      </c>
      <c r="E433" s="141">
        <v>18.25</v>
      </c>
      <c r="F433">
        <f t="shared" si="25"/>
        <v>3.5925200306164619E-2</v>
      </c>
      <c r="G433">
        <f t="shared" si="26"/>
        <v>1.1732851985559541E-2</v>
      </c>
      <c r="H433">
        <f t="shared" si="27"/>
        <v>-1.6528925619834711E-2</v>
      </c>
      <c r="I433">
        <f t="shared" si="28"/>
        <v>-5.4404145077720241E-2</v>
      </c>
    </row>
    <row r="434" spans="1:9" x14ac:dyDescent="0.25">
      <c r="A434" s="139">
        <v>44035</v>
      </c>
      <c r="B434" s="140">
        <v>7648.15</v>
      </c>
      <c r="C434" s="140">
        <v>113.95</v>
      </c>
      <c r="D434" s="140">
        <v>1727.8</v>
      </c>
      <c r="E434" s="141">
        <v>14.75</v>
      </c>
      <c r="F434">
        <f t="shared" si="25"/>
        <v>3.6875605837733777E-2</v>
      </c>
      <c r="G434">
        <f t="shared" si="26"/>
        <v>1.6503122212310515E-2</v>
      </c>
      <c r="H434">
        <f t="shared" si="27"/>
        <v>1.8900191655609584E-2</v>
      </c>
      <c r="I434">
        <f t="shared" si="28"/>
        <v>-0.19178082191780821</v>
      </c>
    </row>
    <row r="435" spans="1:9" x14ac:dyDescent="0.25">
      <c r="A435" s="139">
        <v>44036</v>
      </c>
      <c r="B435" s="140">
        <v>7686.75</v>
      </c>
      <c r="C435" s="140">
        <v>112.05</v>
      </c>
      <c r="D435" s="140">
        <v>1712.05</v>
      </c>
      <c r="E435" s="141">
        <v>13.65</v>
      </c>
      <c r="F435">
        <f t="shared" si="25"/>
        <v>5.0469721435903274E-3</v>
      </c>
      <c r="G435">
        <f t="shared" si="26"/>
        <v>-1.6673979815708694E-2</v>
      </c>
      <c r="H435">
        <f t="shared" si="27"/>
        <v>-9.1156383840722312E-3</v>
      </c>
      <c r="I435">
        <f t="shared" si="28"/>
        <v>-7.4576271186440654E-2</v>
      </c>
    </row>
    <row r="436" spans="1:9" x14ac:dyDescent="0.25">
      <c r="A436" s="139">
        <v>44039</v>
      </c>
      <c r="B436" s="140">
        <v>7370.95</v>
      </c>
      <c r="C436" s="140">
        <v>109.85</v>
      </c>
      <c r="D436" s="140">
        <v>1778.15</v>
      </c>
      <c r="E436" s="141">
        <v>12.3</v>
      </c>
      <c r="F436">
        <f t="shared" si="25"/>
        <v>-4.1083682960939304E-2</v>
      </c>
      <c r="G436">
        <f t="shared" si="26"/>
        <v>-1.9634091923248574E-2</v>
      </c>
      <c r="H436">
        <f t="shared" si="27"/>
        <v>3.8608685493998506E-2</v>
      </c>
      <c r="I436">
        <f t="shared" si="28"/>
        <v>-9.8901098901098869E-2</v>
      </c>
    </row>
    <row r="437" spans="1:9" x14ac:dyDescent="0.25">
      <c r="A437" s="139">
        <v>44040</v>
      </c>
      <c r="B437" s="140">
        <v>7089.4</v>
      </c>
      <c r="C437" s="140">
        <v>110.85</v>
      </c>
      <c r="D437" s="140">
        <v>1759.65</v>
      </c>
      <c r="E437" s="141">
        <v>11.9</v>
      </c>
      <c r="F437">
        <f t="shared" si="25"/>
        <v>-3.819724730190819E-2</v>
      </c>
      <c r="G437">
        <f t="shared" si="26"/>
        <v>9.1033227127901694E-3</v>
      </c>
      <c r="H437">
        <f t="shared" si="27"/>
        <v>-1.0404071647498804E-2</v>
      </c>
      <c r="I437">
        <f t="shared" si="28"/>
        <v>-3.2520325203252057E-2</v>
      </c>
    </row>
    <row r="438" spans="1:9" x14ac:dyDescent="0.25">
      <c r="A438" s="139">
        <v>44041</v>
      </c>
      <c r="B438" s="140">
        <v>7250.7</v>
      </c>
      <c r="C438" s="140">
        <v>110</v>
      </c>
      <c r="D438" s="140">
        <v>1740.15</v>
      </c>
      <c r="E438" s="141">
        <v>11.7</v>
      </c>
      <c r="F438">
        <f t="shared" si="25"/>
        <v>2.2752278048918131E-2</v>
      </c>
      <c r="G438">
        <f t="shared" si="26"/>
        <v>-7.6680198466395526E-3</v>
      </c>
      <c r="H438">
        <f t="shared" si="27"/>
        <v>-1.108174921149092E-2</v>
      </c>
      <c r="I438">
        <f t="shared" si="28"/>
        <v>-1.680672268907572E-2</v>
      </c>
    </row>
    <row r="439" spans="1:9" x14ac:dyDescent="0.25">
      <c r="A439" s="139">
        <v>44042</v>
      </c>
      <c r="B439" s="140">
        <v>7051.25</v>
      </c>
      <c r="C439" s="140">
        <v>110.9</v>
      </c>
      <c r="D439" s="140">
        <v>1743.35</v>
      </c>
      <c r="E439" s="141">
        <v>11.95</v>
      </c>
      <c r="F439">
        <f t="shared" si="25"/>
        <v>-2.7507688912794603E-2</v>
      </c>
      <c r="G439">
        <f t="shared" si="26"/>
        <v>8.1818181818182328E-3</v>
      </c>
      <c r="H439">
        <f t="shared" si="27"/>
        <v>1.8389219320172501E-3</v>
      </c>
      <c r="I439">
        <f t="shared" si="28"/>
        <v>2.1367521367521368E-2</v>
      </c>
    </row>
    <row r="440" spans="1:9" x14ac:dyDescent="0.25">
      <c r="A440" s="139">
        <v>44043</v>
      </c>
      <c r="B440" s="140">
        <v>7633.7</v>
      </c>
      <c r="C440" s="140">
        <v>113.8</v>
      </c>
      <c r="D440" s="140">
        <v>1715.5</v>
      </c>
      <c r="E440" s="141">
        <v>11.95</v>
      </c>
      <c r="F440">
        <f t="shared" si="25"/>
        <v>8.2602375465342992E-2</v>
      </c>
      <c r="G440">
        <f t="shared" si="26"/>
        <v>2.6149684400360609E-2</v>
      </c>
      <c r="H440">
        <f t="shared" si="27"/>
        <v>-1.5974990678865351E-2</v>
      </c>
      <c r="I440">
        <f t="shared" si="28"/>
        <v>0</v>
      </c>
    </row>
    <row r="441" spans="1:9" x14ac:dyDescent="0.25">
      <c r="A441" s="139">
        <v>44046</v>
      </c>
      <c r="B441" s="140">
        <v>7968.4</v>
      </c>
      <c r="C441" s="140">
        <v>115.3</v>
      </c>
      <c r="D441" s="140">
        <v>1705.5</v>
      </c>
      <c r="E441" s="141">
        <v>12</v>
      </c>
      <c r="F441">
        <f t="shared" si="25"/>
        <v>4.3845055477684455E-2</v>
      </c>
      <c r="G441">
        <f t="shared" si="26"/>
        <v>1.3181019332161687E-2</v>
      </c>
      <c r="H441">
        <f t="shared" si="27"/>
        <v>-5.8292043136111919E-3</v>
      </c>
      <c r="I441">
        <f t="shared" si="28"/>
        <v>4.1841004184101013E-3</v>
      </c>
    </row>
    <row r="442" spans="1:9" x14ac:dyDescent="0.25">
      <c r="A442" s="139">
        <v>44047</v>
      </c>
      <c r="B442" s="140">
        <v>7963.75</v>
      </c>
      <c r="C442" s="140">
        <v>119.05</v>
      </c>
      <c r="D442" s="140">
        <v>1713.95</v>
      </c>
      <c r="E442" s="141">
        <v>12.25</v>
      </c>
      <c r="F442">
        <f t="shared" si="25"/>
        <v>-5.8355504241750368E-4</v>
      </c>
      <c r="G442">
        <f t="shared" si="26"/>
        <v>3.2523850823937557E-2</v>
      </c>
      <c r="H442">
        <f t="shared" si="27"/>
        <v>4.9545587804163266E-3</v>
      </c>
      <c r="I442">
        <f t="shared" si="28"/>
        <v>2.0833333333333332E-2</v>
      </c>
    </row>
    <row r="443" spans="1:9" x14ac:dyDescent="0.25">
      <c r="A443" s="139">
        <v>44048</v>
      </c>
      <c r="B443" s="140">
        <v>7867.95</v>
      </c>
      <c r="C443" s="140">
        <v>121.95</v>
      </c>
      <c r="D443" s="140">
        <v>1716.3</v>
      </c>
      <c r="E443" s="141">
        <v>12.85</v>
      </c>
      <c r="F443">
        <f t="shared" si="25"/>
        <v>-1.202950871134832E-2</v>
      </c>
      <c r="G443">
        <f t="shared" si="26"/>
        <v>2.4359512809743855E-2</v>
      </c>
      <c r="H443">
        <f t="shared" si="27"/>
        <v>1.371101840777099E-3</v>
      </c>
      <c r="I443">
        <f t="shared" si="28"/>
        <v>4.8979591836734664E-2</v>
      </c>
    </row>
    <row r="444" spans="1:9" x14ac:dyDescent="0.25">
      <c r="A444" s="139">
        <v>44049</v>
      </c>
      <c r="B444" s="140">
        <v>7723.15</v>
      </c>
      <c r="C444" s="140">
        <v>122.75</v>
      </c>
      <c r="D444" s="140">
        <v>1727.55</v>
      </c>
      <c r="E444" s="141">
        <v>13.45</v>
      </c>
      <c r="F444">
        <f t="shared" si="25"/>
        <v>-1.8403777349881505E-2</v>
      </c>
      <c r="G444">
        <f t="shared" si="26"/>
        <v>6.5600656006559828E-3</v>
      </c>
      <c r="H444">
        <f t="shared" si="27"/>
        <v>6.5547981122181442E-3</v>
      </c>
      <c r="I444">
        <f t="shared" si="28"/>
        <v>4.6692607003891023E-2</v>
      </c>
    </row>
    <row r="445" spans="1:9" x14ac:dyDescent="0.25">
      <c r="A445" s="139">
        <v>44050</v>
      </c>
      <c r="B445" s="140">
        <v>7786.55</v>
      </c>
      <c r="C445" s="140">
        <v>122.8</v>
      </c>
      <c r="D445" s="140">
        <v>1806.25</v>
      </c>
      <c r="E445" s="141">
        <v>14.1</v>
      </c>
      <c r="F445">
        <f t="shared" si="25"/>
        <v>8.2090856710021875E-3</v>
      </c>
      <c r="G445">
        <f t="shared" si="26"/>
        <v>4.0733197556005833E-4</v>
      </c>
      <c r="H445">
        <f t="shared" si="27"/>
        <v>4.5555844982779106E-2</v>
      </c>
      <c r="I445">
        <f t="shared" si="28"/>
        <v>4.8327137546468432E-2</v>
      </c>
    </row>
    <row r="446" spans="1:9" x14ac:dyDescent="0.25">
      <c r="A446" s="139">
        <v>44053</v>
      </c>
      <c r="B446" s="140">
        <v>8047.35</v>
      </c>
      <c r="C446" s="140">
        <v>125.2</v>
      </c>
      <c r="D446" s="140">
        <v>1782.35</v>
      </c>
      <c r="E446" s="141">
        <v>14.8</v>
      </c>
      <c r="F446">
        <f t="shared" si="25"/>
        <v>3.3493652516197826E-2</v>
      </c>
      <c r="G446">
        <f t="shared" si="26"/>
        <v>1.9543973941368125E-2</v>
      </c>
      <c r="H446">
        <f t="shared" si="27"/>
        <v>-1.3231833910034652E-2</v>
      </c>
      <c r="I446">
        <f t="shared" si="28"/>
        <v>4.9645390070922064E-2</v>
      </c>
    </row>
    <row r="447" spans="1:9" x14ac:dyDescent="0.25">
      <c r="A447" s="139">
        <v>44054</v>
      </c>
      <c r="B447" s="140">
        <v>8017.8</v>
      </c>
      <c r="C447" s="140">
        <v>125.6</v>
      </c>
      <c r="D447" s="140">
        <v>1789.55</v>
      </c>
      <c r="E447" s="141">
        <v>15.5</v>
      </c>
      <c r="F447">
        <f t="shared" si="25"/>
        <v>-3.6720162537978566E-3</v>
      </c>
      <c r="G447">
        <f t="shared" si="26"/>
        <v>3.1948881789136698E-3</v>
      </c>
      <c r="H447">
        <f t="shared" si="27"/>
        <v>4.0396106264202012E-3</v>
      </c>
      <c r="I447">
        <f t="shared" si="28"/>
        <v>4.7297297297297244E-2</v>
      </c>
    </row>
    <row r="448" spans="1:9" x14ac:dyDescent="0.25">
      <c r="A448" s="139">
        <v>44055</v>
      </c>
      <c r="B448" s="140">
        <v>8086.25</v>
      </c>
      <c r="C448" s="140">
        <v>123.4</v>
      </c>
      <c r="D448" s="140">
        <v>1797.25</v>
      </c>
      <c r="E448" s="141">
        <v>16.25</v>
      </c>
      <c r="F448">
        <f t="shared" si="25"/>
        <v>8.537254608496074E-3</v>
      </c>
      <c r="G448">
        <f t="shared" si="26"/>
        <v>-1.751592356687889E-2</v>
      </c>
      <c r="H448">
        <f t="shared" si="27"/>
        <v>4.3027576765108802E-3</v>
      </c>
      <c r="I448">
        <f t="shared" si="28"/>
        <v>4.8387096774193547E-2</v>
      </c>
    </row>
    <row r="449" spans="1:9" x14ac:dyDescent="0.25">
      <c r="A449" s="139">
        <v>44056</v>
      </c>
      <c r="B449" s="140">
        <v>8102.5</v>
      </c>
      <c r="C449" s="140">
        <v>124.45</v>
      </c>
      <c r="D449" s="140">
        <v>1802.55</v>
      </c>
      <c r="E449" s="141">
        <v>15.85</v>
      </c>
      <c r="F449">
        <f t="shared" si="25"/>
        <v>2.0095841706600712E-3</v>
      </c>
      <c r="G449">
        <f t="shared" si="26"/>
        <v>8.5089141004862003E-3</v>
      </c>
      <c r="H449">
        <f t="shared" si="27"/>
        <v>2.948949784392797E-3</v>
      </c>
      <c r="I449">
        <f t="shared" si="28"/>
        <v>-2.4615384615384636E-2</v>
      </c>
    </row>
    <row r="450" spans="1:9" x14ac:dyDescent="0.25">
      <c r="A450" s="139">
        <v>44057</v>
      </c>
      <c r="B450" s="140">
        <v>7939.4</v>
      </c>
      <c r="C450" s="140">
        <v>122.65</v>
      </c>
      <c r="D450" s="140">
        <v>1802.55</v>
      </c>
      <c r="E450" s="141">
        <v>15.1</v>
      </c>
      <c r="F450">
        <f t="shared" si="25"/>
        <v>-2.0129589632829417E-2</v>
      </c>
      <c r="G450">
        <f t="shared" si="26"/>
        <v>-1.4463640016070688E-2</v>
      </c>
      <c r="H450">
        <f t="shared" si="27"/>
        <v>0</v>
      </c>
      <c r="I450">
        <f t="shared" si="28"/>
        <v>-4.7318611987381708E-2</v>
      </c>
    </row>
    <row r="451" spans="1:9" x14ac:dyDescent="0.25">
      <c r="A451" s="139">
        <v>44060</v>
      </c>
      <c r="B451" s="140">
        <v>7815.6</v>
      </c>
      <c r="C451" s="140">
        <v>127.95</v>
      </c>
      <c r="D451" s="140">
        <v>1836.7</v>
      </c>
      <c r="E451" s="141">
        <v>14.35</v>
      </c>
      <c r="F451">
        <f t="shared" si="25"/>
        <v>-1.5593117867848866E-2</v>
      </c>
      <c r="G451">
        <f t="shared" si="26"/>
        <v>4.3212392988177716E-2</v>
      </c>
      <c r="H451">
        <f t="shared" si="27"/>
        <v>1.8945382929738477E-2</v>
      </c>
      <c r="I451">
        <f t="shared" si="28"/>
        <v>-4.9668874172185434E-2</v>
      </c>
    </row>
    <row r="452" spans="1:9" x14ac:dyDescent="0.25">
      <c r="A452" s="139">
        <v>44061</v>
      </c>
      <c r="B452" s="140">
        <v>7882.45</v>
      </c>
      <c r="C452" s="140">
        <v>126.8</v>
      </c>
      <c r="D452" s="140">
        <v>1874.1</v>
      </c>
      <c r="E452" s="141">
        <v>15.05</v>
      </c>
      <c r="F452">
        <f t="shared" ref="F452:F491" si="29">(B452-B451)/B451</f>
        <v>8.5534060084957592E-3</v>
      </c>
      <c r="G452">
        <f t="shared" ref="G452:G491" si="30">(C452-C451)/C451</f>
        <v>-8.9878858929269695E-3</v>
      </c>
      <c r="H452">
        <f t="shared" ref="H452:H491" si="31">(D452-D451)/D451</f>
        <v>2.0362606849240412E-2</v>
      </c>
      <c r="I452">
        <f t="shared" ref="I452:I491" si="32">(E452-E451)/E451</f>
        <v>4.8780487804878127E-2</v>
      </c>
    </row>
    <row r="453" spans="1:9" x14ac:dyDescent="0.25">
      <c r="A453" s="139">
        <v>44062</v>
      </c>
      <c r="B453" s="140">
        <v>7985.1</v>
      </c>
      <c r="C453" s="140">
        <v>129.05000000000001</v>
      </c>
      <c r="D453" s="140">
        <v>1885.7</v>
      </c>
      <c r="E453" s="141">
        <v>15.8</v>
      </c>
      <c r="F453">
        <f t="shared" si="29"/>
        <v>1.3022600841109115E-2</v>
      </c>
      <c r="G453">
        <f t="shared" si="30"/>
        <v>1.7744479495268251E-2</v>
      </c>
      <c r="H453">
        <f t="shared" si="31"/>
        <v>6.1896376927592645E-3</v>
      </c>
      <c r="I453">
        <f t="shared" si="32"/>
        <v>4.9833887043189369E-2</v>
      </c>
    </row>
    <row r="454" spans="1:9" x14ac:dyDescent="0.25">
      <c r="A454" s="139">
        <v>44063</v>
      </c>
      <c r="B454" s="140">
        <v>8041</v>
      </c>
      <c r="C454" s="140">
        <v>128.94999999999999</v>
      </c>
      <c r="D454" s="140">
        <v>1874.9</v>
      </c>
      <c r="E454" s="141">
        <v>15.75</v>
      </c>
      <c r="F454">
        <f t="shared" si="29"/>
        <v>7.0005385029617206E-3</v>
      </c>
      <c r="G454">
        <f t="shared" si="30"/>
        <v>-7.7489345215050543E-4</v>
      </c>
      <c r="H454">
        <f t="shared" si="31"/>
        <v>-5.7273161160311574E-3</v>
      </c>
      <c r="I454">
        <f t="shared" si="32"/>
        <v>-3.1645569620253611E-3</v>
      </c>
    </row>
    <row r="455" spans="1:9" x14ac:dyDescent="0.25">
      <c r="A455" s="139">
        <v>44064</v>
      </c>
      <c r="B455" s="140">
        <v>8078.85</v>
      </c>
      <c r="C455" s="140">
        <v>130.69999999999999</v>
      </c>
      <c r="D455" s="140">
        <v>1958</v>
      </c>
      <c r="E455" s="141">
        <v>15.55</v>
      </c>
      <c r="F455">
        <f t="shared" si="29"/>
        <v>4.7071259793558468E-3</v>
      </c>
      <c r="G455">
        <f t="shared" si="30"/>
        <v>1.3571151609150834E-2</v>
      </c>
      <c r="H455">
        <f t="shared" si="31"/>
        <v>4.4322363859405786E-2</v>
      </c>
      <c r="I455">
        <f t="shared" si="32"/>
        <v>-1.2698412698412653E-2</v>
      </c>
    </row>
    <row r="456" spans="1:9" x14ac:dyDescent="0.25">
      <c r="A456" s="139">
        <v>44067</v>
      </c>
      <c r="B456" s="140">
        <v>8123.95</v>
      </c>
      <c r="C456" s="140">
        <v>128.80000000000001</v>
      </c>
      <c r="D456" s="140">
        <v>1962.15</v>
      </c>
      <c r="E456" s="141">
        <v>14.8</v>
      </c>
      <c r="F456">
        <f t="shared" si="29"/>
        <v>5.5824777041286137E-3</v>
      </c>
      <c r="G456">
        <f t="shared" si="30"/>
        <v>-1.4537107880642521E-2</v>
      </c>
      <c r="H456">
        <f t="shared" si="31"/>
        <v>2.1195097037794131E-3</v>
      </c>
      <c r="I456">
        <f t="shared" si="32"/>
        <v>-4.8231511254019289E-2</v>
      </c>
    </row>
    <row r="457" spans="1:9" x14ac:dyDescent="0.25">
      <c r="A457" s="139">
        <v>44068</v>
      </c>
      <c r="B457" s="140">
        <v>8218</v>
      </c>
      <c r="C457" s="140">
        <v>130.05000000000001</v>
      </c>
      <c r="D457" s="140">
        <v>2000.6</v>
      </c>
      <c r="E457" s="141">
        <v>14.75</v>
      </c>
      <c r="F457">
        <f t="shared" si="29"/>
        <v>1.1576880704583384E-2</v>
      </c>
      <c r="G457">
        <f t="shared" si="30"/>
        <v>9.7049689440993781E-3</v>
      </c>
      <c r="H457">
        <f t="shared" si="31"/>
        <v>1.9595851489437512E-2</v>
      </c>
      <c r="I457">
        <f t="shared" si="32"/>
        <v>-3.3783783783784263E-3</v>
      </c>
    </row>
    <row r="458" spans="1:9" x14ac:dyDescent="0.25">
      <c r="A458" s="139">
        <v>44069</v>
      </c>
      <c r="B458" s="140">
        <v>8343.0499999999993</v>
      </c>
      <c r="C458" s="140">
        <v>128.94999999999999</v>
      </c>
      <c r="D458" s="140">
        <v>1971.4</v>
      </c>
      <c r="E458" s="141">
        <v>14.65</v>
      </c>
      <c r="F458">
        <f t="shared" si="29"/>
        <v>1.5216597712338679E-2</v>
      </c>
      <c r="G458">
        <f t="shared" si="30"/>
        <v>-8.4582852748944452E-3</v>
      </c>
      <c r="H458">
        <f t="shared" si="31"/>
        <v>-1.4595621313605828E-2</v>
      </c>
      <c r="I458">
        <f t="shared" si="32"/>
        <v>-6.7796610169491281E-3</v>
      </c>
    </row>
    <row r="459" spans="1:9" x14ac:dyDescent="0.25">
      <c r="A459" s="139">
        <v>44070</v>
      </c>
      <c r="B459" s="140">
        <v>8614.2000000000007</v>
      </c>
      <c r="C459" s="140">
        <v>127.85</v>
      </c>
      <c r="D459" s="140">
        <v>1982.5</v>
      </c>
      <c r="E459" s="141">
        <v>14.7</v>
      </c>
      <c r="F459">
        <f t="shared" si="29"/>
        <v>3.2500104877712765E-2</v>
      </c>
      <c r="G459">
        <f t="shared" si="30"/>
        <v>-8.5304381543233384E-3</v>
      </c>
      <c r="H459">
        <f t="shared" si="31"/>
        <v>5.630516384295378E-3</v>
      </c>
      <c r="I459">
        <f t="shared" si="32"/>
        <v>3.4129692832763777E-3</v>
      </c>
    </row>
    <row r="460" spans="1:9" x14ac:dyDescent="0.25">
      <c r="A460" s="139">
        <v>44071</v>
      </c>
      <c r="B460" s="140">
        <v>8313</v>
      </c>
      <c r="C460" s="140">
        <v>128.85</v>
      </c>
      <c r="D460" s="140">
        <v>1958.1</v>
      </c>
      <c r="E460" s="141">
        <v>15</v>
      </c>
      <c r="F460">
        <f t="shared" si="29"/>
        <v>-3.4965522044995555E-2</v>
      </c>
      <c r="G460">
        <f t="shared" si="30"/>
        <v>7.8216660148611658E-3</v>
      </c>
      <c r="H460">
        <f t="shared" si="31"/>
        <v>-1.2307692307692353E-2</v>
      </c>
      <c r="I460">
        <f t="shared" si="32"/>
        <v>2.0408163265306173E-2</v>
      </c>
    </row>
    <row r="461" spans="1:9" x14ac:dyDescent="0.25">
      <c r="A461" s="139">
        <v>44074</v>
      </c>
      <c r="B461" s="140">
        <v>8094.95</v>
      </c>
      <c r="C461" s="140">
        <v>128.65</v>
      </c>
      <c r="D461" s="140">
        <v>1899.1</v>
      </c>
      <c r="E461" s="141">
        <v>14.35</v>
      </c>
      <c r="F461">
        <f t="shared" si="29"/>
        <v>-2.6230001202935185E-2</v>
      </c>
      <c r="G461">
        <f t="shared" si="30"/>
        <v>-1.5521924718664233E-3</v>
      </c>
      <c r="H461">
        <f t="shared" si="31"/>
        <v>-3.0131249680813033E-2</v>
      </c>
      <c r="I461">
        <f t="shared" si="32"/>
        <v>-4.3333333333333356E-2</v>
      </c>
    </row>
    <row r="462" spans="1:9" x14ac:dyDescent="0.25">
      <c r="A462" s="139">
        <v>44075</v>
      </c>
      <c r="B462" s="140">
        <v>8295.2000000000007</v>
      </c>
      <c r="C462" s="140">
        <v>132</v>
      </c>
      <c r="D462" s="140">
        <v>1979.3</v>
      </c>
      <c r="E462" s="141">
        <v>14.65</v>
      </c>
      <c r="F462">
        <f t="shared" si="29"/>
        <v>2.4737645075016017E-2</v>
      </c>
      <c r="G462">
        <f t="shared" si="30"/>
        <v>2.603964244073062E-2</v>
      </c>
      <c r="H462">
        <f t="shared" si="31"/>
        <v>4.2230530251171634E-2</v>
      </c>
      <c r="I462">
        <f t="shared" si="32"/>
        <v>2.0905923344947785E-2</v>
      </c>
    </row>
    <row r="463" spans="1:9" x14ac:dyDescent="0.25">
      <c r="A463" s="139">
        <v>44076</v>
      </c>
      <c r="B463" s="140">
        <v>8317.2999999999993</v>
      </c>
      <c r="C463" s="140">
        <v>131.1</v>
      </c>
      <c r="D463" s="140">
        <v>1943.95</v>
      </c>
      <c r="E463" s="141">
        <v>14.4</v>
      </c>
      <c r="F463">
        <f t="shared" si="29"/>
        <v>2.6641913395696959E-3</v>
      </c>
      <c r="G463">
        <f t="shared" si="30"/>
        <v>-6.8181818181818612E-3</v>
      </c>
      <c r="H463">
        <f t="shared" si="31"/>
        <v>-1.7859849441721774E-2</v>
      </c>
      <c r="I463">
        <f t="shared" si="32"/>
        <v>-1.7064846416382253E-2</v>
      </c>
    </row>
    <row r="464" spans="1:9" x14ac:dyDescent="0.25">
      <c r="A464" s="139">
        <v>44077</v>
      </c>
      <c r="B464" s="140">
        <v>8419.35</v>
      </c>
      <c r="C464" s="140">
        <v>128.5</v>
      </c>
      <c r="D464" s="140">
        <v>1978</v>
      </c>
      <c r="E464" s="141">
        <v>14.6</v>
      </c>
      <c r="F464">
        <f t="shared" si="29"/>
        <v>1.2269606723335829E-2</v>
      </c>
      <c r="G464">
        <f t="shared" si="30"/>
        <v>-1.9832189168573565E-2</v>
      </c>
      <c r="H464">
        <f t="shared" si="31"/>
        <v>1.7515882610149414E-2</v>
      </c>
      <c r="I464">
        <f t="shared" si="32"/>
        <v>1.388888888888884E-2</v>
      </c>
    </row>
    <row r="465" spans="1:9" x14ac:dyDescent="0.25">
      <c r="A465" s="139">
        <v>44078</v>
      </c>
      <c r="B465" s="140">
        <v>8586.5</v>
      </c>
      <c r="C465" s="140">
        <v>125.95</v>
      </c>
      <c r="D465" s="140">
        <v>1956.35</v>
      </c>
      <c r="E465" s="141">
        <v>14.25</v>
      </c>
      <c r="F465">
        <f t="shared" si="29"/>
        <v>1.9853076543913679E-2</v>
      </c>
      <c r="G465">
        <f t="shared" si="30"/>
        <v>-1.9844357976653675E-2</v>
      </c>
      <c r="H465">
        <f t="shared" si="31"/>
        <v>-1.0945399393326638E-2</v>
      </c>
      <c r="I465">
        <f t="shared" si="32"/>
        <v>-2.3972602739726005E-2</v>
      </c>
    </row>
    <row r="466" spans="1:9" x14ac:dyDescent="0.25">
      <c r="A466" s="139">
        <v>44081</v>
      </c>
      <c r="B466" s="140">
        <v>8920.1</v>
      </c>
      <c r="C466" s="140">
        <v>127.9</v>
      </c>
      <c r="D466" s="140">
        <v>1982.1</v>
      </c>
      <c r="E466" s="141">
        <v>14.1</v>
      </c>
      <c r="F466">
        <f t="shared" si="29"/>
        <v>3.885168578582663E-2</v>
      </c>
      <c r="G466">
        <f t="shared" si="30"/>
        <v>1.5482334259626859E-2</v>
      </c>
      <c r="H466">
        <f t="shared" si="31"/>
        <v>1.3162266465611982E-2</v>
      </c>
      <c r="I466">
        <f t="shared" si="32"/>
        <v>-1.052631578947371E-2</v>
      </c>
    </row>
    <row r="467" spans="1:9" x14ac:dyDescent="0.25">
      <c r="A467" s="139">
        <v>44082</v>
      </c>
      <c r="B467" s="140">
        <v>9604.7000000000007</v>
      </c>
      <c r="C467" s="140">
        <v>125.55</v>
      </c>
      <c r="D467" s="140">
        <v>1960.35</v>
      </c>
      <c r="E467" s="141">
        <v>13.95</v>
      </c>
      <c r="F467">
        <f t="shared" si="29"/>
        <v>7.6748018519971789E-2</v>
      </c>
      <c r="G467">
        <f t="shared" si="30"/>
        <v>-1.837372947615331E-2</v>
      </c>
      <c r="H467">
        <f t="shared" si="31"/>
        <v>-1.0973210231572574E-2</v>
      </c>
      <c r="I467">
        <f t="shared" si="32"/>
        <v>-1.0638297872340451E-2</v>
      </c>
    </row>
    <row r="468" spans="1:9" x14ac:dyDescent="0.25">
      <c r="A468" s="139">
        <v>44083</v>
      </c>
      <c r="B468" s="140">
        <v>9291.7999999999993</v>
      </c>
      <c r="C468" s="140">
        <v>127.95</v>
      </c>
      <c r="D468" s="140">
        <v>1979.05</v>
      </c>
      <c r="E468" s="141">
        <v>13.65</v>
      </c>
      <c r="F468">
        <f t="shared" si="29"/>
        <v>-3.257780045186226E-2</v>
      </c>
      <c r="G468">
        <f t="shared" si="30"/>
        <v>1.9115890083632067E-2</v>
      </c>
      <c r="H468">
        <f t="shared" si="31"/>
        <v>9.5391129135103669E-3</v>
      </c>
      <c r="I468">
        <f t="shared" si="32"/>
        <v>-2.1505376344085947E-2</v>
      </c>
    </row>
    <row r="469" spans="1:9" x14ac:dyDescent="0.25">
      <c r="A469" s="139">
        <v>44084</v>
      </c>
      <c r="B469" s="140">
        <v>9429.2000000000007</v>
      </c>
      <c r="C469" s="140">
        <v>130.44999999999999</v>
      </c>
      <c r="D469" s="140">
        <v>2056.5500000000002</v>
      </c>
      <c r="E469" s="141">
        <v>13.9</v>
      </c>
      <c r="F469">
        <f t="shared" si="29"/>
        <v>1.4787231752728371E-2</v>
      </c>
      <c r="G469">
        <f t="shared" si="30"/>
        <v>1.9538882375927987E-2</v>
      </c>
      <c r="H469">
        <f t="shared" si="31"/>
        <v>3.9160203127763436E-2</v>
      </c>
      <c r="I469">
        <f t="shared" si="32"/>
        <v>1.8315018315018316E-2</v>
      </c>
    </row>
    <row r="470" spans="1:9" x14ac:dyDescent="0.25">
      <c r="A470" s="139">
        <v>44085</v>
      </c>
      <c r="B470" s="140">
        <v>9240</v>
      </c>
      <c r="C470" s="140">
        <v>131.9</v>
      </c>
      <c r="D470" s="140">
        <v>2035.95</v>
      </c>
      <c r="E470" s="141">
        <v>14.55</v>
      </c>
      <c r="F470">
        <f t="shared" si="29"/>
        <v>-2.0065328978068203E-2</v>
      </c>
      <c r="G470">
        <f t="shared" si="30"/>
        <v>1.1115369873514889E-2</v>
      </c>
      <c r="H470">
        <f t="shared" si="31"/>
        <v>-1.0016775667987714E-2</v>
      </c>
      <c r="I470">
        <f t="shared" si="32"/>
        <v>4.6762589928057575E-2</v>
      </c>
    </row>
    <row r="471" spans="1:9" x14ac:dyDescent="0.25">
      <c r="A471" s="139">
        <v>44088</v>
      </c>
      <c r="B471" s="140">
        <v>9822.9</v>
      </c>
      <c r="C471" s="140">
        <v>129.65</v>
      </c>
      <c r="D471" s="140">
        <v>2031.2</v>
      </c>
      <c r="E471" s="141">
        <v>14.75</v>
      </c>
      <c r="F471">
        <f t="shared" si="29"/>
        <v>6.3084415584415549E-2</v>
      </c>
      <c r="G471">
        <f t="shared" si="30"/>
        <v>-1.7058377558756634E-2</v>
      </c>
      <c r="H471">
        <f t="shared" si="31"/>
        <v>-2.3330631891745868E-3</v>
      </c>
      <c r="I471">
        <f t="shared" si="32"/>
        <v>1.3745704467353903E-2</v>
      </c>
    </row>
    <row r="472" spans="1:9" x14ac:dyDescent="0.25">
      <c r="A472" s="139">
        <v>44089</v>
      </c>
      <c r="B472" s="140">
        <v>10005.15</v>
      </c>
      <c r="C472" s="140">
        <v>131.55000000000001</v>
      </c>
      <c r="D472" s="140">
        <v>2017.55</v>
      </c>
      <c r="E472" s="141">
        <v>14.55</v>
      </c>
      <c r="F472">
        <f t="shared" si="29"/>
        <v>1.8553583972146719E-2</v>
      </c>
      <c r="G472">
        <f t="shared" si="30"/>
        <v>1.4654839953721601E-2</v>
      </c>
      <c r="H472">
        <f t="shared" si="31"/>
        <v>-6.7201654194565235E-3</v>
      </c>
      <c r="I472">
        <f t="shared" si="32"/>
        <v>-1.3559322033898256E-2</v>
      </c>
    </row>
    <row r="473" spans="1:9" x14ac:dyDescent="0.25">
      <c r="A473" s="139">
        <v>44090</v>
      </c>
      <c r="B473" s="140">
        <v>9986.2000000000007</v>
      </c>
      <c r="C473" s="140">
        <v>134.30000000000001</v>
      </c>
      <c r="D473" s="140">
        <v>2012.1</v>
      </c>
      <c r="E473" s="141">
        <v>14.25</v>
      </c>
      <c r="F473">
        <f t="shared" si="29"/>
        <v>-1.8940245773425594E-3</v>
      </c>
      <c r="G473">
        <f t="shared" si="30"/>
        <v>2.0904599011782592E-2</v>
      </c>
      <c r="H473">
        <f t="shared" si="31"/>
        <v>-2.7012961264900725E-3</v>
      </c>
      <c r="I473">
        <f t="shared" si="32"/>
        <v>-2.0618556701030976E-2</v>
      </c>
    </row>
    <row r="474" spans="1:9" x14ac:dyDescent="0.25">
      <c r="A474" s="139">
        <v>44091</v>
      </c>
      <c r="B474" s="140">
        <v>9742.7000000000007</v>
      </c>
      <c r="C474" s="140">
        <v>134.30000000000001</v>
      </c>
      <c r="D474" s="140">
        <v>2007.95</v>
      </c>
      <c r="E474" s="141">
        <v>14.1</v>
      </c>
      <c r="F474">
        <f t="shared" si="29"/>
        <v>-2.4383649436221986E-2</v>
      </c>
      <c r="G474">
        <f t="shared" si="30"/>
        <v>0</v>
      </c>
      <c r="H474">
        <f t="shared" si="31"/>
        <v>-2.0625217434520472E-3</v>
      </c>
      <c r="I474">
        <f t="shared" si="32"/>
        <v>-1.052631578947371E-2</v>
      </c>
    </row>
    <row r="475" spans="1:9" x14ac:dyDescent="0.25">
      <c r="A475" s="139">
        <v>44092</v>
      </c>
      <c r="B475" s="140">
        <v>9400.5499999999993</v>
      </c>
      <c r="C475" s="140">
        <v>130.94999999999999</v>
      </c>
      <c r="D475" s="140">
        <v>2028.4</v>
      </c>
      <c r="E475" s="141">
        <v>14</v>
      </c>
      <c r="F475">
        <f t="shared" si="29"/>
        <v>-3.5118601619674367E-2</v>
      </c>
      <c r="G475">
        <f t="shared" si="30"/>
        <v>-2.4944154877140898E-2</v>
      </c>
      <c r="H475">
        <f t="shared" si="31"/>
        <v>1.0184516546726783E-2</v>
      </c>
      <c r="I475">
        <f t="shared" si="32"/>
        <v>-7.0921985815602584E-3</v>
      </c>
    </row>
    <row r="476" spans="1:9" x14ac:dyDescent="0.25">
      <c r="A476" s="139">
        <v>44095</v>
      </c>
      <c r="B476" s="140">
        <v>8900.9</v>
      </c>
      <c r="C476" s="140">
        <v>128.94999999999999</v>
      </c>
      <c r="D476" s="140">
        <v>1972.55</v>
      </c>
      <c r="E476" s="141">
        <v>13.55</v>
      </c>
      <c r="F476">
        <f t="shared" si="29"/>
        <v>-5.3151145411704598E-2</v>
      </c>
      <c r="G476">
        <f t="shared" si="30"/>
        <v>-1.5273004963726614E-2</v>
      </c>
      <c r="H476">
        <f t="shared" si="31"/>
        <v>-2.7534016959179716E-2</v>
      </c>
      <c r="I476">
        <f t="shared" si="32"/>
        <v>-3.2142857142857091E-2</v>
      </c>
    </row>
    <row r="477" spans="1:9" x14ac:dyDescent="0.25">
      <c r="A477" s="139">
        <v>44096</v>
      </c>
      <c r="B477" s="140">
        <v>8552.6</v>
      </c>
      <c r="C477" s="140">
        <v>127.15</v>
      </c>
      <c r="D477" s="140">
        <v>1937.5</v>
      </c>
      <c r="E477" s="141">
        <v>13.2</v>
      </c>
      <c r="F477">
        <f t="shared" si="29"/>
        <v>-3.9130874405958867E-2</v>
      </c>
      <c r="G477">
        <f t="shared" si="30"/>
        <v>-1.3958898797983583E-2</v>
      </c>
      <c r="H477">
        <f t="shared" si="31"/>
        <v>-1.776887784847023E-2</v>
      </c>
      <c r="I477">
        <f t="shared" si="32"/>
        <v>-2.583025830258313E-2</v>
      </c>
    </row>
    <row r="478" spans="1:9" x14ac:dyDescent="0.25">
      <c r="A478" s="139">
        <v>44097</v>
      </c>
      <c r="B478" s="140">
        <v>8785.4500000000007</v>
      </c>
      <c r="C478" s="140">
        <v>130</v>
      </c>
      <c r="D478" s="140">
        <v>1946.55</v>
      </c>
      <c r="E478" s="141">
        <v>13.15</v>
      </c>
      <c r="F478">
        <f t="shared" si="29"/>
        <v>2.7225638986974762E-2</v>
      </c>
      <c r="G478">
        <f t="shared" si="30"/>
        <v>2.2414471097129331E-2</v>
      </c>
      <c r="H478">
        <f t="shared" si="31"/>
        <v>4.6709677419354608E-3</v>
      </c>
      <c r="I478">
        <f t="shared" si="32"/>
        <v>-3.7878787878787073E-3</v>
      </c>
    </row>
    <row r="479" spans="1:9" x14ac:dyDescent="0.25">
      <c r="A479" s="139">
        <v>44098</v>
      </c>
      <c r="B479" s="140">
        <v>8430.1</v>
      </c>
      <c r="C479" s="140">
        <v>131.75</v>
      </c>
      <c r="D479" s="140">
        <v>1918.35</v>
      </c>
      <c r="E479" s="141">
        <v>12.95</v>
      </c>
      <c r="F479">
        <f t="shared" si="29"/>
        <v>-4.0447558178579396E-2</v>
      </c>
      <c r="G479">
        <f t="shared" si="30"/>
        <v>1.3461538461538462E-2</v>
      </c>
      <c r="H479">
        <f t="shared" si="31"/>
        <v>-1.4487169607767612E-2</v>
      </c>
      <c r="I479">
        <f t="shared" si="32"/>
        <v>-1.5209125475285253E-2</v>
      </c>
    </row>
    <row r="480" spans="1:9" x14ac:dyDescent="0.25">
      <c r="A480" s="139">
        <v>44099</v>
      </c>
      <c r="B480" s="140">
        <v>8793.4</v>
      </c>
      <c r="C480" s="140">
        <v>137.05000000000001</v>
      </c>
      <c r="D480" s="140">
        <v>1925.6</v>
      </c>
      <c r="E480" s="141">
        <v>13.35</v>
      </c>
      <c r="F480">
        <f t="shared" si="29"/>
        <v>4.3095574192476872E-2</v>
      </c>
      <c r="G480">
        <f t="shared" si="30"/>
        <v>4.022770398481982E-2</v>
      </c>
      <c r="H480">
        <f t="shared" si="31"/>
        <v>3.779289493575208E-3</v>
      </c>
      <c r="I480">
        <f t="shared" si="32"/>
        <v>3.0888030888030917E-2</v>
      </c>
    </row>
    <row r="481" spans="1:9" x14ac:dyDescent="0.25">
      <c r="A481" s="139">
        <v>44102</v>
      </c>
      <c r="B481" s="140">
        <v>9008.85</v>
      </c>
      <c r="C481" s="140">
        <v>139.1</v>
      </c>
      <c r="D481" s="140">
        <v>1945.6</v>
      </c>
      <c r="E481" s="141">
        <v>13.55</v>
      </c>
      <c r="F481">
        <f t="shared" si="29"/>
        <v>2.4501330543362152E-2</v>
      </c>
      <c r="G481">
        <f t="shared" si="30"/>
        <v>1.4958044509303048E-2</v>
      </c>
      <c r="H481">
        <f t="shared" si="31"/>
        <v>1.038637307852098E-2</v>
      </c>
      <c r="I481">
        <f t="shared" si="32"/>
        <v>1.498127340823978E-2</v>
      </c>
    </row>
    <row r="482" spans="1:9" x14ac:dyDescent="0.25">
      <c r="A482" s="139">
        <v>44103</v>
      </c>
      <c r="B482" s="140">
        <v>9081.75</v>
      </c>
      <c r="C482" s="140">
        <v>139.94999999999999</v>
      </c>
      <c r="D482" s="140">
        <v>1959.95</v>
      </c>
      <c r="E482" s="141">
        <v>13.35</v>
      </c>
      <c r="F482">
        <f t="shared" si="29"/>
        <v>8.0920428245558132E-3</v>
      </c>
      <c r="G482">
        <f t="shared" si="30"/>
        <v>6.1107117181883131E-3</v>
      </c>
      <c r="H482">
        <f t="shared" si="31"/>
        <v>7.3756167763158603E-3</v>
      </c>
      <c r="I482">
        <f t="shared" si="32"/>
        <v>-1.4760147601476092E-2</v>
      </c>
    </row>
    <row r="483" spans="1:9" x14ac:dyDescent="0.25">
      <c r="A483" s="139">
        <v>44104</v>
      </c>
      <c r="B483" s="140">
        <v>8762.0499999999993</v>
      </c>
      <c r="C483" s="140">
        <v>136.9</v>
      </c>
      <c r="D483" s="140">
        <v>1986.4</v>
      </c>
      <c r="E483" s="141">
        <v>13.15</v>
      </c>
      <c r="F483">
        <f t="shared" si="29"/>
        <v>-3.5202466484983701E-2</v>
      </c>
      <c r="G483">
        <f t="shared" si="30"/>
        <v>-2.1793497677741931E-2</v>
      </c>
      <c r="H483">
        <f t="shared" si="31"/>
        <v>1.3495242225567002E-2</v>
      </c>
      <c r="I483">
        <f t="shared" si="32"/>
        <v>-1.4981273408239647E-2</v>
      </c>
    </row>
    <row r="484" spans="1:9" x14ac:dyDescent="0.25">
      <c r="A484" s="139">
        <v>44105</v>
      </c>
      <c r="B484" s="140">
        <v>8850.2000000000007</v>
      </c>
      <c r="C484" s="140">
        <v>137.44999999999999</v>
      </c>
      <c r="D484" s="140">
        <v>2040.45</v>
      </c>
      <c r="E484" s="141">
        <v>13.3</v>
      </c>
      <c r="F484">
        <f t="shared" si="29"/>
        <v>1.0060431063506995E-2</v>
      </c>
      <c r="G484">
        <f t="shared" si="30"/>
        <v>4.0175310445579471E-3</v>
      </c>
      <c r="H484">
        <f t="shared" si="31"/>
        <v>2.721002819170356E-2</v>
      </c>
      <c r="I484">
        <f t="shared" si="32"/>
        <v>1.1406844106463905E-2</v>
      </c>
    </row>
    <row r="485" spans="1:9" x14ac:dyDescent="0.25">
      <c r="A485" s="139">
        <v>44109</v>
      </c>
      <c r="B485" s="140">
        <v>8840.4</v>
      </c>
      <c r="C485" s="140">
        <v>137.80000000000001</v>
      </c>
      <c r="D485" s="140">
        <v>2028</v>
      </c>
      <c r="E485" s="141">
        <v>13.35</v>
      </c>
      <c r="F485">
        <f t="shared" si="29"/>
        <v>-1.1073196085965391E-3</v>
      </c>
      <c r="G485">
        <f t="shared" si="30"/>
        <v>2.5463805020008931E-3</v>
      </c>
      <c r="H485">
        <f t="shared" si="31"/>
        <v>-6.1015952363449458E-3</v>
      </c>
      <c r="I485">
        <f t="shared" si="32"/>
        <v>3.7593984962405211E-3</v>
      </c>
    </row>
    <row r="486" spans="1:9" x14ac:dyDescent="0.25">
      <c r="A486" s="139">
        <v>44110</v>
      </c>
      <c r="B486" s="140">
        <v>8719.7000000000007</v>
      </c>
      <c r="C486" s="140">
        <v>137.9</v>
      </c>
      <c r="D486" s="140">
        <v>2090</v>
      </c>
      <c r="E486" s="141">
        <v>13.3</v>
      </c>
      <c r="F486">
        <f t="shared" si="29"/>
        <v>-1.3653228360707537E-2</v>
      </c>
      <c r="G486">
        <f t="shared" si="30"/>
        <v>7.2568940493464664E-4</v>
      </c>
      <c r="H486">
        <f t="shared" si="31"/>
        <v>3.0571992110453649E-2</v>
      </c>
      <c r="I486">
        <f t="shared" si="32"/>
        <v>-3.7453183520598453E-3</v>
      </c>
    </row>
    <row r="487" spans="1:9" x14ac:dyDescent="0.25">
      <c r="A487" s="139">
        <v>44111</v>
      </c>
      <c r="B487" s="140">
        <v>8716</v>
      </c>
      <c r="C487" s="140">
        <v>123.35</v>
      </c>
      <c r="D487" s="140">
        <v>2105</v>
      </c>
      <c r="E487" s="141">
        <v>13.15</v>
      </c>
      <c r="F487">
        <f t="shared" si="29"/>
        <v>-4.243265249952094E-4</v>
      </c>
      <c r="G487">
        <f t="shared" si="30"/>
        <v>-0.10551124002900661</v>
      </c>
      <c r="H487">
        <f t="shared" si="31"/>
        <v>7.1770334928229667E-3</v>
      </c>
      <c r="I487">
        <f t="shared" si="32"/>
        <v>-1.127819548872183E-2</v>
      </c>
    </row>
    <row r="488" spans="1:9" x14ac:dyDescent="0.25">
      <c r="A488" s="139">
        <v>44112</v>
      </c>
      <c r="B488" s="140">
        <v>8444.15</v>
      </c>
      <c r="C488" s="140">
        <v>117.9</v>
      </c>
      <c r="D488" s="140">
        <v>2088.65</v>
      </c>
      <c r="E488" s="141">
        <v>13.1</v>
      </c>
      <c r="F488">
        <f t="shared" si="29"/>
        <v>-3.1189765947682465E-2</v>
      </c>
      <c r="G488">
        <f t="shared" si="30"/>
        <v>-4.4183218483988561E-2</v>
      </c>
      <c r="H488">
        <f t="shared" si="31"/>
        <v>-7.7672209026127832E-3</v>
      </c>
      <c r="I488">
        <f t="shared" si="32"/>
        <v>-3.8022813688213465E-3</v>
      </c>
    </row>
    <row r="489" spans="1:9" x14ac:dyDescent="0.25">
      <c r="A489" s="139">
        <v>44113</v>
      </c>
      <c r="B489" s="140">
        <v>8490.35</v>
      </c>
      <c r="C489" s="140">
        <v>121.85</v>
      </c>
      <c r="D489" s="140">
        <v>2050.6</v>
      </c>
      <c r="E489" s="141">
        <v>13.15</v>
      </c>
      <c r="F489">
        <f t="shared" si="29"/>
        <v>5.4712434051977675E-3</v>
      </c>
      <c r="G489">
        <f t="shared" si="30"/>
        <v>3.3502968617472338E-2</v>
      </c>
      <c r="H489">
        <f t="shared" si="31"/>
        <v>-1.8217508917243282E-2</v>
      </c>
      <c r="I489">
        <f t="shared" si="32"/>
        <v>3.8167938931298255E-3</v>
      </c>
    </row>
    <row r="490" spans="1:9" x14ac:dyDescent="0.25">
      <c r="A490" s="139">
        <v>44116</v>
      </c>
      <c r="B490" s="140">
        <v>8453.65</v>
      </c>
      <c r="C490" s="140">
        <v>96.95</v>
      </c>
      <c r="D490" s="140">
        <v>2077.85</v>
      </c>
      <c r="E490" s="141">
        <v>13</v>
      </c>
      <c r="F490">
        <f t="shared" si="29"/>
        <v>-4.3225544294405683E-3</v>
      </c>
      <c r="G490">
        <f t="shared" si="30"/>
        <v>-0.2043496101764464</v>
      </c>
      <c r="H490">
        <f t="shared" si="31"/>
        <v>1.328879352384668E-2</v>
      </c>
      <c r="I490">
        <f t="shared" si="32"/>
        <v>-1.1406844106463905E-2</v>
      </c>
    </row>
    <row r="491" spans="1:9" ht="15.75" thickBot="1" x14ac:dyDescent="0.3">
      <c r="A491" s="142">
        <v>44117</v>
      </c>
      <c r="B491" s="143">
        <v>9020.15</v>
      </c>
      <c r="C491" s="143">
        <v>99.65</v>
      </c>
      <c r="D491" s="143">
        <v>2064.65</v>
      </c>
      <c r="E491" s="144">
        <v>12.95</v>
      </c>
      <c r="F491">
        <f t="shared" si="29"/>
        <v>6.701247390180573E-2</v>
      </c>
      <c r="G491">
        <f t="shared" si="30"/>
        <v>2.7849406910778779E-2</v>
      </c>
      <c r="H491">
        <f t="shared" si="31"/>
        <v>-6.3527203599874002E-3</v>
      </c>
      <c r="I491">
        <f t="shared" si="32"/>
        <v>-3.846153846153901E-3</v>
      </c>
    </row>
  </sheetData>
  <mergeCells count="1">
    <mergeCell ref="F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965E-0115-47AE-AA9E-0B63B3206C0F}">
  <dimension ref="A1:Q491"/>
  <sheetViews>
    <sheetView workbookViewId="0">
      <selection activeCell="R3" sqref="R3"/>
    </sheetView>
  </sheetViews>
  <sheetFormatPr defaultRowHeight="15" x14ac:dyDescent="0.25"/>
  <cols>
    <col min="1" max="1" width="10.85546875" customWidth="1"/>
    <col min="2" max="9" width="9.85546875" customWidth="1"/>
  </cols>
  <sheetData>
    <row r="1" spans="1:17" ht="15.75" thickBot="1" x14ac:dyDescent="0.3">
      <c r="A1" s="16" t="s">
        <v>231</v>
      </c>
      <c r="B1" s="17" t="s">
        <v>233</v>
      </c>
      <c r="C1" s="17" t="s">
        <v>236</v>
      </c>
      <c r="D1" s="17" t="s">
        <v>232</v>
      </c>
      <c r="E1" s="17" t="s">
        <v>237</v>
      </c>
      <c r="F1" s="17" t="s">
        <v>234</v>
      </c>
      <c r="G1" s="17" t="s">
        <v>238</v>
      </c>
      <c r="H1" s="17" t="s">
        <v>235</v>
      </c>
      <c r="I1" s="18" t="s">
        <v>239</v>
      </c>
      <c r="J1" s="360" t="s">
        <v>123</v>
      </c>
      <c r="K1" s="361"/>
      <c r="L1" s="361"/>
      <c r="M1" s="361"/>
      <c r="N1" s="361"/>
      <c r="O1" s="361"/>
      <c r="P1" s="361"/>
      <c r="Q1" s="362"/>
    </row>
    <row r="2" spans="1:17" ht="15.75" thickBot="1" x14ac:dyDescent="0.3">
      <c r="A2" s="139">
        <v>44117</v>
      </c>
      <c r="B2" s="148">
        <v>99.65</v>
      </c>
      <c r="C2" s="148">
        <v>705.09997599999997</v>
      </c>
      <c r="D2" s="148">
        <v>9020.15</v>
      </c>
      <c r="E2" s="148">
        <v>1198.4499510000001</v>
      </c>
      <c r="F2" s="148">
        <v>2064.65</v>
      </c>
      <c r="G2" s="148">
        <v>2280.6999510000001</v>
      </c>
      <c r="H2" s="148">
        <v>12.95</v>
      </c>
      <c r="I2" s="125">
        <v>2138.1999510000001</v>
      </c>
      <c r="J2" s="16" t="s">
        <v>233</v>
      </c>
      <c r="K2" s="17" t="s">
        <v>236</v>
      </c>
      <c r="L2" s="17" t="s">
        <v>232</v>
      </c>
      <c r="M2" s="17" t="s">
        <v>237</v>
      </c>
      <c r="N2" s="17" t="s">
        <v>234</v>
      </c>
      <c r="O2" s="17" t="s">
        <v>238</v>
      </c>
      <c r="P2" s="17" t="s">
        <v>235</v>
      </c>
      <c r="Q2" s="18" t="s">
        <v>239</v>
      </c>
    </row>
    <row r="3" spans="1:17" x14ac:dyDescent="0.25">
      <c r="A3" s="139">
        <v>44116</v>
      </c>
      <c r="B3" s="148">
        <v>96.95</v>
      </c>
      <c r="C3" s="148">
        <v>671.54998799999998</v>
      </c>
      <c r="D3" s="148">
        <v>8453.65</v>
      </c>
      <c r="E3" s="148">
        <v>1213.650024</v>
      </c>
      <c r="F3" s="148">
        <v>2077.85</v>
      </c>
      <c r="G3" s="148">
        <v>2237.0500489999999</v>
      </c>
      <c r="H3" s="148">
        <v>13</v>
      </c>
      <c r="I3" s="125">
        <v>2138.3999020000001</v>
      </c>
      <c r="J3">
        <f>(B3-B2)/B2</f>
        <v>-2.7094831911690945E-2</v>
      </c>
      <c r="K3">
        <f t="shared" ref="K3:Q3" si="0">(C3-C2)/C2</f>
        <v>-4.7581887876847674E-2</v>
      </c>
      <c r="L3">
        <f t="shared" si="0"/>
        <v>-6.2803833639130169E-2</v>
      </c>
      <c r="M3">
        <f t="shared" si="0"/>
        <v>1.2683110368786669E-2</v>
      </c>
      <c r="N3">
        <f t="shared" si="0"/>
        <v>6.3933354321554824E-3</v>
      </c>
      <c r="O3">
        <f t="shared" si="0"/>
        <v>-1.9138818317973521E-2</v>
      </c>
      <c r="P3">
        <f t="shared" si="0"/>
        <v>3.8610038610039162E-3</v>
      </c>
      <c r="Q3">
        <f t="shared" si="0"/>
        <v>9.3513705257799572E-5</v>
      </c>
    </row>
    <row r="4" spans="1:17" x14ac:dyDescent="0.25">
      <c r="A4" s="139">
        <v>44113</v>
      </c>
      <c r="B4" s="148">
        <v>121.85</v>
      </c>
      <c r="C4" s="148">
        <v>683.95001200000002</v>
      </c>
      <c r="D4" s="148">
        <v>8490.35</v>
      </c>
      <c r="E4" s="148">
        <v>1233.5500489999999</v>
      </c>
      <c r="F4" s="148">
        <v>2050.6</v>
      </c>
      <c r="G4" s="148">
        <v>2233.4499510000001</v>
      </c>
      <c r="H4" s="148">
        <v>13.15</v>
      </c>
      <c r="I4" s="125">
        <v>2139.6499020000001</v>
      </c>
      <c r="J4">
        <f t="shared" ref="J4:J67" si="1">(B4-B3)/B3</f>
        <v>0.25683341928829284</v>
      </c>
      <c r="K4">
        <f t="shared" ref="K4:K67" si="2">(C4-C3)/C3</f>
        <v>1.8464781805639808E-2</v>
      </c>
      <c r="L4">
        <f t="shared" ref="L4:L67" si="3">(D4-D3)/D3</f>
        <v>4.3413200215292481E-3</v>
      </c>
      <c r="M4">
        <f t="shared" ref="M4:M67" si="4">(E4-E3)/E3</f>
        <v>1.6396839786162205E-2</v>
      </c>
      <c r="N4">
        <f t="shared" ref="N4:N67" si="5">(F4-F3)/F3</f>
        <v>-1.3114517409822654E-2</v>
      </c>
      <c r="O4">
        <f t="shared" ref="O4:O67" si="6">(G4-G3)/G3</f>
        <v>-1.6093059704270789E-3</v>
      </c>
      <c r="P4">
        <f t="shared" ref="P4:P67" si="7">(H4-H3)/H3</f>
        <v>1.1538461538461565E-2</v>
      </c>
      <c r="Q4">
        <f t="shared" ref="Q4:Q67" si="8">(I4-I3)/I3</f>
        <v>5.8454922244941248E-4</v>
      </c>
    </row>
    <row r="5" spans="1:17" x14ac:dyDescent="0.25">
      <c r="A5" s="139">
        <v>44112</v>
      </c>
      <c r="B5" s="148">
        <v>117.9</v>
      </c>
      <c r="C5" s="148">
        <v>696.15002400000003</v>
      </c>
      <c r="D5" s="148">
        <v>8444.15</v>
      </c>
      <c r="E5" s="148">
        <v>1191.8000489999999</v>
      </c>
      <c r="F5" s="148">
        <v>2088.65</v>
      </c>
      <c r="G5" s="148">
        <v>2239.25</v>
      </c>
      <c r="H5" s="148">
        <v>13.1</v>
      </c>
      <c r="I5" s="125">
        <v>2160.8000489999999</v>
      </c>
      <c r="J5">
        <f t="shared" si="1"/>
        <v>-3.2416906032006476E-2</v>
      </c>
      <c r="K5">
        <f t="shared" si="2"/>
        <v>1.7837578457415123E-2</v>
      </c>
      <c r="L5">
        <f t="shared" si="3"/>
        <v>-5.4414717885600391E-3</v>
      </c>
      <c r="M5">
        <f t="shared" si="4"/>
        <v>-3.3845404192432572E-2</v>
      </c>
      <c r="N5">
        <f t="shared" si="5"/>
        <v>1.8555544718619029E-2</v>
      </c>
      <c r="O5">
        <f t="shared" si="6"/>
        <v>2.5969012636271717E-3</v>
      </c>
      <c r="P5">
        <f t="shared" si="7"/>
        <v>-3.8022813688213465E-3</v>
      </c>
      <c r="Q5">
        <f t="shared" si="8"/>
        <v>9.884863397619445E-3</v>
      </c>
    </row>
    <row r="6" spans="1:17" x14ac:dyDescent="0.25">
      <c r="A6" s="139">
        <v>44111</v>
      </c>
      <c r="B6" s="148">
        <v>123.35</v>
      </c>
      <c r="C6" s="148">
        <v>699.29998799999998</v>
      </c>
      <c r="D6" s="148">
        <v>8716</v>
      </c>
      <c r="E6" s="148">
        <v>1162.25</v>
      </c>
      <c r="F6" s="148">
        <v>2105</v>
      </c>
      <c r="G6" s="148">
        <v>2257.5</v>
      </c>
      <c r="H6" s="148">
        <v>13.15</v>
      </c>
      <c r="I6" s="125">
        <v>2139.3500979999999</v>
      </c>
      <c r="J6">
        <f t="shared" si="1"/>
        <v>4.6225614927904904E-2</v>
      </c>
      <c r="K6">
        <f t="shared" si="2"/>
        <v>4.5248350088399258E-3</v>
      </c>
      <c r="L6">
        <f t="shared" si="3"/>
        <v>3.2193885707856966E-2</v>
      </c>
      <c r="M6">
        <f t="shared" si="4"/>
        <v>-2.4794468690276038E-2</v>
      </c>
      <c r="N6">
        <f t="shared" si="5"/>
        <v>7.8280228855959148E-3</v>
      </c>
      <c r="O6">
        <f t="shared" si="6"/>
        <v>8.1500502400357264E-3</v>
      </c>
      <c r="P6">
        <f t="shared" si="7"/>
        <v>3.8167938931298255E-3</v>
      </c>
      <c r="Q6">
        <f t="shared" si="8"/>
        <v>-9.9268560318327061E-3</v>
      </c>
    </row>
    <row r="7" spans="1:17" x14ac:dyDescent="0.25">
      <c r="A7" s="139">
        <v>44110</v>
      </c>
      <c r="B7" s="148">
        <v>137.9</v>
      </c>
      <c r="C7" s="148">
        <v>735.90002400000003</v>
      </c>
      <c r="D7" s="148">
        <v>8719.7000000000007</v>
      </c>
      <c r="E7" s="148">
        <v>1144.099976</v>
      </c>
      <c r="F7" s="148">
        <v>2090</v>
      </c>
      <c r="G7" s="148">
        <v>2210.3500979999999</v>
      </c>
      <c r="H7" s="148">
        <v>13.3</v>
      </c>
      <c r="I7" s="125">
        <v>2115.8999020000001</v>
      </c>
      <c r="J7">
        <f t="shared" si="1"/>
        <v>0.11795703283340099</v>
      </c>
      <c r="K7">
        <f t="shared" si="2"/>
        <v>5.2338104716226658E-2</v>
      </c>
      <c r="L7">
        <f t="shared" si="3"/>
        <v>4.2450665442872047E-4</v>
      </c>
      <c r="M7">
        <f t="shared" si="4"/>
        <v>-1.5616282211228247E-2</v>
      </c>
      <c r="N7">
        <f t="shared" si="5"/>
        <v>-7.1258907363420431E-3</v>
      </c>
      <c r="O7">
        <f t="shared" si="6"/>
        <v>-2.0885892358804035E-2</v>
      </c>
      <c r="P7">
        <f t="shared" si="7"/>
        <v>1.1406844106463905E-2</v>
      </c>
      <c r="Q7">
        <f t="shared" si="8"/>
        <v>-1.0961364398432266E-2</v>
      </c>
    </row>
    <row r="8" spans="1:17" x14ac:dyDescent="0.25">
      <c r="A8" s="139">
        <v>44109</v>
      </c>
      <c r="B8" s="148">
        <v>137.80000000000001</v>
      </c>
      <c r="C8" s="148">
        <v>749.45001200000002</v>
      </c>
      <c r="D8" s="148">
        <v>8840.4</v>
      </c>
      <c r="E8" s="148">
        <v>1114.349976</v>
      </c>
      <c r="F8" s="148">
        <v>2028</v>
      </c>
      <c r="G8" s="148">
        <v>2212.1999510000001</v>
      </c>
      <c r="H8" s="148">
        <v>13.35</v>
      </c>
      <c r="I8" s="125">
        <v>2111.0500489999999</v>
      </c>
      <c r="J8">
        <f t="shared" si="1"/>
        <v>-7.2516316171134377E-4</v>
      </c>
      <c r="K8">
        <f t="shared" si="2"/>
        <v>1.8412810922805438E-2</v>
      </c>
      <c r="L8">
        <f t="shared" si="3"/>
        <v>1.3842219342408443E-2</v>
      </c>
      <c r="M8">
        <f t="shared" si="4"/>
        <v>-2.6002972313671303E-2</v>
      </c>
      <c r="N8">
        <f t="shared" si="5"/>
        <v>-2.9665071770334929E-2</v>
      </c>
      <c r="O8">
        <f t="shared" si="6"/>
        <v>8.3690497793719495E-4</v>
      </c>
      <c r="P8">
        <f t="shared" si="7"/>
        <v>3.7593984962405211E-3</v>
      </c>
      <c r="Q8">
        <f t="shared" si="8"/>
        <v>-2.2920994492300734E-3</v>
      </c>
    </row>
    <row r="9" spans="1:17" x14ac:dyDescent="0.25">
      <c r="A9" s="139">
        <v>44105</v>
      </c>
      <c r="B9" s="148">
        <v>137.44999999999999</v>
      </c>
      <c r="C9" s="148">
        <v>747.09997599999997</v>
      </c>
      <c r="D9" s="148">
        <v>8850.2000000000007</v>
      </c>
      <c r="E9" s="148">
        <v>1106.9499510000001</v>
      </c>
      <c r="F9" s="148">
        <v>2040.45</v>
      </c>
      <c r="G9" s="148">
        <v>2225.25</v>
      </c>
      <c r="H9" s="148">
        <v>13.3</v>
      </c>
      <c r="I9" s="125">
        <v>2095</v>
      </c>
      <c r="J9">
        <f t="shared" si="1"/>
        <v>-2.5399129172715726E-3</v>
      </c>
      <c r="K9">
        <f t="shared" si="2"/>
        <v>-3.1356807824029303E-3</v>
      </c>
      <c r="L9">
        <f t="shared" si="3"/>
        <v>1.1085471245646228E-3</v>
      </c>
      <c r="M9">
        <f t="shared" si="4"/>
        <v>-6.6406651046582105E-3</v>
      </c>
      <c r="N9">
        <f t="shared" si="5"/>
        <v>6.139053254437892E-3</v>
      </c>
      <c r="O9">
        <f t="shared" si="6"/>
        <v>5.8991272439459265E-3</v>
      </c>
      <c r="P9">
        <f t="shared" si="7"/>
        <v>-3.7453183520598453E-3</v>
      </c>
      <c r="Q9">
        <f t="shared" si="8"/>
        <v>-7.6028746962218258E-3</v>
      </c>
    </row>
    <row r="10" spans="1:17" x14ac:dyDescent="0.25">
      <c r="A10" s="139">
        <v>44104</v>
      </c>
      <c r="B10" s="148">
        <v>136.9</v>
      </c>
      <c r="C10" s="148">
        <v>737.59997599999997</v>
      </c>
      <c r="D10" s="148">
        <v>8762.0499999999993</v>
      </c>
      <c r="E10" s="148">
        <v>1078.599976</v>
      </c>
      <c r="F10" s="148">
        <v>1986.4</v>
      </c>
      <c r="G10" s="148">
        <v>2234.3500979999999</v>
      </c>
      <c r="H10" s="148">
        <v>13.15</v>
      </c>
      <c r="I10" s="125">
        <v>2068.25</v>
      </c>
      <c r="J10">
        <f t="shared" si="1"/>
        <v>-4.0014550745724482E-3</v>
      </c>
      <c r="K10">
        <f t="shared" si="2"/>
        <v>-1.2715834968786026E-2</v>
      </c>
      <c r="L10">
        <f t="shared" si="3"/>
        <v>-9.9602268875281282E-3</v>
      </c>
      <c r="M10">
        <f t="shared" si="4"/>
        <v>-2.5610891417800048E-2</v>
      </c>
      <c r="N10">
        <f t="shared" si="5"/>
        <v>-2.6489254821240388E-2</v>
      </c>
      <c r="O10">
        <f t="shared" si="6"/>
        <v>4.0894721941354406E-3</v>
      </c>
      <c r="P10">
        <f t="shared" si="7"/>
        <v>-1.127819548872183E-2</v>
      </c>
      <c r="Q10">
        <f t="shared" si="8"/>
        <v>-1.2768496420047733E-2</v>
      </c>
    </row>
    <row r="11" spans="1:17" x14ac:dyDescent="0.25">
      <c r="A11" s="139">
        <v>44103</v>
      </c>
      <c r="B11" s="148">
        <v>139.94999999999999</v>
      </c>
      <c r="C11" s="148">
        <v>714.09997599999997</v>
      </c>
      <c r="D11" s="148">
        <v>9081.75</v>
      </c>
      <c r="E11" s="148">
        <v>1062.5500489999999</v>
      </c>
      <c r="F11" s="148">
        <v>1959.95</v>
      </c>
      <c r="G11" s="148">
        <v>2245.0500489999999</v>
      </c>
      <c r="H11" s="148">
        <v>13.35</v>
      </c>
      <c r="I11" s="125">
        <v>2033.1999510000001</v>
      </c>
      <c r="J11">
        <f t="shared" si="1"/>
        <v>2.2279035792549182E-2</v>
      </c>
      <c r="K11">
        <f t="shared" si="2"/>
        <v>-3.1860087804558172E-2</v>
      </c>
      <c r="L11">
        <f t="shared" si="3"/>
        <v>3.6486895190052646E-2</v>
      </c>
      <c r="M11">
        <f t="shared" si="4"/>
        <v>-1.4880333169968498E-2</v>
      </c>
      <c r="N11">
        <f t="shared" si="5"/>
        <v>-1.3315545710833692E-2</v>
      </c>
      <c r="O11">
        <f t="shared" si="6"/>
        <v>4.7888426301579776E-3</v>
      </c>
      <c r="P11">
        <f t="shared" si="7"/>
        <v>1.5209125475285117E-2</v>
      </c>
      <c r="Q11">
        <f t="shared" si="8"/>
        <v>-1.6946717756557449E-2</v>
      </c>
    </row>
    <row r="12" spans="1:17" x14ac:dyDescent="0.25">
      <c r="A12" s="139">
        <v>44102</v>
      </c>
      <c r="B12" s="148">
        <v>139.1</v>
      </c>
      <c r="C12" s="148">
        <v>680.09997599999997</v>
      </c>
      <c r="D12" s="148">
        <v>9008.85</v>
      </c>
      <c r="E12" s="148">
        <v>1054.1999510000001</v>
      </c>
      <c r="F12" s="148">
        <v>1945.6</v>
      </c>
      <c r="G12" s="148">
        <v>2216.25</v>
      </c>
      <c r="H12" s="148">
        <v>13.55</v>
      </c>
      <c r="I12" s="125">
        <v>2063.3000489999999</v>
      </c>
      <c r="J12">
        <f t="shared" si="1"/>
        <v>-6.0735977134690556E-3</v>
      </c>
      <c r="K12">
        <f t="shared" si="2"/>
        <v>-4.761238081878888E-2</v>
      </c>
      <c r="L12">
        <f t="shared" si="3"/>
        <v>-8.0270872904450834E-3</v>
      </c>
      <c r="M12">
        <f t="shared" si="4"/>
        <v>-7.8585455883781047E-3</v>
      </c>
      <c r="N12">
        <f t="shared" si="5"/>
        <v>-7.3216153473303581E-3</v>
      </c>
      <c r="O12">
        <f t="shared" si="6"/>
        <v>-1.2828243634402801E-2</v>
      </c>
      <c r="P12">
        <f t="shared" si="7"/>
        <v>1.498127340823978E-2</v>
      </c>
      <c r="Q12">
        <f t="shared" si="8"/>
        <v>1.480429801564553E-2</v>
      </c>
    </row>
    <row r="13" spans="1:17" x14ac:dyDescent="0.25">
      <c r="A13" s="139">
        <v>44099</v>
      </c>
      <c r="B13" s="148">
        <v>137.05000000000001</v>
      </c>
      <c r="C13" s="148">
        <v>647.75</v>
      </c>
      <c r="D13" s="148">
        <v>8793.4</v>
      </c>
      <c r="E13" s="148">
        <v>1044</v>
      </c>
      <c r="F13" s="148">
        <v>1925.6</v>
      </c>
      <c r="G13" s="148">
        <v>2201.6999510000001</v>
      </c>
      <c r="H13" s="148">
        <v>13.35</v>
      </c>
      <c r="I13" s="125">
        <v>2079.0500489999999</v>
      </c>
      <c r="J13">
        <f t="shared" si="1"/>
        <v>-1.4737598849748261E-2</v>
      </c>
      <c r="K13">
        <f t="shared" si="2"/>
        <v>-4.7566500722828982E-2</v>
      </c>
      <c r="L13">
        <f t="shared" si="3"/>
        <v>-2.3915372106317757E-2</v>
      </c>
      <c r="M13">
        <f t="shared" si="4"/>
        <v>-9.675537349745196E-3</v>
      </c>
      <c r="N13">
        <f t="shared" si="5"/>
        <v>-1.0279605263157895E-2</v>
      </c>
      <c r="O13">
        <f t="shared" si="6"/>
        <v>-6.5651659334461116E-3</v>
      </c>
      <c r="P13">
        <f t="shared" si="7"/>
        <v>-1.4760147601476092E-2</v>
      </c>
      <c r="Q13">
        <f t="shared" si="8"/>
        <v>7.6334026200568375E-3</v>
      </c>
    </row>
    <row r="14" spans="1:17" x14ac:dyDescent="0.25">
      <c r="A14" s="139">
        <v>44098</v>
      </c>
      <c r="B14" s="148">
        <v>131.75</v>
      </c>
      <c r="C14" s="148">
        <v>616.95001200000002</v>
      </c>
      <c r="D14" s="148">
        <v>8430.1</v>
      </c>
      <c r="E14" s="148">
        <v>1030.400024</v>
      </c>
      <c r="F14" s="148">
        <v>1918.35</v>
      </c>
      <c r="G14" s="148">
        <v>2181.1999510000001</v>
      </c>
      <c r="H14" s="148">
        <v>12.95</v>
      </c>
      <c r="I14" s="125">
        <v>2060.8999020000001</v>
      </c>
      <c r="J14">
        <f t="shared" si="1"/>
        <v>-3.8672017511857067E-2</v>
      </c>
      <c r="K14">
        <f t="shared" si="2"/>
        <v>-4.7549190274025446E-2</v>
      </c>
      <c r="L14">
        <f t="shared" si="3"/>
        <v>-4.131507721700358E-2</v>
      </c>
      <c r="M14">
        <f t="shared" si="4"/>
        <v>-1.3026796934865871E-2</v>
      </c>
      <c r="N14">
        <f t="shared" si="5"/>
        <v>-3.7650602409638554E-3</v>
      </c>
      <c r="O14">
        <f t="shared" si="6"/>
        <v>-9.3109871718392023E-3</v>
      </c>
      <c r="P14">
        <f t="shared" si="7"/>
        <v>-2.9962546816479429E-2</v>
      </c>
      <c r="Q14">
        <f t="shared" si="8"/>
        <v>-8.7300192742978226E-3</v>
      </c>
    </row>
    <row r="15" spans="1:17" x14ac:dyDescent="0.25">
      <c r="A15" s="139">
        <v>44097</v>
      </c>
      <c r="B15" s="148">
        <v>130</v>
      </c>
      <c r="C15" s="148">
        <v>588.25</v>
      </c>
      <c r="D15" s="148">
        <v>8785.4500000000007</v>
      </c>
      <c r="E15" s="148">
        <v>1047.25</v>
      </c>
      <c r="F15" s="148">
        <v>1946.55</v>
      </c>
      <c r="G15" s="148">
        <v>2230.8000489999999</v>
      </c>
      <c r="H15" s="148">
        <v>13.15</v>
      </c>
      <c r="I15" s="125">
        <v>2052.5500489999999</v>
      </c>
      <c r="J15">
        <f t="shared" si="1"/>
        <v>-1.3282732447817837E-2</v>
      </c>
      <c r="K15">
        <f t="shared" si="2"/>
        <v>-4.6519185414976565E-2</v>
      </c>
      <c r="L15">
        <f t="shared" si="3"/>
        <v>4.2152524881080927E-2</v>
      </c>
      <c r="M15">
        <f t="shared" si="4"/>
        <v>1.6352848997992619E-2</v>
      </c>
      <c r="N15">
        <f t="shared" si="5"/>
        <v>1.4700132926733936E-2</v>
      </c>
      <c r="O15">
        <f t="shared" si="6"/>
        <v>2.2739821710182996E-2</v>
      </c>
      <c r="P15">
        <f t="shared" si="7"/>
        <v>1.5444015444015528E-2</v>
      </c>
      <c r="Q15">
        <f t="shared" si="8"/>
        <v>-4.0515567941446611E-3</v>
      </c>
    </row>
    <row r="16" spans="1:17" x14ac:dyDescent="0.25">
      <c r="A16" s="139">
        <v>44096</v>
      </c>
      <c r="B16" s="148">
        <v>127.15</v>
      </c>
      <c r="C16" s="148">
        <v>619.20001200000002</v>
      </c>
      <c r="D16" s="148">
        <v>8552.6</v>
      </c>
      <c r="E16" s="148">
        <v>1035.400024</v>
      </c>
      <c r="F16" s="148">
        <v>1937.5</v>
      </c>
      <c r="G16" s="148">
        <v>2211.1499020000001</v>
      </c>
      <c r="H16" s="148">
        <v>13.2</v>
      </c>
      <c r="I16" s="125">
        <v>2026.8000489999999</v>
      </c>
      <c r="J16">
        <f t="shared" si="1"/>
        <v>-2.1923076923076878E-2</v>
      </c>
      <c r="K16">
        <f t="shared" si="2"/>
        <v>5.2613705057373589E-2</v>
      </c>
      <c r="L16">
        <f t="shared" si="3"/>
        <v>-2.6504049308800386E-2</v>
      </c>
      <c r="M16">
        <f t="shared" si="4"/>
        <v>-1.1315326808307442E-2</v>
      </c>
      <c r="N16">
        <f t="shared" si="5"/>
        <v>-4.6492512393721992E-3</v>
      </c>
      <c r="O16">
        <f t="shared" si="6"/>
        <v>-8.8085648952753066E-3</v>
      </c>
      <c r="P16">
        <f t="shared" si="7"/>
        <v>3.8022813688212117E-3</v>
      </c>
      <c r="Q16">
        <f t="shared" si="8"/>
        <v>-1.2545370093433469E-2</v>
      </c>
    </row>
    <row r="17" spans="1:17" x14ac:dyDescent="0.25">
      <c r="A17" s="139">
        <v>44095</v>
      </c>
      <c r="B17" s="148">
        <v>128.94999999999999</v>
      </c>
      <c r="C17" s="148">
        <v>651.75</v>
      </c>
      <c r="D17" s="148">
        <v>8900.9</v>
      </c>
      <c r="E17" s="148">
        <v>1049.3000489999999</v>
      </c>
      <c r="F17" s="148">
        <v>1972.55</v>
      </c>
      <c r="G17" s="148">
        <v>2255.8500979999999</v>
      </c>
      <c r="H17" s="148">
        <v>13.55</v>
      </c>
      <c r="I17" s="125">
        <v>2037.8000489999999</v>
      </c>
      <c r="J17">
        <f t="shared" si="1"/>
        <v>1.4156508061344733E-2</v>
      </c>
      <c r="K17">
        <f t="shared" si="2"/>
        <v>5.2567809058763362E-2</v>
      </c>
      <c r="L17">
        <f t="shared" si="3"/>
        <v>4.0724458059537366E-2</v>
      </c>
      <c r="M17">
        <f t="shared" si="4"/>
        <v>1.3424787210551497E-2</v>
      </c>
      <c r="N17">
        <f t="shared" si="5"/>
        <v>1.8090322580645139E-2</v>
      </c>
      <c r="O17">
        <f t="shared" si="6"/>
        <v>2.0215814386699043E-2</v>
      </c>
      <c r="P17">
        <f t="shared" si="7"/>
        <v>2.6515151515151623E-2</v>
      </c>
      <c r="Q17">
        <f t="shared" si="8"/>
        <v>5.4272743902030567E-3</v>
      </c>
    </row>
    <row r="18" spans="1:17" x14ac:dyDescent="0.25">
      <c r="A18" s="139">
        <v>44092</v>
      </c>
      <c r="B18" s="148">
        <v>130.94999999999999</v>
      </c>
      <c r="C18" s="148">
        <v>665.59997599999997</v>
      </c>
      <c r="D18" s="148">
        <v>9400.5499999999993</v>
      </c>
      <c r="E18" s="148">
        <v>1057.3000489999999</v>
      </c>
      <c r="F18" s="148">
        <v>2028.4</v>
      </c>
      <c r="G18" s="148">
        <v>2305.6999510000001</v>
      </c>
      <c r="H18" s="148">
        <v>14</v>
      </c>
      <c r="I18" s="125">
        <v>2098.6999510000001</v>
      </c>
      <c r="J18">
        <f t="shared" si="1"/>
        <v>1.5509887553315239E-2</v>
      </c>
      <c r="K18">
        <f t="shared" si="2"/>
        <v>2.1250442654391976E-2</v>
      </c>
      <c r="L18">
        <f t="shared" si="3"/>
        <v>5.6134772888134871E-2</v>
      </c>
      <c r="M18">
        <f t="shared" si="4"/>
        <v>7.6241300165992851E-3</v>
      </c>
      <c r="N18">
        <f t="shared" si="5"/>
        <v>2.8313604217890618E-2</v>
      </c>
      <c r="O18">
        <f t="shared" si="6"/>
        <v>2.209803437036718E-2</v>
      </c>
      <c r="P18">
        <f t="shared" si="7"/>
        <v>3.3210332103320979E-2</v>
      </c>
      <c r="Q18">
        <f t="shared" si="8"/>
        <v>2.9885121471993896E-2</v>
      </c>
    </row>
    <row r="19" spans="1:17" x14ac:dyDescent="0.25">
      <c r="A19" s="139">
        <v>44091</v>
      </c>
      <c r="B19" s="148">
        <v>134.30000000000001</v>
      </c>
      <c r="C19" s="148">
        <v>666.75</v>
      </c>
      <c r="D19" s="148">
        <v>9742.7000000000007</v>
      </c>
      <c r="E19" s="148">
        <v>1083.599976</v>
      </c>
      <c r="F19" s="148">
        <v>2007.95</v>
      </c>
      <c r="G19" s="148">
        <v>2298.75</v>
      </c>
      <c r="H19" s="148">
        <v>14.1</v>
      </c>
      <c r="I19" s="125">
        <v>2128.1999510000001</v>
      </c>
      <c r="J19">
        <f t="shared" si="1"/>
        <v>2.5582283314242255E-2</v>
      </c>
      <c r="K19">
        <f t="shared" si="2"/>
        <v>1.7278005430697769E-3</v>
      </c>
      <c r="L19">
        <f t="shared" si="3"/>
        <v>3.6396806569828521E-2</v>
      </c>
      <c r="M19">
        <f t="shared" si="4"/>
        <v>2.4874610594102061E-2</v>
      </c>
      <c r="N19">
        <f t="shared" si="5"/>
        <v>-1.008183790179454E-2</v>
      </c>
      <c r="O19">
        <f t="shared" si="6"/>
        <v>-3.0142477979347693E-3</v>
      </c>
      <c r="P19">
        <f t="shared" si="7"/>
        <v>7.1428571428571175E-3</v>
      </c>
      <c r="Q19">
        <f t="shared" si="8"/>
        <v>1.4056320907590281E-2</v>
      </c>
    </row>
    <row r="20" spans="1:17" x14ac:dyDescent="0.25">
      <c r="A20" s="139">
        <v>44090</v>
      </c>
      <c r="B20" s="148">
        <v>134.30000000000001</v>
      </c>
      <c r="C20" s="148">
        <v>675.54998799999998</v>
      </c>
      <c r="D20" s="148">
        <v>9986.2000000000007</v>
      </c>
      <c r="E20" s="148">
        <v>1093.650024</v>
      </c>
      <c r="F20" s="148">
        <v>2012.1</v>
      </c>
      <c r="G20" s="148">
        <v>2324.5500489999999</v>
      </c>
      <c r="H20" s="148">
        <v>14.25</v>
      </c>
      <c r="I20" s="125">
        <v>2143.5</v>
      </c>
      <c r="J20">
        <f t="shared" si="1"/>
        <v>0</v>
      </c>
      <c r="K20">
        <f t="shared" si="2"/>
        <v>1.3198332208473919E-2</v>
      </c>
      <c r="L20">
        <f t="shared" si="3"/>
        <v>2.4993071735761131E-2</v>
      </c>
      <c r="M20">
        <f t="shared" si="4"/>
        <v>9.2746845908014876E-3</v>
      </c>
      <c r="N20">
        <f t="shared" si="5"/>
        <v>2.0667845314872699E-3</v>
      </c>
      <c r="O20">
        <f t="shared" si="6"/>
        <v>1.1223512343665011E-2</v>
      </c>
      <c r="P20">
        <f t="shared" si="7"/>
        <v>1.0638297872340451E-2</v>
      </c>
      <c r="Q20">
        <f t="shared" si="8"/>
        <v>7.1891971394937521E-3</v>
      </c>
    </row>
    <row r="21" spans="1:17" x14ac:dyDescent="0.25">
      <c r="A21" s="139">
        <v>44089</v>
      </c>
      <c r="B21" s="148">
        <v>131.55000000000001</v>
      </c>
      <c r="C21" s="148">
        <v>670.79998799999998</v>
      </c>
      <c r="D21" s="148">
        <v>10005.15</v>
      </c>
      <c r="E21" s="148">
        <v>1070.5</v>
      </c>
      <c r="F21" s="148">
        <v>2017.55</v>
      </c>
      <c r="G21" s="148">
        <v>2318.8500979999999</v>
      </c>
      <c r="H21" s="148">
        <v>14.55</v>
      </c>
      <c r="I21" s="125">
        <v>2124.4499510000001</v>
      </c>
      <c r="J21">
        <f t="shared" si="1"/>
        <v>-2.0476545048399106E-2</v>
      </c>
      <c r="K21">
        <f t="shared" si="2"/>
        <v>-7.0313079481543863E-3</v>
      </c>
      <c r="L21">
        <f t="shared" si="3"/>
        <v>1.8976187138249692E-3</v>
      </c>
      <c r="M21">
        <f t="shared" si="4"/>
        <v>-2.116767109402087E-2</v>
      </c>
      <c r="N21">
        <f t="shared" si="5"/>
        <v>2.7086128920034021E-3</v>
      </c>
      <c r="O21">
        <f t="shared" si="6"/>
        <v>-2.4520663697699787E-3</v>
      </c>
      <c r="P21">
        <f t="shared" si="7"/>
        <v>2.105263157894742E-2</v>
      </c>
      <c r="Q21">
        <f t="shared" si="8"/>
        <v>-8.8873566596687405E-3</v>
      </c>
    </row>
    <row r="22" spans="1:17" x14ac:dyDescent="0.25">
      <c r="A22" s="139">
        <v>44088</v>
      </c>
      <c r="B22" s="148">
        <v>129.65</v>
      </c>
      <c r="C22" s="148">
        <v>638.90002400000003</v>
      </c>
      <c r="D22" s="148">
        <v>9822.9</v>
      </c>
      <c r="E22" s="148">
        <v>1057.9499510000001</v>
      </c>
      <c r="F22" s="148">
        <v>2031.2</v>
      </c>
      <c r="G22" s="148">
        <v>2302.5500489999999</v>
      </c>
      <c r="H22" s="148">
        <v>14.75</v>
      </c>
      <c r="I22" s="125">
        <v>2123.5</v>
      </c>
      <c r="J22">
        <f t="shared" si="1"/>
        <v>-1.4443177499049832E-2</v>
      </c>
      <c r="K22">
        <f t="shared" si="2"/>
        <v>-4.7555105203728708E-2</v>
      </c>
      <c r="L22">
        <f t="shared" si="3"/>
        <v>-1.821561895623754E-2</v>
      </c>
      <c r="M22">
        <f t="shared" si="4"/>
        <v>-1.1723539467538482E-2</v>
      </c>
      <c r="N22">
        <f t="shared" si="5"/>
        <v>6.7656315828604451E-3</v>
      </c>
      <c r="O22">
        <f t="shared" si="6"/>
        <v>-7.0293672773667779E-3</v>
      </c>
      <c r="P22">
        <f t="shared" si="7"/>
        <v>1.3745704467353903E-2</v>
      </c>
      <c r="Q22">
        <f t="shared" si="8"/>
        <v>-4.4715150834826866E-4</v>
      </c>
    </row>
    <row r="23" spans="1:17" x14ac:dyDescent="0.25">
      <c r="A23" s="139">
        <v>44085</v>
      </c>
      <c r="B23" s="148">
        <v>131.9</v>
      </c>
      <c r="C23" s="148">
        <v>608.65002400000003</v>
      </c>
      <c r="D23" s="148">
        <v>9240</v>
      </c>
      <c r="E23" s="148">
        <v>1078.650024</v>
      </c>
      <c r="F23" s="148">
        <v>2035.95</v>
      </c>
      <c r="G23" s="148">
        <v>2319.75</v>
      </c>
      <c r="H23" s="148">
        <v>14.55</v>
      </c>
      <c r="I23" s="125">
        <v>2159.25</v>
      </c>
      <c r="J23">
        <f t="shared" si="1"/>
        <v>1.7354415734670264E-2</v>
      </c>
      <c r="K23">
        <f t="shared" si="2"/>
        <v>-4.734700088225384E-2</v>
      </c>
      <c r="L23">
        <f t="shared" si="3"/>
        <v>-5.9340927831902965E-2</v>
      </c>
      <c r="M23">
        <f t="shared" si="4"/>
        <v>1.9566211974804442E-2</v>
      </c>
      <c r="N23">
        <f t="shared" si="5"/>
        <v>2.3385191020086648E-3</v>
      </c>
      <c r="O23">
        <f t="shared" si="6"/>
        <v>7.4699574966763539E-3</v>
      </c>
      <c r="P23">
        <f t="shared" si="7"/>
        <v>-1.3559322033898256E-2</v>
      </c>
      <c r="Q23">
        <f t="shared" si="8"/>
        <v>1.6835413232870262E-2</v>
      </c>
    </row>
    <row r="24" spans="1:17" x14ac:dyDescent="0.25">
      <c r="A24" s="139">
        <v>44084</v>
      </c>
      <c r="B24" s="148">
        <v>130.44999999999999</v>
      </c>
      <c r="C24" s="148">
        <v>579.75</v>
      </c>
      <c r="D24" s="148">
        <v>9429.2000000000007</v>
      </c>
      <c r="E24" s="148">
        <v>1090.5500489999999</v>
      </c>
      <c r="F24" s="148">
        <v>2056.5500000000002</v>
      </c>
      <c r="G24" s="148">
        <v>2314</v>
      </c>
      <c r="H24" s="148">
        <v>13.9</v>
      </c>
      <c r="I24" s="125">
        <v>2133.8999020000001</v>
      </c>
      <c r="J24">
        <f t="shared" si="1"/>
        <v>-1.0993176648976626E-2</v>
      </c>
      <c r="K24">
        <f t="shared" si="2"/>
        <v>-4.7482170147749851E-2</v>
      </c>
      <c r="L24">
        <f t="shared" si="3"/>
        <v>2.0476190476190554E-2</v>
      </c>
      <c r="M24">
        <f t="shared" si="4"/>
        <v>1.1032331836299031E-2</v>
      </c>
      <c r="N24">
        <f t="shared" si="5"/>
        <v>1.011812667305196E-2</v>
      </c>
      <c r="O24">
        <f t="shared" si="6"/>
        <v>-2.4787153788123719E-3</v>
      </c>
      <c r="P24">
        <f t="shared" si="7"/>
        <v>-4.4673539518900365E-2</v>
      </c>
      <c r="Q24">
        <f t="shared" si="8"/>
        <v>-1.1740232951256173E-2</v>
      </c>
    </row>
    <row r="25" spans="1:17" x14ac:dyDescent="0.25">
      <c r="A25" s="139">
        <v>44083</v>
      </c>
      <c r="B25" s="148">
        <v>127.95</v>
      </c>
      <c r="C25" s="148">
        <v>590.04998799999998</v>
      </c>
      <c r="D25" s="148">
        <v>9291.7999999999993</v>
      </c>
      <c r="E25" s="148">
        <v>1096.5</v>
      </c>
      <c r="F25" s="148">
        <v>1979.05</v>
      </c>
      <c r="G25" s="148">
        <v>2161.3500979999999</v>
      </c>
      <c r="H25" s="148">
        <v>13.65</v>
      </c>
      <c r="I25" s="125">
        <v>2132.25</v>
      </c>
      <c r="J25">
        <f t="shared" si="1"/>
        <v>-1.9164430816404645E-2</v>
      </c>
      <c r="K25">
        <f t="shared" si="2"/>
        <v>1.7766257869771426E-2</v>
      </c>
      <c r="L25">
        <f t="shared" si="3"/>
        <v>-1.457175582233927E-2</v>
      </c>
      <c r="M25">
        <f t="shared" si="4"/>
        <v>5.4559174110862434E-3</v>
      </c>
      <c r="N25">
        <f t="shared" si="5"/>
        <v>-3.7684471566458495E-2</v>
      </c>
      <c r="O25">
        <f t="shared" si="6"/>
        <v>-6.5967978392394169E-2</v>
      </c>
      <c r="P25">
        <f t="shared" si="7"/>
        <v>-1.7985611510791366E-2</v>
      </c>
      <c r="Q25">
        <f t="shared" si="8"/>
        <v>-7.7318622042849266E-4</v>
      </c>
    </row>
    <row r="26" spans="1:17" x14ac:dyDescent="0.25">
      <c r="A26" s="139">
        <v>44082</v>
      </c>
      <c r="B26" s="148">
        <v>125.55</v>
      </c>
      <c r="C26" s="148">
        <v>564.40002400000003</v>
      </c>
      <c r="D26" s="148">
        <v>9604.7000000000007</v>
      </c>
      <c r="E26" s="148">
        <v>1112.4499510000001</v>
      </c>
      <c r="F26" s="148">
        <v>1960.35</v>
      </c>
      <c r="G26" s="148">
        <v>2107.1000979999999</v>
      </c>
      <c r="H26" s="148">
        <v>13.95</v>
      </c>
      <c r="I26" s="125">
        <v>2142.25</v>
      </c>
      <c r="J26">
        <f t="shared" si="1"/>
        <v>-1.8757327080891017E-2</v>
      </c>
      <c r="K26">
        <f t="shared" si="2"/>
        <v>-4.3470832169561803E-2</v>
      </c>
      <c r="L26">
        <f t="shared" si="3"/>
        <v>3.3674853096278601E-2</v>
      </c>
      <c r="M26">
        <f t="shared" si="4"/>
        <v>1.4546238942088514E-2</v>
      </c>
      <c r="N26">
        <f t="shared" si="5"/>
        <v>-9.4489780450216238E-3</v>
      </c>
      <c r="O26">
        <f t="shared" si="6"/>
        <v>-2.510005206939871E-2</v>
      </c>
      <c r="P26">
        <f t="shared" si="7"/>
        <v>2.19780219780219E-2</v>
      </c>
      <c r="Q26">
        <f t="shared" si="8"/>
        <v>4.6898815804900925E-3</v>
      </c>
    </row>
    <row r="27" spans="1:17" x14ac:dyDescent="0.25">
      <c r="A27" s="139">
        <v>44081</v>
      </c>
      <c r="B27" s="148">
        <v>127.9</v>
      </c>
      <c r="C27" s="148">
        <v>553.09997599999997</v>
      </c>
      <c r="D27" s="148">
        <v>8920.1</v>
      </c>
      <c r="E27" s="148">
        <v>1110.5</v>
      </c>
      <c r="F27" s="148">
        <v>1982.1</v>
      </c>
      <c r="G27" s="148">
        <v>2082.6499020000001</v>
      </c>
      <c r="H27" s="148">
        <v>14.1</v>
      </c>
      <c r="I27" s="125">
        <v>2162.6000979999999</v>
      </c>
      <c r="J27">
        <f t="shared" si="1"/>
        <v>1.8717642373556422E-2</v>
      </c>
      <c r="K27">
        <f t="shared" si="2"/>
        <v>-2.0021345711353229E-2</v>
      </c>
      <c r="L27">
        <f t="shared" si="3"/>
        <v>-7.1277603673201698E-2</v>
      </c>
      <c r="M27">
        <f t="shared" si="4"/>
        <v>-1.7528438005208339E-3</v>
      </c>
      <c r="N27">
        <f t="shared" si="5"/>
        <v>1.109495753309358E-2</v>
      </c>
      <c r="O27">
        <f t="shared" si="6"/>
        <v>-1.1603718315616433E-2</v>
      </c>
      <c r="P27">
        <f t="shared" si="7"/>
        <v>1.0752688172043038E-2</v>
      </c>
      <c r="Q27">
        <f t="shared" si="8"/>
        <v>9.4994038977709826E-3</v>
      </c>
    </row>
    <row r="28" spans="1:17" x14ac:dyDescent="0.25">
      <c r="A28" s="139">
        <v>44078</v>
      </c>
      <c r="B28" s="148">
        <v>125.95</v>
      </c>
      <c r="C28" s="148">
        <v>542.75</v>
      </c>
      <c r="D28" s="148">
        <v>8586.5</v>
      </c>
      <c r="E28" s="148">
        <v>1119.3000489999999</v>
      </c>
      <c r="F28" s="148">
        <v>1956.35</v>
      </c>
      <c r="G28" s="148">
        <v>2077.25</v>
      </c>
      <c r="H28" s="148">
        <v>14.25</v>
      </c>
      <c r="I28" s="125">
        <v>2124.6499020000001</v>
      </c>
      <c r="J28">
        <f t="shared" si="1"/>
        <v>-1.5246286161063351E-2</v>
      </c>
      <c r="K28">
        <f t="shared" si="2"/>
        <v>-1.8712667599175541E-2</v>
      </c>
      <c r="L28">
        <f t="shared" si="3"/>
        <v>-3.7398683871257089E-2</v>
      </c>
      <c r="M28">
        <f t="shared" si="4"/>
        <v>7.9244025213867121E-3</v>
      </c>
      <c r="N28">
        <f t="shared" si="5"/>
        <v>-1.2991271883356036E-2</v>
      </c>
      <c r="O28">
        <f t="shared" si="6"/>
        <v>-2.5928035215205896E-3</v>
      </c>
      <c r="P28">
        <f t="shared" si="7"/>
        <v>1.0638297872340451E-2</v>
      </c>
      <c r="Q28">
        <f t="shared" si="8"/>
        <v>-1.7548411301329638E-2</v>
      </c>
    </row>
    <row r="29" spans="1:17" x14ac:dyDescent="0.25">
      <c r="A29" s="139">
        <v>44077</v>
      </c>
      <c r="B29" s="148">
        <v>128.5</v>
      </c>
      <c r="C29" s="148">
        <v>571.29998799999998</v>
      </c>
      <c r="D29" s="148">
        <v>8419.35</v>
      </c>
      <c r="E29" s="148">
        <v>1130.900024</v>
      </c>
      <c r="F29" s="148">
        <v>1978</v>
      </c>
      <c r="G29" s="148">
        <v>2112.1000979999999</v>
      </c>
      <c r="H29" s="148">
        <v>14.6</v>
      </c>
      <c r="I29" s="125">
        <v>2139.1499020000001</v>
      </c>
      <c r="J29">
        <f t="shared" si="1"/>
        <v>2.0246129416435069E-2</v>
      </c>
      <c r="K29">
        <f t="shared" si="2"/>
        <v>5.2602465223399328E-2</v>
      </c>
      <c r="L29">
        <f t="shared" si="3"/>
        <v>-1.9466604553659773E-2</v>
      </c>
      <c r="M29">
        <f t="shared" si="4"/>
        <v>1.0363597330638628E-2</v>
      </c>
      <c r="N29">
        <f t="shared" si="5"/>
        <v>1.1066526950699053E-2</v>
      </c>
      <c r="O29">
        <f t="shared" si="6"/>
        <v>1.677703598507637E-2</v>
      </c>
      <c r="P29">
        <f t="shared" si="7"/>
        <v>2.4561403508771906E-2</v>
      </c>
      <c r="Q29">
        <f t="shared" si="8"/>
        <v>6.8246537871254421E-3</v>
      </c>
    </row>
    <row r="30" spans="1:17" x14ac:dyDescent="0.25">
      <c r="A30" s="139">
        <v>44076</v>
      </c>
      <c r="B30" s="148">
        <v>131.1</v>
      </c>
      <c r="C30" s="148">
        <v>544.09997599999997</v>
      </c>
      <c r="D30" s="148">
        <v>8317.2999999999993</v>
      </c>
      <c r="E30" s="148">
        <v>1134.150024</v>
      </c>
      <c r="F30" s="148">
        <v>1943.95</v>
      </c>
      <c r="G30" s="148">
        <v>2128.1999510000001</v>
      </c>
      <c r="H30" s="148">
        <v>14.4</v>
      </c>
      <c r="I30" s="125">
        <v>2141.6499020000001</v>
      </c>
      <c r="J30">
        <f t="shared" si="1"/>
        <v>2.0233463035019411E-2</v>
      </c>
      <c r="K30">
        <f t="shared" si="2"/>
        <v>-4.7610734415068842E-2</v>
      </c>
      <c r="L30">
        <f t="shared" si="3"/>
        <v>-1.2120888192081465E-2</v>
      </c>
      <c r="M30">
        <f t="shared" si="4"/>
        <v>2.8738172526557482E-3</v>
      </c>
      <c r="N30">
        <f t="shared" si="5"/>
        <v>-1.7214357937310392E-2</v>
      </c>
      <c r="O30">
        <f t="shared" si="6"/>
        <v>7.6226751825093503E-3</v>
      </c>
      <c r="P30">
        <f t="shared" si="7"/>
        <v>-1.3698630136986254E-2</v>
      </c>
      <c r="Q30">
        <f t="shared" si="8"/>
        <v>1.1686885513084533E-3</v>
      </c>
    </row>
    <row r="31" spans="1:17" x14ac:dyDescent="0.25">
      <c r="A31" s="139">
        <v>44075</v>
      </c>
      <c r="B31" s="148">
        <v>132</v>
      </c>
      <c r="C31" s="148">
        <v>494.64999399999999</v>
      </c>
      <c r="D31" s="148">
        <v>8295.2000000000007</v>
      </c>
      <c r="E31" s="148">
        <v>1127.3000489999999</v>
      </c>
      <c r="F31" s="148">
        <v>1979.3</v>
      </c>
      <c r="G31" s="148">
        <v>2087.25</v>
      </c>
      <c r="H31" s="148">
        <v>14.65</v>
      </c>
      <c r="I31" s="125">
        <v>2161.6499020000001</v>
      </c>
      <c r="J31">
        <f t="shared" si="1"/>
        <v>6.8649885583524466E-3</v>
      </c>
      <c r="K31">
        <f t="shared" si="2"/>
        <v>-9.0883999597897391E-2</v>
      </c>
      <c r="L31">
        <f t="shared" si="3"/>
        <v>-2.6571122840343075E-3</v>
      </c>
      <c r="M31">
        <f t="shared" si="4"/>
        <v>-6.0397432923742422E-3</v>
      </c>
      <c r="N31">
        <f t="shared" si="5"/>
        <v>1.8184624090125726E-2</v>
      </c>
      <c r="O31">
        <f t="shared" si="6"/>
        <v>-1.9241590049261331E-2</v>
      </c>
      <c r="P31">
        <f t="shared" si="7"/>
        <v>1.7361111111111112E-2</v>
      </c>
      <c r="Q31">
        <f t="shared" si="8"/>
        <v>9.3385945019878406E-3</v>
      </c>
    </row>
    <row r="32" spans="1:17" x14ac:dyDescent="0.25">
      <c r="A32" s="139">
        <v>44074</v>
      </c>
      <c r="B32" s="148">
        <v>128.65</v>
      </c>
      <c r="C32" s="148">
        <v>452.75</v>
      </c>
      <c r="D32" s="148">
        <v>8094.95</v>
      </c>
      <c r="E32" s="148">
        <v>1115.849976</v>
      </c>
      <c r="F32" s="148">
        <v>1899.1</v>
      </c>
      <c r="G32" s="148">
        <v>2080.6999510000001</v>
      </c>
      <c r="H32" s="148">
        <v>14.35</v>
      </c>
      <c r="I32" s="125">
        <v>2117.3500979999999</v>
      </c>
      <c r="J32">
        <f t="shared" si="1"/>
        <v>-2.5378787878787834E-2</v>
      </c>
      <c r="K32">
        <f t="shared" si="2"/>
        <v>-8.47063469286123E-2</v>
      </c>
      <c r="L32">
        <f t="shared" si="3"/>
        <v>-2.4140466775966932E-2</v>
      </c>
      <c r="M32">
        <f t="shared" si="4"/>
        <v>-1.0157076645350146E-2</v>
      </c>
      <c r="N32">
        <f t="shared" si="5"/>
        <v>-4.0519375536805964E-2</v>
      </c>
      <c r="O32">
        <f t="shared" si="6"/>
        <v>-3.138123847167299E-3</v>
      </c>
      <c r="P32">
        <f t="shared" si="7"/>
        <v>-2.0477815699658751E-2</v>
      </c>
      <c r="Q32">
        <f t="shared" si="8"/>
        <v>-2.0493514680158517E-2</v>
      </c>
    </row>
    <row r="33" spans="1:17" x14ac:dyDescent="0.25">
      <c r="A33" s="139">
        <v>44071</v>
      </c>
      <c r="B33" s="148">
        <v>128.85</v>
      </c>
      <c r="C33" s="148">
        <v>462.29998799999998</v>
      </c>
      <c r="D33" s="148">
        <v>8313</v>
      </c>
      <c r="E33" s="148">
        <v>1114.5</v>
      </c>
      <c r="F33" s="148">
        <v>1958.1</v>
      </c>
      <c r="G33" s="148">
        <v>2116.1499020000001</v>
      </c>
      <c r="H33" s="148">
        <v>15</v>
      </c>
      <c r="I33" s="125">
        <v>2151.9499510000001</v>
      </c>
      <c r="J33">
        <f t="shared" si="1"/>
        <v>1.5546055188495034E-3</v>
      </c>
      <c r="K33">
        <f t="shared" si="2"/>
        <v>2.1093292103810016E-2</v>
      </c>
      <c r="L33">
        <f t="shared" si="3"/>
        <v>2.6936546859461785E-2</v>
      </c>
      <c r="M33">
        <f t="shared" si="4"/>
        <v>-1.2098185500162343E-3</v>
      </c>
      <c r="N33">
        <f t="shared" si="5"/>
        <v>3.1067347691011535E-2</v>
      </c>
      <c r="O33">
        <f t="shared" si="6"/>
        <v>1.7037512296264795E-2</v>
      </c>
      <c r="P33">
        <f t="shared" si="7"/>
        <v>4.5296167247386783E-2</v>
      </c>
      <c r="Q33">
        <f t="shared" si="8"/>
        <v>1.6341111010731001E-2</v>
      </c>
    </row>
    <row r="34" spans="1:17" x14ac:dyDescent="0.25">
      <c r="A34" s="139">
        <v>44070</v>
      </c>
      <c r="B34" s="148">
        <v>127.85</v>
      </c>
      <c r="C34" s="148">
        <v>432.75</v>
      </c>
      <c r="D34" s="148">
        <v>8614.2000000000007</v>
      </c>
      <c r="E34" s="148">
        <v>1112.099976</v>
      </c>
      <c r="F34" s="148">
        <v>1982.5</v>
      </c>
      <c r="G34" s="148">
        <v>2110.6000979999999</v>
      </c>
      <c r="H34" s="148">
        <v>14.7</v>
      </c>
      <c r="I34" s="125">
        <v>2171.25</v>
      </c>
      <c r="J34">
        <f t="shared" si="1"/>
        <v>-7.7609623593325574E-3</v>
      </c>
      <c r="K34">
        <f t="shared" si="2"/>
        <v>-6.3919508472926864E-2</v>
      </c>
      <c r="L34">
        <f t="shared" si="3"/>
        <v>3.6232407073258838E-2</v>
      </c>
      <c r="M34">
        <f t="shared" si="4"/>
        <v>-2.1534535666218307E-3</v>
      </c>
      <c r="N34">
        <f t="shared" si="5"/>
        <v>1.2461059190031199E-2</v>
      </c>
      <c r="O34">
        <f t="shared" si="6"/>
        <v>-2.622594928060168E-3</v>
      </c>
      <c r="P34">
        <f t="shared" si="7"/>
        <v>-2.0000000000000049E-2</v>
      </c>
      <c r="Q34">
        <f t="shared" si="8"/>
        <v>8.9686328397327788E-3</v>
      </c>
    </row>
    <row r="35" spans="1:17" x14ac:dyDescent="0.25">
      <c r="A35" s="139">
        <v>44069</v>
      </c>
      <c r="B35" s="148">
        <v>128.94999999999999</v>
      </c>
      <c r="C35" s="148">
        <v>427.64999399999999</v>
      </c>
      <c r="D35" s="148">
        <v>8343.0499999999993</v>
      </c>
      <c r="E35" s="148">
        <v>1118.4499510000001</v>
      </c>
      <c r="F35" s="148">
        <v>1971.4</v>
      </c>
      <c r="G35" s="148">
        <v>2137.3000489999999</v>
      </c>
      <c r="H35" s="148">
        <v>14.65</v>
      </c>
      <c r="I35" s="125">
        <v>2182.8000489999999</v>
      </c>
      <c r="J35">
        <f t="shared" si="1"/>
        <v>8.6038326163472376E-3</v>
      </c>
      <c r="K35">
        <f t="shared" si="2"/>
        <v>-1.1785109185441959E-2</v>
      </c>
      <c r="L35">
        <f t="shared" si="3"/>
        <v>-3.1477095957837223E-2</v>
      </c>
      <c r="M35">
        <f t="shared" si="4"/>
        <v>5.7098958160575362E-3</v>
      </c>
      <c r="N35">
        <f t="shared" si="5"/>
        <v>-5.5989911727616186E-3</v>
      </c>
      <c r="O35">
        <f t="shared" si="6"/>
        <v>1.2650407353482487E-2</v>
      </c>
      <c r="P35">
        <f t="shared" si="7"/>
        <v>-3.4013605442176145E-3</v>
      </c>
      <c r="Q35">
        <f t="shared" si="8"/>
        <v>5.3195389752446493E-3</v>
      </c>
    </row>
    <row r="36" spans="1:17" x14ac:dyDescent="0.25">
      <c r="A36" s="139">
        <v>44068</v>
      </c>
      <c r="B36" s="148">
        <v>130.05000000000001</v>
      </c>
      <c r="C36" s="148">
        <v>424.70001200000002</v>
      </c>
      <c r="D36" s="148">
        <v>8218</v>
      </c>
      <c r="E36" s="148">
        <v>1119.6999510000001</v>
      </c>
      <c r="F36" s="148">
        <v>2000.6</v>
      </c>
      <c r="G36" s="148">
        <v>2082.1000979999999</v>
      </c>
      <c r="H36" s="148">
        <v>14.75</v>
      </c>
      <c r="I36" s="125">
        <v>2179.1000979999999</v>
      </c>
      <c r="J36">
        <f t="shared" si="1"/>
        <v>8.5304381543235587E-3</v>
      </c>
      <c r="K36">
        <f t="shared" si="2"/>
        <v>-6.8981223930520558E-3</v>
      </c>
      <c r="L36">
        <f t="shared" si="3"/>
        <v>-1.4988523381736809E-2</v>
      </c>
      <c r="M36">
        <f t="shared" si="4"/>
        <v>1.1176181812001349E-3</v>
      </c>
      <c r="N36">
        <f t="shared" si="5"/>
        <v>1.4811808866795078E-2</v>
      </c>
      <c r="O36">
        <f t="shared" si="6"/>
        <v>-2.5826954444616707E-2</v>
      </c>
      <c r="P36">
        <f t="shared" si="7"/>
        <v>6.8259385665528768E-3</v>
      </c>
      <c r="Q36">
        <f t="shared" si="8"/>
        <v>-1.6950480653026847E-3</v>
      </c>
    </row>
    <row r="37" spans="1:17" x14ac:dyDescent="0.25">
      <c r="A37" s="139">
        <v>44067</v>
      </c>
      <c r="B37" s="148">
        <v>128.80000000000001</v>
      </c>
      <c r="C37" s="148">
        <v>414.20001200000002</v>
      </c>
      <c r="D37" s="148">
        <v>8123.95</v>
      </c>
      <c r="E37" s="148">
        <v>1117.0500489999999</v>
      </c>
      <c r="F37" s="148">
        <v>1962.15</v>
      </c>
      <c r="G37" s="148">
        <v>2095.75</v>
      </c>
      <c r="H37" s="148">
        <v>14.8</v>
      </c>
      <c r="I37" s="125">
        <v>2194.3999020000001</v>
      </c>
      <c r="J37">
        <f t="shared" si="1"/>
        <v>-9.6116878123798533E-3</v>
      </c>
      <c r="K37">
        <f t="shared" si="2"/>
        <v>-2.4723333419637387E-2</v>
      </c>
      <c r="L37">
        <f t="shared" si="3"/>
        <v>-1.1444390362618665E-2</v>
      </c>
      <c r="M37">
        <f t="shared" si="4"/>
        <v>-2.3666179476327502E-3</v>
      </c>
      <c r="N37">
        <f t="shared" si="5"/>
        <v>-1.9219234229730989E-2</v>
      </c>
      <c r="O37">
        <f t="shared" si="6"/>
        <v>6.5558337051670953E-3</v>
      </c>
      <c r="P37">
        <f t="shared" si="7"/>
        <v>3.3898305084746243E-3</v>
      </c>
      <c r="Q37">
        <f t="shared" si="8"/>
        <v>7.0211570427822648E-3</v>
      </c>
    </row>
    <row r="38" spans="1:17" x14ac:dyDescent="0.25">
      <c r="A38" s="139">
        <v>44064</v>
      </c>
      <c r="B38" s="148">
        <v>130.69999999999999</v>
      </c>
      <c r="C38" s="148">
        <v>376.54998799999998</v>
      </c>
      <c r="D38" s="148">
        <v>8078.85</v>
      </c>
      <c r="E38" s="148">
        <v>1085.650024</v>
      </c>
      <c r="F38" s="148">
        <v>1958</v>
      </c>
      <c r="G38" s="148">
        <v>2081.8500979999999</v>
      </c>
      <c r="H38" s="148">
        <v>15.55</v>
      </c>
      <c r="I38" s="125">
        <v>2202.0500489999999</v>
      </c>
      <c r="J38">
        <f t="shared" si="1"/>
        <v>1.4751552795030877E-2</v>
      </c>
      <c r="K38">
        <f t="shared" si="2"/>
        <v>-9.089817216132777E-2</v>
      </c>
      <c r="L38">
        <f t="shared" si="3"/>
        <v>-5.5514866536597908E-3</v>
      </c>
      <c r="M38">
        <f t="shared" si="4"/>
        <v>-2.810977451557313E-2</v>
      </c>
      <c r="N38">
        <f t="shared" si="5"/>
        <v>-2.1150268837754967E-3</v>
      </c>
      <c r="O38">
        <f t="shared" si="6"/>
        <v>-6.6324237146606754E-3</v>
      </c>
      <c r="P38">
        <f t="shared" si="7"/>
        <v>5.0675675675675672E-2</v>
      </c>
      <c r="Q38">
        <f t="shared" si="8"/>
        <v>3.4862136992566423E-3</v>
      </c>
    </row>
    <row r="39" spans="1:17" x14ac:dyDescent="0.25">
      <c r="A39" s="139">
        <v>44063</v>
      </c>
      <c r="B39" s="148">
        <v>128.94999999999999</v>
      </c>
      <c r="C39" s="148">
        <v>375.39999399999999</v>
      </c>
      <c r="D39" s="148">
        <v>8041</v>
      </c>
      <c r="E39" s="148">
        <v>1059</v>
      </c>
      <c r="F39" s="148">
        <v>1874.9</v>
      </c>
      <c r="G39" s="148">
        <v>2097.0500489999999</v>
      </c>
      <c r="H39" s="148">
        <v>15.75</v>
      </c>
      <c r="I39" s="125">
        <v>2185.6999510000001</v>
      </c>
      <c r="J39">
        <f t="shared" si="1"/>
        <v>-1.3389441469013007E-2</v>
      </c>
      <c r="K39">
        <f t="shared" si="2"/>
        <v>-3.0540274509316739E-3</v>
      </c>
      <c r="L39">
        <f t="shared" si="3"/>
        <v>-4.6850727516911887E-3</v>
      </c>
      <c r="M39">
        <f t="shared" si="4"/>
        <v>-2.4547527666245444E-2</v>
      </c>
      <c r="N39">
        <f t="shared" si="5"/>
        <v>-4.2441266598569921E-2</v>
      </c>
      <c r="O39">
        <f t="shared" si="6"/>
        <v>7.3011745728486432E-3</v>
      </c>
      <c r="P39">
        <f t="shared" si="7"/>
        <v>1.2861736334405098E-2</v>
      </c>
      <c r="Q39">
        <f t="shared" si="8"/>
        <v>-7.4249438642072793E-3</v>
      </c>
    </row>
    <row r="40" spans="1:17" x14ac:dyDescent="0.25">
      <c r="A40" s="139">
        <v>44062</v>
      </c>
      <c r="B40" s="148">
        <v>129.05000000000001</v>
      </c>
      <c r="C40" s="148">
        <v>371</v>
      </c>
      <c r="D40" s="148">
        <v>7985.1</v>
      </c>
      <c r="E40" s="148">
        <v>1066.599976</v>
      </c>
      <c r="F40" s="148">
        <v>1885.7</v>
      </c>
      <c r="G40" s="148">
        <v>2131.5500489999999</v>
      </c>
      <c r="H40" s="148">
        <v>15.8</v>
      </c>
      <c r="I40" s="125">
        <v>2193.6000979999999</v>
      </c>
      <c r="J40">
        <f t="shared" si="1"/>
        <v>7.7549437766593829E-4</v>
      </c>
      <c r="K40">
        <f t="shared" si="2"/>
        <v>-1.172081531786064E-2</v>
      </c>
      <c r="L40">
        <f t="shared" si="3"/>
        <v>-6.9518716577539651E-3</v>
      </c>
      <c r="M40">
        <f t="shared" si="4"/>
        <v>7.1765590179414251E-3</v>
      </c>
      <c r="N40">
        <f t="shared" si="5"/>
        <v>5.7603072163848494E-3</v>
      </c>
      <c r="O40">
        <f t="shared" si="6"/>
        <v>1.6451681740477144E-2</v>
      </c>
      <c r="P40">
        <f t="shared" si="7"/>
        <v>3.1746031746032197E-3</v>
      </c>
      <c r="Q40">
        <f t="shared" si="8"/>
        <v>3.6144700448867023E-3</v>
      </c>
    </row>
    <row r="41" spans="1:17" x14ac:dyDescent="0.25">
      <c r="A41" s="139">
        <v>44061</v>
      </c>
      <c r="B41" s="148">
        <v>126.8</v>
      </c>
      <c r="C41" s="148">
        <v>373.54998799999998</v>
      </c>
      <c r="D41" s="148">
        <v>7882.45</v>
      </c>
      <c r="E41" s="148">
        <v>1056.5</v>
      </c>
      <c r="F41" s="148">
        <v>1874.1</v>
      </c>
      <c r="G41" s="148">
        <v>2118.5500489999999</v>
      </c>
      <c r="H41" s="148">
        <v>15.05</v>
      </c>
      <c r="I41" s="125">
        <v>2214.3500979999999</v>
      </c>
      <c r="J41">
        <f t="shared" si="1"/>
        <v>-1.7435102673382517E-2</v>
      </c>
      <c r="K41">
        <f t="shared" si="2"/>
        <v>6.8732830188678838E-3</v>
      </c>
      <c r="L41">
        <f t="shared" si="3"/>
        <v>-1.2855192796583705E-2</v>
      </c>
      <c r="M41">
        <f t="shared" si="4"/>
        <v>-9.4693195455312577E-3</v>
      </c>
      <c r="N41">
        <f t="shared" si="5"/>
        <v>-6.1515617542557861E-3</v>
      </c>
      <c r="O41">
        <f t="shared" si="6"/>
        <v>-6.0988481157638538E-3</v>
      </c>
      <c r="P41">
        <f t="shared" si="7"/>
        <v>-4.7468354430379743E-2</v>
      </c>
      <c r="Q41">
        <f t="shared" si="8"/>
        <v>9.4593358283119478E-3</v>
      </c>
    </row>
    <row r="42" spans="1:17" x14ac:dyDescent="0.25">
      <c r="A42" s="139">
        <v>44060</v>
      </c>
      <c r="B42" s="148">
        <v>127.95</v>
      </c>
      <c r="C42" s="148">
        <v>367.25</v>
      </c>
      <c r="D42" s="148">
        <v>7815.6</v>
      </c>
      <c r="E42" s="148">
        <v>1032.75</v>
      </c>
      <c r="F42" s="148">
        <v>1836.7</v>
      </c>
      <c r="G42" s="148">
        <v>2091.3500979999999</v>
      </c>
      <c r="H42" s="148">
        <v>14.35</v>
      </c>
      <c r="I42" s="125">
        <v>2196.0500489999999</v>
      </c>
      <c r="J42">
        <f t="shared" si="1"/>
        <v>9.0694006309148707E-3</v>
      </c>
      <c r="K42">
        <f t="shared" si="2"/>
        <v>-1.6865180571227819E-2</v>
      </c>
      <c r="L42">
        <f t="shared" si="3"/>
        <v>-8.4808657206832203E-3</v>
      </c>
      <c r="M42">
        <f t="shared" si="4"/>
        <v>-2.2479886417415995E-2</v>
      </c>
      <c r="N42">
        <f t="shared" si="5"/>
        <v>-1.9956245664585596E-2</v>
      </c>
      <c r="O42">
        <f t="shared" si="6"/>
        <v>-1.2838946624290987E-2</v>
      </c>
      <c r="P42">
        <f t="shared" si="7"/>
        <v>-4.6511627906976813E-2</v>
      </c>
      <c r="Q42">
        <f t="shared" si="8"/>
        <v>-8.2642979610715317E-3</v>
      </c>
    </row>
    <row r="43" spans="1:17" x14ac:dyDescent="0.25">
      <c r="A43" s="139">
        <v>44057</v>
      </c>
      <c r="B43" s="148">
        <v>122.65</v>
      </c>
      <c r="C43" s="148">
        <v>357.60000600000001</v>
      </c>
      <c r="D43" s="148">
        <v>7939.4</v>
      </c>
      <c r="E43" s="148">
        <v>1034.4499510000001</v>
      </c>
      <c r="F43" s="148">
        <v>1802.55</v>
      </c>
      <c r="G43" s="148">
        <v>2113.8000489999999</v>
      </c>
      <c r="H43" s="148">
        <v>15.1</v>
      </c>
      <c r="I43" s="125">
        <v>2173.8999020000001</v>
      </c>
      <c r="J43">
        <f t="shared" si="1"/>
        <v>-4.1422430636967544E-2</v>
      </c>
      <c r="K43">
        <f t="shared" si="2"/>
        <v>-2.6276362151123191E-2</v>
      </c>
      <c r="L43">
        <f t="shared" si="3"/>
        <v>1.584011464250976E-2</v>
      </c>
      <c r="M43">
        <f t="shared" si="4"/>
        <v>1.6460430888405283E-3</v>
      </c>
      <c r="N43">
        <f t="shared" si="5"/>
        <v>-1.8593128981325251E-2</v>
      </c>
      <c r="O43">
        <f t="shared" si="6"/>
        <v>1.0734668968849068E-2</v>
      </c>
      <c r="P43">
        <f t="shared" si="7"/>
        <v>5.2264808362369339E-2</v>
      </c>
      <c r="Q43">
        <f t="shared" si="8"/>
        <v>-1.0086358009047286E-2</v>
      </c>
    </row>
    <row r="44" spans="1:17" x14ac:dyDescent="0.25">
      <c r="A44" s="139">
        <v>44056</v>
      </c>
      <c r="B44" s="148">
        <v>124.45</v>
      </c>
      <c r="C44" s="148">
        <v>362.14999399999999</v>
      </c>
      <c r="D44" s="148">
        <v>8102.5</v>
      </c>
      <c r="E44" s="148">
        <v>1059.0500489999999</v>
      </c>
      <c r="F44" s="148">
        <v>1802.55</v>
      </c>
      <c r="G44" s="148">
        <v>2122.0500489999999</v>
      </c>
      <c r="H44" s="148">
        <v>15.85</v>
      </c>
      <c r="I44" s="125">
        <v>2198.6499020000001</v>
      </c>
      <c r="J44">
        <f t="shared" si="1"/>
        <v>1.4675907052588644E-2</v>
      </c>
      <c r="K44">
        <f t="shared" si="2"/>
        <v>1.2723679876000855E-2</v>
      </c>
      <c r="L44">
        <f t="shared" si="3"/>
        <v>2.0543114089225933E-2</v>
      </c>
      <c r="M44">
        <f t="shared" si="4"/>
        <v>2.3780848919968567E-2</v>
      </c>
      <c r="N44">
        <f t="shared" si="5"/>
        <v>0</v>
      </c>
      <c r="O44">
        <f t="shared" si="6"/>
        <v>3.9029235541473868E-3</v>
      </c>
      <c r="P44">
        <f t="shared" si="7"/>
        <v>4.9668874172185434E-2</v>
      </c>
      <c r="Q44">
        <f t="shared" si="8"/>
        <v>1.1385068823651845E-2</v>
      </c>
    </row>
    <row r="45" spans="1:17" x14ac:dyDescent="0.25">
      <c r="A45" s="139">
        <v>44055</v>
      </c>
      <c r="B45" s="148">
        <v>123.4</v>
      </c>
      <c r="C45" s="148">
        <v>362.5</v>
      </c>
      <c r="D45" s="148">
        <v>8086.25</v>
      </c>
      <c r="E45" s="148">
        <v>1063.6999510000001</v>
      </c>
      <c r="F45" s="148">
        <v>1797.25</v>
      </c>
      <c r="G45" s="148">
        <v>2127.6000979999999</v>
      </c>
      <c r="H45" s="148">
        <v>16.25</v>
      </c>
      <c r="I45" s="125">
        <v>2195.1000979999999</v>
      </c>
      <c r="J45">
        <f t="shared" si="1"/>
        <v>-8.4371233427078911E-3</v>
      </c>
      <c r="K45">
        <f t="shared" si="2"/>
        <v>9.6646694960322876E-4</v>
      </c>
      <c r="L45">
        <f t="shared" si="3"/>
        <v>-2.0055538414069734E-3</v>
      </c>
      <c r="M45">
        <f t="shared" si="4"/>
        <v>4.3906347999235224E-3</v>
      </c>
      <c r="N45">
        <f t="shared" si="5"/>
        <v>-2.9402790491248258E-3</v>
      </c>
      <c r="O45">
        <f t="shared" si="6"/>
        <v>2.6154185206967023E-3</v>
      </c>
      <c r="P45">
        <f t="shared" si="7"/>
        <v>2.5236593059936932E-2</v>
      </c>
      <c r="Q45">
        <f t="shared" si="8"/>
        <v>-1.6145380839264795E-3</v>
      </c>
    </row>
    <row r="46" spans="1:17" x14ac:dyDescent="0.25">
      <c r="A46" s="139">
        <v>44054</v>
      </c>
      <c r="B46" s="148">
        <v>125.6</v>
      </c>
      <c r="C46" s="148">
        <v>360.64999399999999</v>
      </c>
      <c r="D46" s="148">
        <v>8017.8</v>
      </c>
      <c r="E46" s="148">
        <v>1066.650024</v>
      </c>
      <c r="F46" s="148">
        <v>1789.55</v>
      </c>
      <c r="G46" s="148">
        <v>2133.8000489999999</v>
      </c>
      <c r="H46" s="148">
        <v>15.5</v>
      </c>
      <c r="I46" s="125">
        <v>2210.6499020000001</v>
      </c>
      <c r="J46">
        <f t="shared" si="1"/>
        <v>1.7828200972447233E-2</v>
      </c>
      <c r="K46">
        <f t="shared" si="2"/>
        <v>-5.1034648275862281E-3</v>
      </c>
      <c r="L46">
        <f t="shared" si="3"/>
        <v>-8.4649868604111701E-3</v>
      </c>
      <c r="M46">
        <f t="shared" si="4"/>
        <v>2.7734071034097234E-3</v>
      </c>
      <c r="N46">
        <f t="shared" si="5"/>
        <v>-4.2843232716650694E-3</v>
      </c>
      <c r="O46">
        <f t="shared" si="6"/>
        <v>2.9140584294145185E-3</v>
      </c>
      <c r="P46">
        <f t="shared" si="7"/>
        <v>-4.6153846153846156E-2</v>
      </c>
      <c r="Q46">
        <f t="shared" si="8"/>
        <v>7.0838701224458797E-3</v>
      </c>
    </row>
    <row r="47" spans="1:17" x14ac:dyDescent="0.25">
      <c r="A47" s="139">
        <v>44053</v>
      </c>
      <c r="B47" s="148">
        <v>125.2</v>
      </c>
      <c r="C47" s="148">
        <v>373.5</v>
      </c>
      <c r="D47" s="148">
        <v>8047.35</v>
      </c>
      <c r="E47" s="148">
        <v>1050.650024</v>
      </c>
      <c r="F47" s="148">
        <v>1782.35</v>
      </c>
      <c r="G47" s="148">
        <v>2119.8500979999999</v>
      </c>
      <c r="H47" s="148">
        <v>14.8</v>
      </c>
      <c r="I47" s="125">
        <v>2206.75</v>
      </c>
      <c r="J47">
        <f t="shared" si="1"/>
        <v>-3.1847133757961104E-3</v>
      </c>
      <c r="K47">
        <f t="shared" si="2"/>
        <v>3.5630129526634649E-2</v>
      </c>
      <c r="L47">
        <f t="shared" si="3"/>
        <v>3.6855496520242685E-3</v>
      </c>
      <c r="M47">
        <f t="shared" si="4"/>
        <v>-1.5000234041151627E-2</v>
      </c>
      <c r="N47">
        <f t="shared" si="5"/>
        <v>-4.0233578273867988E-3</v>
      </c>
      <c r="O47">
        <f t="shared" si="6"/>
        <v>-6.5376092790595192E-3</v>
      </c>
      <c r="P47">
        <f t="shared" si="7"/>
        <v>-4.5161290322580601E-2</v>
      </c>
      <c r="Q47">
        <f t="shared" si="8"/>
        <v>-1.7641427511754916E-3</v>
      </c>
    </row>
    <row r="48" spans="1:17" x14ac:dyDescent="0.25">
      <c r="A48" s="139">
        <v>44050</v>
      </c>
      <c r="B48" s="148">
        <v>122.8</v>
      </c>
      <c r="C48" s="148">
        <v>370.45001200000002</v>
      </c>
      <c r="D48" s="148">
        <v>7786.55</v>
      </c>
      <c r="E48" s="148">
        <v>1043.849976</v>
      </c>
      <c r="F48" s="148">
        <v>1806.25</v>
      </c>
      <c r="G48" s="148">
        <v>2146.4499510000001</v>
      </c>
      <c r="H48" s="148">
        <v>14.1</v>
      </c>
      <c r="I48" s="125">
        <v>2210.5500489999999</v>
      </c>
      <c r="J48">
        <f t="shared" si="1"/>
        <v>-1.9169329073482472E-2</v>
      </c>
      <c r="K48">
        <f t="shared" si="2"/>
        <v>-8.1659651941097325E-3</v>
      </c>
      <c r="L48">
        <f t="shared" si="3"/>
        <v>-3.2408184060591393E-2</v>
      </c>
      <c r="M48">
        <f t="shared" si="4"/>
        <v>-6.4722294243245177E-3</v>
      </c>
      <c r="N48">
        <f t="shared" si="5"/>
        <v>1.3409263051589246E-2</v>
      </c>
      <c r="O48">
        <f t="shared" si="6"/>
        <v>1.2547987720969583E-2</v>
      </c>
      <c r="P48">
        <f t="shared" si="7"/>
        <v>-4.7297297297297369E-2</v>
      </c>
      <c r="Q48">
        <f t="shared" si="8"/>
        <v>1.7220115554548293E-3</v>
      </c>
    </row>
    <row r="49" spans="1:17" x14ac:dyDescent="0.25">
      <c r="A49" s="139">
        <v>44049</v>
      </c>
      <c r="B49" s="148">
        <v>122.75</v>
      </c>
      <c r="C49" s="148">
        <v>341.60000600000001</v>
      </c>
      <c r="D49" s="148">
        <v>7723.15</v>
      </c>
      <c r="E49" s="148">
        <v>1040.6999510000001</v>
      </c>
      <c r="F49" s="148">
        <v>1727.55</v>
      </c>
      <c r="G49" s="148">
        <v>2134.1000979999999</v>
      </c>
      <c r="H49" s="148">
        <v>13.45</v>
      </c>
      <c r="I49" s="125">
        <v>2220.4499510000001</v>
      </c>
      <c r="J49">
        <f t="shared" si="1"/>
        <v>-4.071661237784785E-4</v>
      </c>
      <c r="K49">
        <f t="shared" si="2"/>
        <v>-7.7878269848726603E-2</v>
      </c>
      <c r="L49">
        <f t="shared" si="3"/>
        <v>-8.1422452819285233E-3</v>
      </c>
      <c r="M49">
        <f t="shared" si="4"/>
        <v>-3.0176989724813811E-3</v>
      </c>
      <c r="N49">
        <f t="shared" si="5"/>
        <v>-4.3570934256055391E-2</v>
      </c>
      <c r="O49">
        <f t="shared" si="6"/>
        <v>-5.7536179654440805E-3</v>
      </c>
      <c r="P49">
        <f t="shared" si="7"/>
        <v>-4.6099290780141869E-2</v>
      </c>
      <c r="Q49">
        <f t="shared" si="8"/>
        <v>4.4784790122614909E-3</v>
      </c>
    </row>
    <row r="50" spans="1:17" x14ac:dyDescent="0.25">
      <c r="A50" s="139">
        <v>44048</v>
      </c>
      <c r="B50" s="148">
        <v>121.95</v>
      </c>
      <c r="C50" s="148">
        <v>342.95001200000002</v>
      </c>
      <c r="D50" s="148">
        <v>7867.95</v>
      </c>
      <c r="E50" s="148">
        <v>1027.5500489999999</v>
      </c>
      <c r="F50" s="148">
        <v>1716.3</v>
      </c>
      <c r="G50" s="148">
        <v>2126.4499510000001</v>
      </c>
      <c r="H50" s="148">
        <v>12.85</v>
      </c>
      <c r="I50" s="125">
        <v>2194.5500489999999</v>
      </c>
      <c r="J50">
        <f t="shared" si="1"/>
        <v>-6.5173116089612803E-3</v>
      </c>
      <c r="K50">
        <f t="shared" si="2"/>
        <v>3.9520081273066712E-3</v>
      </c>
      <c r="L50">
        <f t="shared" si="3"/>
        <v>1.8748826579828202E-2</v>
      </c>
      <c r="M50">
        <f t="shared" si="4"/>
        <v>-1.2635632381230034E-2</v>
      </c>
      <c r="N50">
        <f t="shared" si="5"/>
        <v>-6.5121125293045069E-3</v>
      </c>
      <c r="O50">
        <f t="shared" si="6"/>
        <v>-3.5847179835516011E-3</v>
      </c>
      <c r="P50">
        <f t="shared" si="7"/>
        <v>-4.4609665427509271E-2</v>
      </c>
      <c r="Q50">
        <f t="shared" si="8"/>
        <v>-1.1664258403273559E-2</v>
      </c>
    </row>
    <row r="51" spans="1:17" x14ac:dyDescent="0.25">
      <c r="A51" s="139">
        <v>44047</v>
      </c>
      <c r="B51" s="148">
        <v>119.05</v>
      </c>
      <c r="C51" s="148">
        <v>343.20001200000002</v>
      </c>
      <c r="D51" s="148">
        <v>7963.75</v>
      </c>
      <c r="E51" s="148">
        <v>1041.650024</v>
      </c>
      <c r="F51" s="148">
        <v>1713.95</v>
      </c>
      <c r="G51" s="148">
        <v>2150.6000979999999</v>
      </c>
      <c r="H51" s="148">
        <v>12.25</v>
      </c>
      <c r="I51" s="125">
        <v>2197.8000489999999</v>
      </c>
      <c r="J51">
        <f t="shared" si="1"/>
        <v>-2.3780237802378069E-2</v>
      </c>
      <c r="K51">
        <f t="shared" si="2"/>
        <v>7.2896921199116322E-4</v>
      </c>
      <c r="L51">
        <f t="shared" si="3"/>
        <v>1.2175979766012771E-2</v>
      </c>
      <c r="M51">
        <f t="shared" si="4"/>
        <v>1.3721935017882604E-2</v>
      </c>
      <c r="N51">
        <f t="shared" si="5"/>
        <v>-1.3692244945521816E-3</v>
      </c>
      <c r="O51">
        <f t="shared" si="6"/>
        <v>1.1357025820731313E-2</v>
      </c>
      <c r="P51">
        <f t="shared" si="7"/>
        <v>-4.6692607003891023E-2</v>
      </c>
      <c r="Q51">
        <f t="shared" si="8"/>
        <v>1.4809413900042706E-3</v>
      </c>
    </row>
    <row r="52" spans="1:17" x14ac:dyDescent="0.25">
      <c r="A52" s="139">
        <v>44046</v>
      </c>
      <c r="B52" s="148">
        <v>115.3</v>
      </c>
      <c r="C52" s="148">
        <v>339.79998799999998</v>
      </c>
      <c r="D52" s="148">
        <v>7968.4</v>
      </c>
      <c r="E52" s="148">
        <v>1002</v>
      </c>
      <c r="F52" s="148">
        <v>1705.5</v>
      </c>
      <c r="G52" s="148">
        <v>2009</v>
      </c>
      <c r="H52" s="148">
        <v>12</v>
      </c>
      <c r="I52" s="125">
        <v>2204.5</v>
      </c>
      <c r="J52">
        <f t="shared" si="1"/>
        <v>-3.1499370012599746E-2</v>
      </c>
      <c r="K52">
        <f t="shared" si="2"/>
        <v>-9.9068294904372852E-3</v>
      </c>
      <c r="L52">
        <f t="shared" si="3"/>
        <v>5.8389577774285186E-4</v>
      </c>
      <c r="M52">
        <f t="shared" si="4"/>
        <v>-3.8064631197090082E-2</v>
      </c>
      <c r="N52">
        <f t="shared" si="5"/>
        <v>-4.9301321508795739E-3</v>
      </c>
      <c r="O52">
        <f t="shared" si="6"/>
        <v>-6.5842133147712659E-2</v>
      </c>
      <c r="P52">
        <f t="shared" si="7"/>
        <v>-2.0408163265306121E-2</v>
      </c>
      <c r="Q52">
        <f t="shared" si="8"/>
        <v>3.0484806855148338E-3</v>
      </c>
    </row>
    <row r="53" spans="1:17" x14ac:dyDescent="0.25">
      <c r="A53" s="139">
        <v>44043</v>
      </c>
      <c r="B53" s="148">
        <v>113.8</v>
      </c>
      <c r="C53" s="148">
        <v>340.64999399999999</v>
      </c>
      <c r="D53" s="148">
        <v>7633.7</v>
      </c>
      <c r="E53" s="148">
        <v>1032.8000489999999</v>
      </c>
      <c r="F53" s="148">
        <v>1715.5</v>
      </c>
      <c r="G53" s="148">
        <v>2067.1000979999999</v>
      </c>
      <c r="H53" s="148">
        <v>11.95</v>
      </c>
      <c r="I53" s="125">
        <v>2209.8999020000001</v>
      </c>
      <c r="J53">
        <f t="shared" si="1"/>
        <v>-1.3009540329575022E-2</v>
      </c>
      <c r="K53">
        <f t="shared" si="2"/>
        <v>2.5014891995817482E-3</v>
      </c>
      <c r="L53">
        <f t="shared" si="3"/>
        <v>-4.2003413483258853E-2</v>
      </c>
      <c r="M53">
        <f t="shared" si="4"/>
        <v>3.073857185628737E-2</v>
      </c>
      <c r="N53">
        <f t="shared" si="5"/>
        <v>5.8633831720902958E-3</v>
      </c>
      <c r="O53">
        <f t="shared" si="6"/>
        <v>2.8919909407665451E-2</v>
      </c>
      <c r="P53">
        <f t="shared" si="7"/>
        <v>-4.1666666666667256E-3</v>
      </c>
      <c r="Q53">
        <f t="shared" si="8"/>
        <v>2.4494905874348429E-3</v>
      </c>
    </row>
    <row r="54" spans="1:17" x14ac:dyDescent="0.25">
      <c r="A54" s="139">
        <v>44042</v>
      </c>
      <c r="B54" s="148">
        <v>110.9</v>
      </c>
      <c r="C54" s="148">
        <v>341.45001200000002</v>
      </c>
      <c r="D54" s="148">
        <v>7051.25</v>
      </c>
      <c r="E54" s="148">
        <v>1050.650024</v>
      </c>
      <c r="F54" s="148">
        <v>1743.35</v>
      </c>
      <c r="G54" s="148">
        <v>2108.8500979999999</v>
      </c>
      <c r="H54" s="148">
        <v>11.95</v>
      </c>
      <c r="I54" s="125">
        <v>2195.6000979999999</v>
      </c>
      <c r="J54">
        <f t="shared" si="1"/>
        <v>-2.5483304042179189E-2</v>
      </c>
      <c r="K54">
        <f t="shared" si="2"/>
        <v>2.3485043713226154E-3</v>
      </c>
      <c r="L54">
        <f t="shared" si="3"/>
        <v>-7.6299828392522612E-2</v>
      </c>
      <c r="M54">
        <f t="shared" si="4"/>
        <v>1.7283088839202879E-2</v>
      </c>
      <c r="N54">
        <f t="shared" si="5"/>
        <v>1.6234334013407115E-2</v>
      </c>
      <c r="O54">
        <f t="shared" si="6"/>
        <v>2.0197377011589693E-2</v>
      </c>
      <c r="P54">
        <f t="shared" si="7"/>
        <v>0</v>
      </c>
      <c r="Q54">
        <f t="shared" si="8"/>
        <v>-6.4707926304981671E-3</v>
      </c>
    </row>
    <row r="55" spans="1:17" x14ac:dyDescent="0.25">
      <c r="A55" s="139">
        <v>44041</v>
      </c>
      <c r="B55" s="148">
        <v>110</v>
      </c>
      <c r="C55" s="148">
        <v>338.39999399999999</v>
      </c>
      <c r="D55" s="148">
        <v>7250.7</v>
      </c>
      <c r="E55" s="148">
        <v>1064.599976</v>
      </c>
      <c r="F55" s="148">
        <v>1740.15</v>
      </c>
      <c r="G55" s="148">
        <v>2096.6499020000001</v>
      </c>
      <c r="H55" s="148">
        <v>11.7</v>
      </c>
      <c r="I55" s="125">
        <v>2231.3000489999999</v>
      </c>
      <c r="J55">
        <f t="shared" si="1"/>
        <v>-8.1154192966637114E-3</v>
      </c>
      <c r="K55">
        <f t="shared" si="2"/>
        <v>-8.9325461789704751E-3</v>
      </c>
      <c r="L55">
        <f t="shared" si="3"/>
        <v>2.8285764935295134E-2</v>
      </c>
      <c r="M55">
        <f t="shared" si="4"/>
        <v>1.3277448894818604E-2</v>
      </c>
      <c r="N55">
        <f t="shared" si="5"/>
        <v>-1.8355465052914321E-3</v>
      </c>
      <c r="O55">
        <f t="shared" si="6"/>
        <v>-5.7852362344626819E-3</v>
      </c>
      <c r="P55">
        <f t="shared" si="7"/>
        <v>-2.0920502092050212E-2</v>
      </c>
      <c r="Q55">
        <f t="shared" si="8"/>
        <v>1.6259769268784235E-2</v>
      </c>
    </row>
    <row r="56" spans="1:17" x14ac:dyDescent="0.25">
      <c r="A56" s="139">
        <v>44040</v>
      </c>
      <c r="B56" s="148">
        <v>110.85</v>
      </c>
      <c r="C56" s="148">
        <v>338.04998799999998</v>
      </c>
      <c r="D56" s="148">
        <v>7089.4</v>
      </c>
      <c r="E56" s="148">
        <v>1086.650024</v>
      </c>
      <c r="F56" s="148">
        <v>1759.65</v>
      </c>
      <c r="G56" s="148">
        <v>2177.6999510000001</v>
      </c>
      <c r="H56" s="148">
        <v>11.9</v>
      </c>
      <c r="I56" s="125">
        <v>2242.5500489999999</v>
      </c>
      <c r="J56">
        <f t="shared" si="1"/>
        <v>7.7272727272726755E-3</v>
      </c>
      <c r="K56">
        <f t="shared" si="2"/>
        <v>-1.0342967086459452E-3</v>
      </c>
      <c r="L56">
        <f t="shared" si="3"/>
        <v>-2.2246127960059054E-2</v>
      </c>
      <c r="M56">
        <f t="shared" si="4"/>
        <v>2.0712050063018281E-2</v>
      </c>
      <c r="N56">
        <f t="shared" si="5"/>
        <v>1.1205930523230755E-2</v>
      </c>
      <c r="O56">
        <f t="shared" si="6"/>
        <v>3.8656930240325807E-2</v>
      </c>
      <c r="P56">
        <f t="shared" si="7"/>
        <v>1.7094017094017186E-2</v>
      </c>
      <c r="Q56">
        <f t="shared" si="8"/>
        <v>5.041903712161842E-3</v>
      </c>
    </row>
    <row r="57" spans="1:17" x14ac:dyDescent="0.25">
      <c r="A57" s="139">
        <v>44039</v>
      </c>
      <c r="B57" s="148">
        <v>109.85</v>
      </c>
      <c r="C57" s="148">
        <v>342.20001200000002</v>
      </c>
      <c r="D57" s="148">
        <v>7370.95</v>
      </c>
      <c r="E57" s="148">
        <v>1079.5</v>
      </c>
      <c r="F57" s="148">
        <v>1778.15</v>
      </c>
      <c r="G57" s="148">
        <v>2156.1999510000001</v>
      </c>
      <c r="H57" s="148">
        <v>12.3</v>
      </c>
      <c r="I57" s="125">
        <v>2221.5</v>
      </c>
      <c r="J57">
        <f t="shared" si="1"/>
        <v>-9.0211998195760049E-3</v>
      </c>
      <c r="K57">
        <f t="shared" si="2"/>
        <v>1.2276361920770222E-2</v>
      </c>
      <c r="L57">
        <f t="shared" si="3"/>
        <v>3.9714221231698058E-2</v>
      </c>
      <c r="M57">
        <f t="shared" si="4"/>
        <v>-6.5798774601600989E-3</v>
      </c>
      <c r="N57">
        <f t="shared" si="5"/>
        <v>1.0513454380132412E-2</v>
      </c>
      <c r="O57">
        <f t="shared" si="6"/>
        <v>-9.872801801794227E-3</v>
      </c>
      <c r="P57">
        <f t="shared" si="7"/>
        <v>3.3613445378151287E-2</v>
      </c>
      <c r="Q57">
        <f t="shared" si="8"/>
        <v>-9.386657394507919E-3</v>
      </c>
    </row>
    <row r="58" spans="1:17" x14ac:dyDescent="0.25">
      <c r="A58" s="139">
        <v>44036</v>
      </c>
      <c r="B58" s="148">
        <v>112.05</v>
      </c>
      <c r="C58" s="148">
        <v>336.29998799999998</v>
      </c>
      <c r="D58" s="148">
        <v>7686.75</v>
      </c>
      <c r="E58" s="148">
        <v>1119.099976</v>
      </c>
      <c r="F58" s="148">
        <v>1712.05</v>
      </c>
      <c r="G58" s="148">
        <v>2146.1499020000001</v>
      </c>
      <c r="H58" s="148">
        <v>13.65</v>
      </c>
      <c r="I58" s="125">
        <v>2209.3000489999999</v>
      </c>
      <c r="J58">
        <f t="shared" si="1"/>
        <v>2.0027309968138396E-2</v>
      </c>
      <c r="K58">
        <f t="shared" si="2"/>
        <v>-1.7241448840159684E-2</v>
      </c>
      <c r="L58">
        <f t="shared" si="3"/>
        <v>4.2843866801429965E-2</v>
      </c>
      <c r="M58">
        <f t="shared" si="4"/>
        <v>3.6683627605372832E-2</v>
      </c>
      <c r="N58">
        <f t="shared" si="5"/>
        <v>-3.7173466805387696E-2</v>
      </c>
      <c r="O58">
        <f t="shared" si="6"/>
        <v>-4.6610004769450739E-3</v>
      </c>
      <c r="P58">
        <f t="shared" si="7"/>
        <v>0.10975609756097557</v>
      </c>
      <c r="Q58">
        <f t="shared" si="8"/>
        <v>-5.4917627729012177E-3</v>
      </c>
    </row>
    <row r="59" spans="1:17" x14ac:dyDescent="0.25">
      <c r="A59" s="139">
        <v>44035</v>
      </c>
      <c r="B59" s="148">
        <v>113.95</v>
      </c>
      <c r="C59" s="148">
        <v>320.29998799999998</v>
      </c>
      <c r="D59" s="148">
        <v>7648.15</v>
      </c>
      <c r="E59" s="148">
        <v>1130.400024</v>
      </c>
      <c r="F59" s="148">
        <v>1727.8</v>
      </c>
      <c r="G59" s="148">
        <v>2057.8000489999999</v>
      </c>
      <c r="H59" s="148">
        <v>14.75</v>
      </c>
      <c r="I59" s="125">
        <v>2211.3500979999999</v>
      </c>
      <c r="J59">
        <f t="shared" si="1"/>
        <v>1.6956715751896525E-2</v>
      </c>
      <c r="K59">
        <f t="shared" si="2"/>
        <v>-4.7576570237641523E-2</v>
      </c>
      <c r="L59">
        <f t="shared" si="3"/>
        <v>-5.0216281263213147E-3</v>
      </c>
      <c r="M59">
        <f t="shared" si="4"/>
        <v>1.0097442804341604E-2</v>
      </c>
      <c r="N59">
        <f t="shared" si="5"/>
        <v>9.1994976782220142E-3</v>
      </c>
      <c r="O59">
        <f t="shared" si="6"/>
        <v>-4.1166673827241429E-2</v>
      </c>
      <c r="P59">
        <f t="shared" si="7"/>
        <v>8.0586080586080563E-2</v>
      </c>
      <c r="Q59">
        <f t="shared" si="8"/>
        <v>9.2791787196486164E-4</v>
      </c>
    </row>
    <row r="60" spans="1:17" x14ac:dyDescent="0.25">
      <c r="A60" s="139">
        <v>44034</v>
      </c>
      <c r="B60" s="148">
        <v>112.1</v>
      </c>
      <c r="C60" s="148">
        <v>336</v>
      </c>
      <c r="D60" s="148">
        <v>7376.15</v>
      </c>
      <c r="E60" s="148">
        <v>1126.349976</v>
      </c>
      <c r="F60" s="148">
        <v>1695.75</v>
      </c>
      <c r="G60" s="148">
        <v>2004</v>
      </c>
      <c r="H60" s="148">
        <v>18.25</v>
      </c>
      <c r="I60" s="125">
        <v>2248.5</v>
      </c>
      <c r="J60">
        <f t="shared" si="1"/>
        <v>-1.6235190873190069E-2</v>
      </c>
      <c r="K60">
        <f t="shared" si="2"/>
        <v>4.9016586288476591E-2</v>
      </c>
      <c r="L60">
        <f t="shared" si="3"/>
        <v>-3.5564156037734621E-2</v>
      </c>
      <c r="M60">
        <f t="shared" si="4"/>
        <v>-3.5828449345468704E-3</v>
      </c>
      <c r="N60">
        <f t="shared" si="5"/>
        <v>-1.8549600648223148E-2</v>
      </c>
      <c r="O60">
        <f t="shared" si="6"/>
        <v>-2.6144449275401851E-2</v>
      </c>
      <c r="P60">
        <f t="shared" si="7"/>
        <v>0.23728813559322035</v>
      </c>
      <c r="Q60">
        <f t="shared" si="8"/>
        <v>1.6799647434207459E-2</v>
      </c>
    </row>
    <row r="61" spans="1:17" x14ac:dyDescent="0.25">
      <c r="A61" s="139">
        <v>44033</v>
      </c>
      <c r="B61" s="148">
        <v>110.8</v>
      </c>
      <c r="C61" s="148">
        <v>347.35000600000001</v>
      </c>
      <c r="D61" s="148">
        <v>7120.35</v>
      </c>
      <c r="E61" s="148">
        <v>1138.5500489999999</v>
      </c>
      <c r="F61" s="148">
        <v>1724.25</v>
      </c>
      <c r="G61" s="148">
        <v>1971.5500489999999</v>
      </c>
      <c r="H61" s="148">
        <v>19.3</v>
      </c>
      <c r="I61" s="125">
        <v>2318</v>
      </c>
      <c r="J61">
        <f t="shared" si="1"/>
        <v>-1.1596788581623526E-2</v>
      </c>
      <c r="K61">
        <f t="shared" si="2"/>
        <v>3.3779779761904785E-2</v>
      </c>
      <c r="L61">
        <f t="shared" si="3"/>
        <v>-3.467933813710395E-2</v>
      </c>
      <c r="M61">
        <f t="shared" si="4"/>
        <v>1.0831511750305195E-2</v>
      </c>
      <c r="N61">
        <f t="shared" si="5"/>
        <v>1.680672268907563E-2</v>
      </c>
      <c r="O61">
        <f t="shared" si="6"/>
        <v>-1.6192590319361305E-2</v>
      </c>
      <c r="P61">
        <f t="shared" si="7"/>
        <v>5.7534246575342507E-2</v>
      </c>
      <c r="Q61">
        <f t="shared" si="8"/>
        <v>3.0909495219034914E-2</v>
      </c>
    </row>
    <row r="62" spans="1:17" x14ac:dyDescent="0.25">
      <c r="A62" s="139">
        <v>44032</v>
      </c>
      <c r="B62" s="148">
        <v>108.1</v>
      </c>
      <c r="C62" s="148">
        <v>349.95001200000002</v>
      </c>
      <c r="D62" s="148">
        <v>6831.25</v>
      </c>
      <c r="E62" s="148">
        <v>1133.0500489999999</v>
      </c>
      <c r="F62" s="148">
        <v>1751.6</v>
      </c>
      <c r="G62" s="148">
        <v>1919.900024</v>
      </c>
      <c r="H62" s="148">
        <v>19.45</v>
      </c>
      <c r="I62" s="125">
        <v>2330.9499510000001</v>
      </c>
      <c r="J62">
        <f t="shared" si="1"/>
        <v>-2.4368231046931435E-2</v>
      </c>
      <c r="K62">
        <f t="shared" si="2"/>
        <v>7.4852625740274422E-3</v>
      </c>
      <c r="L62">
        <f t="shared" si="3"/>
        <v>-4.060193670254978E-2</v>
      </c>
      <c r="M62">
        <f t="shared" si="4"/>
        <v>-4.8307055142904837E-3</v>
      </c>
      <c r="N62">
        <f t="shared" si="5"/>
        <v>1.5861968972016766E-2</v>
      </c>
      <c r="O62">
        <f t="shared" si="6"/>
        <v>-2.6197673767499634E-2</v>
      </c>
      <c r="P62">
        <f t="shared" si="7"/>
        <v>7.7720207253885272E-3</v>
      </c>
      <c r="Q62">
        <f t="shared" si="8"/>
        <v>5.5866915444348813E-3</v>
      </c>
    </row>
    <row r="63" spans="1:17" x14ac:dyDescent="0.25">
      <c r="A63" s="139">
        <v>44029</v>
      </c>
      <c r="B63" s="148">
        <v>109.15</v>
      </c>
      <c r="C63" s="148">
        <v>347.29998799999998</v>
      </c>
      <c r="D63" s="148">
        <v>6469.25</v>
      </c>
      <c r="E63" s="148">
        <v>1098.4499510000001</v>
      </c>
      <c r="F63" s="148">
        <v>1717.9</v>
      </c>
      <c r="G63" s="148">
        <v>1911.6999510000001</v>
      </c>
      <c r="H63" s="148">
        <v>19.8</v>
      </c>
      <c r="I63" s="125">
        <v>2334.5500489999999</v>
      </c>
      <c r="J63">
        <f t="shared" si="1"/>
        <v>9.713228492137016E-3</v>
      </c>
      <c r="K63">
        <f t="shared" si="2"/>
        <v>-7.5725786801802714E-3</v>
      </c>
      <c r="L63">
        <f t="shared" si="3"/>
        <v>-5.2991765782250684E-2</v>
      </c>
      <c r="M63">
        <f t="shared" si="4"/>
        <v>-3.0537131197811627E-2</v>
      </c>
      <c r="N63">
        <f t="shared" si="5"/>
        <v>-1.9239552409225747E-2</v>
      </c>
      <c r="O63">
        <f t="shared" si="6"/>
        <v>-4.2710937535776474E-3</v>
      </c>
      <c r="P63">
        <f t="shared" si="7"/>
        <v>1.7994858611825267E-2</v>
      </c>
      <c r="Q63">
        <f t="shared" si="8"/>
        <v>1.5444767479693899E-3</v>
      </c>
    </row>
    <row r="64" spans="1:17" x14ac:dyDescent="0.25">
      <c r="A64" s="139">
        <v>44028</v>
      </c>
      <c r="B64" s="148">
        <v>108.9</v>
      </c>
      <c r="C64" s="148">
        <v>348.29998799999998</v>
      </c>
      <c r="D64" s="148">
        <v>6448.5</v>
      </c>
      <c r="E64" s="148">
        <v>1062.5500489999999</v>
      </c>
      <c r="F64" s="148">
        <v>1693.2</v>
      </c>
      <c r="G64" s="148">
        <v>1843.400024</v>
      </c>
      <c r="H64" s="148">
        <v>19.2</v>
      </c>
      <c r="I64" s="125">
        <v>2287.8500979999999</v>
      </c>
      <c r="J64">
        <f t="shared" si="1"/>
        <v>-2.2904260192395786E-3</v>
      </c>
      <c r="K64">
        <f t="shared" si="2"/>
        <v>2.8793551239627456E-3</v>
      </c>
      <c r="L64">
        <f t="shared" si="3"/>
        <v>-3.2074815473200138E-3</v>
      </c>
      <c r="M64">
        <f t="shared" si="4"/>
        <v>-3.2682328373102282E-2</v>
      </c>
      <c r="N64">
        <f t="shared" si="5"/>
        <v>-1.4378019675184844E-2</v>
      </c>
      <c r="O64">
        <f t="shared" si="6"/>
        <v>-3.5727325809823185E-2</v>
      </c>
      <c r="P64">
        <f t="shared" si="7"/>
        <v>-3.0303030303030373E-2</v>
      </c>
      <c r="Q64">
        <f t="shared" si="8"/>
        <v>-2.0003833723763555E-2</v>
      </c>
    </row>
    <row r="65" spans="1:17" x14ac:dyDescent="0.25">
      <c r="A65" s="139">
        <v>44027</v>
      </c>
      <c r="B65" s="148">
        <v>109.1</v>
      </c>
      <c r="C65" s="148">
        <v>354.54998799999998</v>
      </c>
      <c r="D65" s="148">
        <v>6467.05</v>
      </c>
      <c r="E65" s="148">
        <v>1053.150024</v>
      </c>
      <c r="F65" s="148">
        <v>1671.65</v>
      </c>
      <c r="G65" s="148">
        <v>1844</v>
      </c>
      <c r="H65" s="148">
        <v>20.45</v>
      </c>
      <c r="I65" s="125">
        <v>2275.1499020000001</v>
      </c>
      <c r="J65">
        <f t="shared" si="1"/>
        <v>1.8365472910926411E-3</v>
      </c>
      <c r="K65">
        <f t="shared" si="2"/>
        <v>1.7944301508273381E-2</v>
      </c>
      <c r="L65">
        <f t="shared" si="3"/>
        <v>2.8766379778243285E-3</v>
      </c>
      <c r="M65">
        <f t="shared" si="4"/>
        <v>-8.8466656312769267E-3</v>
      </c>
      <c r="N65">
        <f t="shared" si="5"/>
        <v>-1.2727380108669946E-2</v>
      </c>
      <c r="O65">
        <f t="shared" si="6"/>
        <v>3.2547249223642717E-4</v>
      </c>
      <c r="P65">
        <f t="shared" si="7"/>
        <v>6.5104166666666671E-2</v>
      </c>
      <c r="Q65">
        <f t="shared" si="8"/>
        <v>-5.5511486574675835E-3</v>
      </c>
    </row>
    <row r="66" spans="1:17" x14ac:dyDescent="0.25">
      <c r="A66" s="139">
        <v>44026</v>
      </c>
      <c r="B66" s="148">
        <v>108.9</v>
      </c>
      <c r="C66" s="148">
        <v>348.10000600000001</v>
      </c>
      <c r="D66" s="148">
        <v>6362</v>
      </c>
      <c r="E66" s="148">
        <v>1058.849976</v>
      </c>
      <c r="F66" s="148">
        <v>1688.4</v>
      </c>
      <c r="G66" s="148">
        <v>1917</v>
      </c>
      <c r="H66" s="148">
        <v>20.95</v>
      </c>
      <c r="I66" s="125">
        <v>2234.75</v>
      </c>
      <c r="J66">
        <f t="shared" si="1"/>
        <v>-1.8331805682858721E-3</v>
      </c>
      <c r="K66">
        <f t="shared" si="2"/>
        <v>-1.8192024307726044E-2</v>
      </c>
      <c r="L66">
        <f t="shared" si="3"/>
        <v>-1.6243882450267151E-2</v>
      </c>
      <c r="M66">
        <f t="shared" si="4"/>
        <v>5.4122887244029911E-3</v>
      </c>
      <c r="N66">
        <f t="shared" si="5"/>
        <v>1.002004008016032E-2</v>
      </c>
      <c r="O66">
        <f t="shared" si="6"/>
        <v>3.9587852494577004E-2</v>
      </c>
      <c r="P66">
        <f t="shared" si="7"/>
        <v>2.4449877750611249E-2</v>
      </c>
      <c r="Q66">
        <f t="shared" si="8"/>
        <v>-1.7757028653138877E-2</v>
      </c>
    </row>
    <row r="67" spans="1:17" x14ac:dyDescent="0.25">
      <c r="A67" s="139">
        <v>44025</v>
      </c>
      <c r="B67" s="148">
        <v>112.4</v>
      </c>
      <c r="C67" s="148">
        <v>364.75</v>
      </c>
      <c r="D67" s="148">
        <v>6467.8</v>
      </c>
      <c r="E67" s="148">
        <v>1080.25</v>
      </c>
      <c r="F67" s="148">
        <v>1705.65</v>
      </c>
      <c r="G67" s="148">
        <v>1935</v>
      </c>
      <c r="H67" s="148">
        <v>22.05</v>
      </c>
      <c r="I67" s="125">
        <v>2265.25</v>
      </c>
      <c r="J67">
        <f t="shared" si="1"/>
        <v>3.2139577594123045E-2</v>
      </c>
      <c r="K67">
        <f t="shared" si="2"/>
        <v>4.7831064961257115E-2</v>
      </c>
      <c r="L67">
        <f t="shared" si="3"/>
        <v>1.6629990569003487E-2</v>
      </c>
      <c r="M67">
        <f t="shared" si="4"/>
        <v>2.0210628970161144E-2</v>
      </c>
      <c r="N67">
        <f t="shared" si="5"/>
        <v>1.0216773276474769E-2</v>
      </c>
      <c r="O67">
        <f t="shared" si="6"/>
        <v>9.3896713615023476E-3</v>
      </c>
      <c r="P67">
        <f t="shared" si="7"/>
        <v>5.2505966587112242E-2</v>
      </c>
      <c r="Q67">
        <f t="shared" si="8"/>
        <v>1.3648059067009733E-2</v>
      </c>
    </row>
    <row r="68" spans="1:17" x14ac:dyDescent="0.25">
      <c r="A68" s="139">
        <v>44022</v>
      </c>
      <c r="B68" s="148">
        <v>110.35</v>
      </c>
      <c r="C68" s="148">
        <v>371.04998799999998</v>
      </c>
      <c r="D68" s="148">
        <v>6230.1</v>
      </c>
      <c r="E68" s="148">
        <v>1105.099976</v>
      </c>
      <c r="F68" s="148">
        <v>1703.5</v>
      </c>
      <c r="G68" s="148">
        <v>1878.0500489999999</v>
      </c>
      <c r="H68" s="148">
        <v>25.55</v>
      </c>
      <c r="I68" s="125">
        <v>2223.8000489999999</v>
      </c>
      <c r="J68">
        <f t="shared" ref="J68:J131" si="9">(B68-B67)/B67</f>
        <v>-1.8238434163701168E-2</v>
      </c>
      <c r="K68">
        <f t="shared" ref="K68:K131" si="10">(C68-C67)/C67</f>
        <v>1.7272071281699754E-2</v>
      </c>
      <c r="L68">
        <f t="shared" ref="L68:L131" si="11">(D68-D67)/D67</f>
        <v>-3.675129101085374E-2</v>
      </c>
      <c r="M68">
        <f t="shared" ref="M68:M131" si="12">(E68-E67)/E67</f>
        <v>2.3003912057394094E-2</v>
      </c>
      <c r="N68">
        <f t="shared" ref="N68:N131" si="13">(F68-F67)/F67</f>
        <v>-1.2605165186293148E-3</v>
      </c>
      <c r="O68">
        <f t="shared" ref="O68:O131" si="14">(G68-G67)/G67</f>
        <v>-2.9431499224806229E-2</v>
      </c>
      <c r="P68">
        <f t="shared" ref="P68:P131" si="15">(H68-H67)/H67</f>
        <v>0.15873015873015872</v>
      </c>
      <c r="Q68">
        <f t="shared" ref="Q68:Q131" si="16">(I68-I67)/I67</f>
        <v>-1.8298179450391812E-2</v>
      </c>
    </row>
    <row r="69" spans="1:17" x14ac:dyDescent="0.25">
      <c r="A69" s="139">
        <v>44021</v>
      </c>
      <c r="B69" s="148">
        <v>112</v>
      </c>
      <c r="C69" s="148">
        <v>373.60000600000001</v>
      </c>
      <c r="D69" s="148">
        <v>6220.55</v>
      </c>
      <c r="E69" s="148">
        <v>1124.9499510000001</v>
      </c>
      <c r="F69" s="148">
        <v>1717.25</v>
      </c>
      <c r="G69" s="148">
        <v>1824.25</v>
      </c>
      <c r="H69" s="148">
        <v>26.65</v>
      </c>
      <c r="I69" s="125">
        <v>2175.8500979999999</v>
      </c>
      <c r="J69">
        <f t="shared" si="9"/>
        <v>1.4952424105120125E-2</v>
      </c>
      <c r="K69">
        <f t="shared" si="10"/>
        <v>6.8724378991221607E-3</v>
      </c>
      <c r="L69">
        <f t="shared" si="11"/>
        <v>-1.532880692123751E-3</v>
      </c>
      <c r="M69">
        <f t="shared" si="12"/>
        <v>1.7962153136450783E-2</v>
      </c>
      <c r="N69">
        <f t="shared" si="13"/>
        <v>8.0716172585852657E-3</v>
      </c>
      <c r="O69">
        <f t="shared" si="14"/>
        <v>-2.8646759988450097E-2</v>
      </c>
      <c r="P69">
        <f t="shared" si="15"/>
        <v>4.3052837573385433E-2</v>
      </c>
      <c r="Q69">
        <f t="shared" si="16"/>
        <v>-2.1562168335036339E-2</v>
      </c>
    </row>
    <row r="70" spans="1:17" x14ac:dyDescent="0.25">
      <c r="A70" s="139">
        <v>44020</v>
      </c>
      <c r="B70" s="148">
        <v>110.4</v>
      </c>
      <c r="C70" s="148">
        <v>393.10000600000001</v>
      </c>
      <c r="D70" s="148">
        <v>6086.4</v>
      </c>
      <c r="E70" s="148">
        <v>1110.349976</v>
      </c>
      <c r="F70" s="148">
        <v>1686.25</v>
      </c>
      <c r="G70" s="148">
        <v>1798</v>
      </c>
      <c r="H70" s="148">
        <v>26.05</v>
      </c>
      <c r="I70" s="125">
        <v>2186.0500489999999</v>
      </c>
      <c r="J70">
        <f t="shared" si="9"/>
        <v>-1.4285714285714235E-2</v>
      </c>
      <c r="K70">
        <f t="shared" si="10"/>
        <v>5.2194859975457281E-2</v>
      </c>
      <c r="L70">
        <f t="shared" si="11"/>
        <v>-2.1565617188190844E-2</v>
      </c>
      <c r="M70">
        <f t="shared" si="12"/>
        <v>-1.2978332935631271E-2</v>
      </c>
      <c r="N70">
        <f t="shared" si="13"/>
        <v>-1.8052118212257971E-2</v>
      </c>
      <c r="O70">
        <f t="shared" si="14"/>
        <v>-1.4389475126764424E-2</v>
      </c>
      <c r="P70">
        <f t="shared" si="15"/>
        <v>-2.251407129455902E-2</v>
      </c>
      <c r="Q70">
        <f t="shared" si="16"/>
        <v>4.6878004185010981E-3</v>
      </c>
    </row>
    <row r="71" spans="1:17" x14ac:dyDescent="0.25">
      <c r="A71" s="139">
        <v>44019</v>
      </c>
      <c r="B71" s="148">
        <v>107.6</v>
      </c>
      <c r="C71" s="148">
        <v>413.75</v>
      </c>
      <c r="D71" s="148">
        <v>5881.55</v>
      </c>
      <c r="E71" s="148">
        <v>1105.150024</v>
      </c>
      <c r="F71" s="148">
        <v>1745.75</v>
      </c>
      <c r="G71" s="148">
        <v>1823.4499510000001</v>
      </c>
      <c r="H71" s="148">
        <v>25.75</v>
      </c>
      <c r="I71" s="125">
        <v>2154.1499020000001</v>
      </c>
      <c r="J71">
        <f t="shared" si="9"/>
        <v>-2.5362318840579812E-2</v>
      </c>
      <c r="K71">
        <f t="shared" si="10"/>
        <v>5.2531146488967471E-2</v>
      </c>
      <c r="L71">
        <f t="shared" si="11"/>
        <v>-3.3657005783385825E-2</v>
      </c>
      <c r="M71">
        <f t="shared" si="12"/>
        <v>-4.6831648690916347E-3</v>
      </c>
      <c r="N71">
        <f t="shared" si="13"/>
        <v>3.5285396590066714E-2</v>
      </c>
      <c r="O71">
        <f t="shared" si="14"/>
        <v>1.4154588987764213E-2</v>
      </c>
      <c r="P71">
        <f t="shared" si="15"/>
        <v>-1.151631477927066E-2</v>
      </c>
      <c r="Q71">
        <f t="shared" si="16"/>
        <v>-1.4592596823019872E-2</v>
      </c>
    </row>
    <row r="72" spans="1:17" x14ac:dyDescent="0.25">
      <c r="A72" s="139">
        <v>44018</v>
      </c>
      <c r="B72" s="148">
        <v>110.25</v>
      </c>
      <c r="C72" s="148">
        <v>394.54998799999998</v>
      </c>
      <c r="D72" s="148">
        <v>5967.35</v>
      </c>
      <c r="E72" s="148">
        <v>1103</v>
      </c>
      <c r="F72" s="148">
        <v>1708.85</v>
      </c>
      <c r="G72" s="148">
        <v>1851.8000489999999</v>
      </c>
      <c r="H72" s="148">
        <v>26.05</v>
      </c>
      <c r="I72" s="125">
        <v>2161.6000979999999</v>
      </c>
      <c r="J72">
        <f t="shared" si="9"/>
        <v>2.4628252788104144E-2</v>
      </c>
      <c r="K72">
        <f t="shared" si="10"/>
        <v>-4.6404862839879192E-2</v>
      </c>
      <c r="L72">
        <f t="shared" si="11"/>
        <v>1.4587991260807131E-2</v>
      </c>
      <c r="M72">
        <f t="shared" si="12"/>
        <v>-1.9454589452192151E-3</v>
      </c>
      <c r="N72">
        <f t="shared" si="13"/>
        <v>-2.1137047114420788E-2</v>
      </c>
      <c r="O72">
        <f t="shared" si="14"/>
        <v>1.5547505422044835E-2</v>
      </c>
      <c r="P72">
        <f t="shared" si="15"/>
        <v>1.1650485436893232E-2</v>
      </c>
      <c r="Q72">
        <f t="shared" si="16"/>
        <v>3.4585318287658228E-3</v>
      </c>
    </row>
    <row r="73" spans="1:17" x14ac:dyDescent="0.25">
      <c r="A73" s="139">
        <v>44015</v>
      </c>
      <c r="B73" s="148">
        <v>106.45</v>
      </c>
      <c r="C73" s="148">
        <v>375.79998799999998</v>
      </c>
      <c r="D73" s="148">
        <v>5983.4</v>
      </c>
      <c r="E73" s="148">
        <v>1073.9499510000001</v>
      </c>
      <c r="F73" s="148">
        <v>1695.65</v>
      </c>
      <c r="G73" s="148">
        <v>1787.900024</v>
      </c>
      <c r="H73" s="148">
        <v>26.15</v>
      </c>
      <c r="I73" s="125">
        <v>2173.6999510000001</v>
      </c>
      <c r="J73">
        <f t="shared" si="9"/>
        <v>-3.4467120181405873E-2</v>
      </c>
      <c r="K73">
        <f t="shared" si="10"/>
        <v>-4.7522495425852102E-2</v>
      </c>
      <c r="L73">
        <f t="shared" si="11"/>
        <v>2.6896361031277321E-3</v>
      </c>
      <c r="M73">
        <f t="shared" si="12"/>
        <v>-2.6337306436989977E-2</v>
      </c>
      <c r="N73">
        <f t="shared" si="13"/>
        <v>-7.7244930801415096E-3</v>
      </c>
      <c r="O73">
        <f t="shared" si="14"/>
        <v>-3.4506978782351205E-2</v>
      </c>
      <c r="P73">
        <f t="shared" si="15"/>
        <v>3.838771593090129E-3</v>
      </c>
      <c r="Q73">
        <f t="shared" si="16"/>
        <v>5.5976371444447295E-3</v>
      </c>
    </row>
    <row r="74" spans="1:17" x14ac:dyDescent="0.25">
      <c r="A74" s="139">
        <v>44014</v>
      </c>
      <c r="B74" s="148">
        <v>106.4</v>
      </c>
      <c r="C74" s="148">
        <v>357.95001200000002</v>
      </c>
      <c r="D74" s="148">
        <v>5958</v>
      </c>
      <c r="E74" s="148">
        <v>1089.400024</v>
      </c>
      <c r="F74" s="148">
        <v>1686.45</v>
      </c>
      <c r="G74" s="148">
        <v>1760.349976</v>
      </c>
      <c r="H74" s="148">
        <v>26.25</v>
      </c>
      <c r="I74" s="125">
        <v>2151.75</v>
      </c>
      <c r="J74">
        <f t="shared" si="9"/>
        <v>-4.697040864255252E-4</v>
      </c>
      <c r="K74">
        <f t="shared" si="10"/>
        <v>-4.7498607158018243E-2</v>
      </c>
      <c r="L74">
        <f t="shared" si="11"/>
        <v>-4.2450780492695852E-3</v>
      </c>
      <c r="M74">
        <f t="shared" si="12"/>
        <v>1.4386213236113807E-2</v>
      </c>
      <c r="N74">
        <f t="shared" si="13"/>
        <v>-5.4256479816000031E-3</v>
      </c>
      <c r="O74">
        <f t="shared" si="14"/>
        <v>-1.5409165853895677E-2</v>
      </c>
      <c r="P74">
        <f t="shared" si="15"/>
        <v>3.8240917782027314E-3</v>
      </c>
      <c r="Q74">
        <f t="shared" si="16"/>
        <v>-1.0097967288402471E-2</v>
      </c>
    </row>
    <row r="75" spans="1:17" x14ac:dyDescent="0.25">
      <c r="A75" s="139">
        <v>44013</v>
      </c>
      <c r="B75" s="148">
        <v>107.7</v>
      </c>
      <c r="C75" s="148">
        <v>340.95001200000002</v>
      </c>
      <c r="D75" s="148">
        <v>5873.95</v>
      </c>
      <c r="E75" s="148">
        <v>1084.599976</v>
      </c>
      <c r="F75" s="148">
        <v>1688</v>
      </c>
      <c r="G75" s="148">
        <v>1737.599976</v>
      </c>
      <c r="H75" s="148">
        <v>26.9</v>
      </c>
      <c r="I75" s="125">
        <v>2170.3999020000001</v>
      </c>
      <c r="J75">
        <f t="shared" si="9"/>
        <v>1.2218045112781928E-2</v>
      </c>
      <c r="K75">
        <f t="shared" si="10"/>
        <v>-4.7492664981388516E-2</v>
      </c>
      <c r="L75">
        <f t="shared" si="11"/>
        <v>-1.4107082913729471E-2</v>
      </c>
      <c r="M75">
        <f t="shared" si="12"/>
        <v>-4.4061390621009024E-3</v>
      </c>
      <c r="N75">
        <f t="shared" si="13"/>
        <v>9.190903969877284E-4</v>
      </c>
      <c r="O75">
        <f t="shared" si="14"/>
        <v>-1.2923566512435366E-2</v>
      </c>
      <c r="P75">
        <f t="shared" si="15"/>
        <v>2.4761904761904707E-2</v>
      </c>
      <c r="Q75">
        <f t="shared" si="16"/>
        <v>8.6673182293482559E-3</v>
      </c>
    </row>
    <row r="76" spans="1:17" x14ac:dyDescent="0.25">
      <c r="A76" s="139">
        <v>44012</v>
      </c>
      <c r="B76" s="148">
        <v>106.4</v>
      </c>
      <c r="C76" s="148">
        <v>358.85000600000001</v>
      </c>
      <c r="D76" s="148">
        <v>5758.9</v>
      </c>
      <c r="E76" s="148">
        <v>1065.849976</v>
      </c>
      <c r="F76" s="148">
        <v>1687.45</v>
      </c>
      <c r="G76" s="148">
        <v>1704.099976</v>
      </c>
      <c r="H76" s="148">
        <v>25.6</v>
      </c>
      <c r="I76" s="125">
        <v>2180</v>
      </c>
      <c r="J76">
        <f t="shared" si="9"/>
        <v>-1.2070566388115107E-2</v>
      </c>
      <c r="K76">
        <f t="shared" si="10"/>
        <v>5.250034717699318E-2</v>
      </c>
      <c r="L76">
        <f t="shared" si="11"/>
        <v>-1.9586479285659597E-2</v>
      </c>
      <c r="M76">
        <f t="shared" si="12"/>
        <v>-1.7287479637561786E-2</v>
      </c>
      <c r="N76">
        <f t="shared" si="13"/>
        <v>-3.2582938388622898E-4</v>
      </c>
      <c r="O76">
        <f t="shared" si="14"/>
        <v>-1.9279466196309387E-2</v>
      </c>
      <c r="P76">
        <f t="shared" si="15"/>
        <v>-4.83271375464683E-2</v>
      </c>
      <c r="Q76">
        <f t="shared" si="16"/>
        <v>4.4231931595433184E-3</v>
      </c>
    </row>
    <row r="77" spans="1:17" x14ac:dyDescent="0.25">
      <c r="A77" s="139">
        <v>44011</v>
      </c>
      <c r="B77" s="148">
        <v>107.95</v>
      </c>
      <c r="C77" s="148">
        <v>377.70001200000002</v>
      </c>
      <c r="D77" s="148">
        <v>5551.2</v>
      </c>
      <c r="E77" s="148">
        <v>1076.0500489999999</v>
      </c>
      <c r="F77" s="148">
        <v>1691.95</v>
      </c>
      <c r="G77" s="148">
        <v>1723.150024</v>
      </c>
      <c r="H77" s="148">
        <v>26.1</v>
      </c>
      <c r="I77" s="125">
        <v>2182.9499510000001</v>
      </c>
      <c r="J77">
        <f t="shared" si="9"/>
        <v>1.4567669172932304E-2</v>
      </c>
      <c r="K77">
        <f t="shared" si="10"/>
        <v>5.2528927643378687E-2</v>
      </c>
      <c r="L77">
        <f t="shared" si="11"/>
        <v>-3.6065915365781631E-2</v>
      </c>
      <c r="M77">
        <f t="shared" si="12"/>
        <v>9.5698956041445505E-3</v>
      </c>
      <c r="N77">
        <f t="shared" si="13"/>
        <v>2.6667456813535217E-3</v>
      </c>
      <c r="O77">
        <f t="shared" si="14"/>
        <v>1.1178949749600877E-2</v>
      </c>
      <c r="P77">
        <f t="shared" si="15"/>
        <v>1.953125E-2</v>
      </c>
      <c r="Q77">
        <f t="shared" si="16"/>
        <v>1.3531885321101172E-3</v>
      </c>
    </row>
    <row r="78" spans="1:17" x14ac:dyDescent="0.25">
      <c r="A78" s="139">
        <v>44008</v>
      </c>
      <c r="B78" s="148">
        <v>109.95</v>
      </c>
      <c r="C78" s="148">
        <v>397.54998799999998</v>
      </c>
      <c r="D78" s="148">
        <v>5578.6</v>
      </c>
      <c r="E78" s="148">
        <v>1056.4499510000001</v>
      </c>
      <c r="F78" s="148">
        <v>1686.75</v>
      </c>
      <c r="G78" s="148">
        <v>1741.650024</v>
      </c>
      <c r="H78" s="148">
        <v>26.75</v>
      </c>
      <c r="I78" s="125">
        <v>2154.1999510000001</v>
      </c>
      <c r="J78">
        <f t="shared" si="9"/>
        <v>1.8527095877721167E-2</v>
      </c>
      <c r="K78">
        <f t="shared" si="10"/>
        <v>5.2554872569079952E-2</v>
      </c>
      <c r="L78">
        <f t="shared" si="11"/>
        <v>4.9358697218620379E-3</v>
      </c>
      <c r="M78">
        <f t="shared" si="12"/>
        <v>-1.82148572161813E-2</v>
      </c>
      <c r="N78">
        <f t="shared" si="13"/>
        <v>-3.0733768728390585E-3</v>
      </c>
      <c r="O78">
        <f t="shared" si="14"/>
        <v>1.0736151665457076E-2</v>
      </c>
      <c r="P78">
        <f t="shared" si="15"/>
        <v>2.4904214559386916E-2</v>
      </c>
      <c r="Q78">
        <f t="shared" si="16"/>
        <v>-1.3170251561117903E-2</v>
      </c>
    </row>
    <row r="79" spans="1:17" x14ac:dyDescent="0.25">
      <c r="A79" s="139">
        <v>44007</v>
      </c>
      <c r="B79" s="148">
        <v>111.25</v>
      </c>
      <c r="C79" s="148">
        <v>418.45001200000002</v>
      </c>
      <c r="D79" s="148">
        <v>5693.65</v>
      </c>
      <c r="E79" s="148">
        <v>1028.75</v>
      </c>
      <c r="F79" s="148">
        <v>1689</v>
      </c>
      <c r="G79" s="148">
        <v>1717.900024</v>
      </c>
      <c r="H79" s="148">
        <v>27</v>
      </c>
      <c r="I79" s="125">
        <v>2173.1499020000001</v>
      </c>
      <c r="J79">
        <f t="shared" si="9"/>
        <v>1.1823556161891742E-2</v>
      </c>
      <c r="K79">
        <f t="shared" si="10"/>
        <v>5.2572065478216114E-2</v>
      </c>
      <c r="L79">
        <f t="shared" si="11"/>
        <v>2.0623453913168048E-2</v>
      </c>
      <c r="M79">
        <f t="shared" si="12"/>
        <v>-2.6219842192978675E-2</v>
      </c>
      <c r="N79">
        <f t="shared" si="13"/>
        <v>1.3339261894175188E-3</v>
      </c>
      <c r="O79">
        <f t="shared" si="14"/>
        <v>-1.3636493941219041E-2</v>
      </c>
      <c r="P79">
        <f t="shared" si="15"/>
        <v>9.3457943925233638E-3</v>
      </c>
      <c r="Q79">
        <f t="shared" si="16"/>
        <v>8.7967465560489441E-3</v>
      </c>
    </row>
    <row r="80" spans="1:17" x14ac:dyDescent="0.25">
      <c r="A80" s="139">
        <v>44006</v>
      </c>
      <c r="B80" s="148">
        <v>109.45</v>
      </c>
      <c r="C80" s="148">
        <v>440.45001200000002</v>
      </c>
      <c r="D80" s="148">
        <v>5661.6</v>
      </c>
      <c r="E80" s="148">
        <v>1032.5</v>
      </c>
      <c r="F80" s="148">
        <v>1747.25</v>
      </c>
      <c r="G80" s="148">
        <v>1727.849976</v>
      </c>
      <c r="H80" s="148">
        <v>27.05</v>
      </c>
      <c r="I80" s="125">
        <v>2130.3000489999999</v>
      </c>
      <c r="J80">
        <f t="shared" si="9"/>
        <v>-1.617977528089885E-2</v>
      </c>
      <c r="K80">
        <f t="shared" si="10"/>
        <v>5.2574977581790583E-2</v>
      </c>
      <c r="L80">
        <f t="shared" si="11"/>
        <v>-5.6290780079561046E-3</v>
      </c>
      <c r="M80">
        <f t="shared" si="12"/>
        <v>3.6452004860267314E-3</v>
      </c>
      <c r="N80">
        <f t="shared" si="13"/>
        <v>3.4487862640615749E-2</v>
      </c>
      <c r="O80">
        <f t="shared" si="14"/>
        <v>5.7919272722473276E-3</v>
      </c>
      <c r="P80">
        <f t="shared" si="15"/>
        <v>1.8518518518518782E-3</v>
      </c>
      <c r="Q80">
        <f t="shared" si="16"/>
        <v>-1.9717854235717681E-2</v>
      </c>
    </row>
    <row r="81" spans="1:17" x14ac:dyDescent="0.25">
      <c r="A81" s="139">
        <v>44005</v>
      </c>
      <c r="B81" s="148">
        <v>110</v>
      </c>
      <c r="C81" s="148">
        <v>463.60000600000001</v>
      </c>
      <c r="D81" s="148">
        <v>5907.1</v>
      </c>
      <c r="E81" s="148">
        <v>1042.3000489999999</v>
      </c>
      <c r="F81" s="148">
        <v>1683.9</v>
      </c>
      <c r="G81" s="148">
        <v>1720.900024</v>
      </c>
      <c r="H81" s="148">
        <v>27.55</v>
      </c>
      <c r="I81" s="125">
        <v>2155.9499510000001</v>
      </c>
      <c r="J81">
        <f t="shared" si="9"/>
        <v>5.0251256281406776E-3</v>
      </c>
      <c r="K81">
        <f t="shared" si="10"/>
        <v>5.2559866884508089E-2</v>
      </c>
      <c r="L81">
        <f t="shared" si="11"/>
        <v>4.3362300409778148E-2</v>
      </c>
      <c r="M81">
        <f t="shared" si="12"/>
        <v>9.4915728813558791E-3</v>
      </c>
      <c r="N81">
        <f t="shared" si="13"/>
        <v>-3.6256975246816377E-2</v>
      </c>
      <c r="O81">
        <f t="shared" si="14"/>
        <v>-4.0223121778715926E-3</v>
      </c>
      <c r="P81">
        <f t="shared" si="15"/>
        <v>1.8484288354898334E-2</v>
      </c>
      <c r="Q81">
        <f t="shared" si="16"/>
        <v>1.2040511388074476E-2</v>
      </c>
    </row>
    <row r="82" spans="1:17" x14ac:dyDescent="0.25">
      <c r="A82" s="139">
        <v>44004</v>
      </c>
      <c r="B82" s="148">
        <v>110.05</v>
      </c>
      <c r="C82" s="148">
        <v>441.64999399999999</v>
      </c>
      <c r="D82" s="148">
        <v>5546.1</v>
      </c>
      <c r="E82" s="148">
        <v>1028.75</v>
      </c>
      <c r="F82" s="148">
        <v>1652.15</v>
      </c>
      <c r="G82" s="148">
        <v>1746.150024</v>
      </c>
      <c r="H82" s="148">
        <v>27.75</v>
      </c>
      <c r="I82" s="125">
        <v>2100.8000489999999</v>
      </c>
      <c r="J82">
        <f t="shared" si="9"/>
        <v>4.5454545454542869E-4</v>
      </c>
      <c r="K82">
        <f t="shared" si="10"/>
        <v>-4.7346876005001634E-2</v>
      </c>
      <c r="L82">
        <f t="shared" si="11"/>
        <v>-6.1112898037954319E-2</v>
      </c>
      <c r="M82">
        <f t="shared" si="12"/>
        <v>-1.3000142341929359E-2</v>
      </c>
      <c r="N82">
        <f t="shared" si="13"/>
        <v>-1.8855038897796779E-2</v>
      </c>
      <c r="O82">
        <f t="shared" si="14"/>
        <v>1.4672554853773423E-2</v>
      </c>
      <c r="P82">
        <f t="shared" si="15"/>
        <v>7.25952813067148E-3</v>
      </c>
      <c r="Q82">
        <f t="shared" si="16"/>
        <v>-2.5580325728071649E-2</v>
      </c>
    </row>
    <row r="83" spans="1:17" x14ac:dyDescent="0.25">
      <c r="A83" s="139">
        <v>44001</v>
      </c>
      <c r="B83" s="148">
        <v>105.25</v>
      </c>
      <c r="C83" s="148">
        <v>420.64999399999999</v>
      </c>
      <c r="D83" s="148">
        <v>5687.25</v>
      </c>
      <c r="E83" s="148">
        <v>1033.349976</v>
      </c>
      <c r="F83" s="148">
        <v>1622.5</v>
      </c>
      <c r="G83" s="148">
        <v>1759.400024</v>
      </c>
      <c r="H83" s="148">
        <v>28</v>
      </c>
      <c r="I83" s="125">
        <v>2092.75</v>
      </c>
      <c r="J83">
        <f t="shared" si="9"/>
        <v>-4.3616537937301199E-2</v>
      </c>
      <c r="K83">
        <f t="shared" si="10"/>
        <v>-4.7548964757825857E-2</v>
      </c>
      <c r="L83">
        <f t="shared" si="11"/>
        <v>2.5450316438578393E-2</v>
      </c>
      <c r="M83">
        <f t="shared" si="12"/>
        <v>4.4714226002429839E-3</v>
      </c>
      <c r="N83">
        <f t="shared" si="13"/>
        <v>-1.7946312380837146E-2</v>
      </c>
      <c r="O83">
        <f t="shared" si="14"/>
        <v>7.5881223365032004E-3</v>
      </c>
      <c r="P83">
        <f t="shared" si="15"/>
        <v>9.0090090090090089E-3</v>
      </c>
      <c r="Q83">
        <f t="shared" si="16"/>
        <v>-3.831896807043508E-3</v>
      </c>
    </row>
    <row r="84" spans="1:17" x14ac:dyDescent="0.25">
      <c r="A84" s="139">
        <v>44000</v>
      </c>
      <c r="B84" s="148">
        <v>107</v>
      </c>
      <c r="C84" s="148">
        <v>400.64999399999999</v>
      </c>
      <c r="D84" s="148">
        <v>5566.85</v>
      </c>
      <c r="E84" s="148">
        <v>1019.950012</v>
      </c>
      <c r="F84" s="148">
        <v>1597.8</v>
      </c>
      <c r="G84" s="148">
        <v>1655.900024</v>
      </c>
      <c r="H84" s="148">
        <v>28</v>
      </c>
      <c r="I84" s="125">
        <v>2065.3500979999999</v>
      </c>
      <c r="J84">
        <f t="shared" si="9"/>
        <v>1.66270783847981E-2</v>
      </c>
      <c r="K84">
        <f t="shared" si="10"/>
        <v>-4.7545466029413522E-2</v>
      </c>
      <c r="L84">
        <f t="shared" si="11"/>
        <v>-2.1170161325772499E-2</v>
      </c>
      <c r="M84">
        <f t="shared" si="12"/>
        <v>-1.2967498244757259E-2</v>
      </c>
      <c r="N84">
        <f t="shared" si="13"/>
        <v>-1.5223420647149488E-2</v>
      </c>
      <c r="O84">
        <f t="shared" si="14"/>
        <v>-5.8826871995086433E-2</v>
      </c>
      <c r="P84">
        <f t="shared" si="15"/>
        <v>0</v>
      </c>
      <c r="Q84">
        <f t="shared" si="16"/>
        <v>-1.3092773623223085E-2</v>
      </c>
    </row>
    <row r="85" spans="1:17" x14ac:dyDescent="0.25">
      <c r="A85" s="139">
        <v>43999</v>
      </c>
      <c r="B85" s="148">
        <v>102.1</v>
      </c>
      <c r="C85" s="148">
        <v>381.60000600000001</v>
      </c>
      <c r="D85" s="148">
        <v>5338.35</v>
      </c>
      <c r="E85" s="148">
        <v>979.25</v>
      </c>
      <c r="F85" s="148">
        <v>1595.4</v>
      </c>
      <c r="G85" s="148">
        <v>1615.349976</v>
      </c>
      <c r="H85" s="148">
        <v>27.65</v>
      </c>
      <c r="I85" s="125">
        <v>2078.25</v>
      </c>
      <c r="J85">
        <f t="shared" si="9"/>
        <v>-4.5794392523364542E-2</v>
      </c>
      <c r="K85">
        <f t="shared" si="10"/>
        <v>-4.7547705691466914E-2</v>
      </c>
      <c r="L85">
        <f t="shared" si="11"/>
        <v>-4.1046552359054043E-2</v>
      </c>
      <c r="M85">
        <f t="shared" si="12"/>
        <v>-3.9903928154471177E-2</v>
      </c>
      <c r="N85">
        <f t="shared" si="13"/>
        <v>-1.5020653398421977E-3</v>
      </c>
      <c r="O85">
        <f t="shared" si="14"/>
        <v>-2.4488222363840042E-2</v>
      </c>
      <c r="P85">
        <f t="shared" si="15"/>
        <v>-1.2500000000000051E-2</v>
      </c>
      <c r="Q85">
        <f t="shared" si="16"/>
        <v>6.2458669900526042E-3</v>
      </c>
    </row>
    <row r="86" spans="1:17" x14ac:dyDescent="0.25">
      <c r="A86" s="139">
        <v>43998</v>
      </c>
      <c r="B86" s="148">
        <v>103.85</v>
      </c>
      <c r="C86" s="148">
        <v>363.45001200000002</v>
      </c>
      <c r="D86" s="148">
        <v>5303.4</v>
      </c>
      <c r="E86" s="148">
        <v>990.40002400000003</v>
      </c>
      <c r="F86" s="148">
        <v>1621.7</v>
      </c>
      <c r="G86" s="148">
        <v>1617.6999510000001</v>
      </c>
      <c r="H86" s="148">
        <v>28.4</v>
      </c>
      <c r="I86" s="125">
        <v>2076.3500979999999</v>
      </c>
      <c r="J86">
        <f t="shared" si="9"/>
        <v>1.7140058765915771E-2</v>
      </c>
      <c r="K86">
        <f t="shared" si="10"/>
        <v>-4.7562876610646572E-2</v>
      </c>
      <c r="L86">
        <f t="shared" si="11"/>
        <v>-6.5469667593920826E-3</v>
      </c>
      <c r="M86">
        <f t="shared" si="12"/>
        <v>1.1386289507276007E-2</v>
      </c>
      <c r="N86">
        <f t="shared" si="13"/>
        <v>1.6484894070452522E-2</v>
      </c>
      <c r="O86">
        <f t="shared" si="14"/>
        <v>1.4547776239915492E-3</v>
      </c>
      <c r="P86">
        <f t="shared" si="15"/>
        <v>2.7124773960217001E-2</v>
      </c>
      <c r="Q86">
        <f t="shared" si="16"/>
        <v>-9.1418356790574332E-4</v>
      </c>
    </row>
    <row r="87" spans="1:17" x14ac:dyDescent="0.25">
      <c r="A87" s="139">
        <v>43997</v>
      </c>
      <c r="B87" s="148">
        <v>102.4</v>
      </c>
      <c r="C87" s="148">
        <v>346.14999399999999</v>
      </c>
      <c r="D87" s="148">
        <v>5291.75</v>
      </c>
      <c r="E87" s="148">
        <v>949.84997599999997</v>
      </c>
      <c r="F87" s="148">
        <v>1618.2</v>
      </c>
      <c r="G87" s="148">
        <v>1614.5500489999999</v>
      </c>
      <c r="H87" s="148">
        <v>29</v>
      </c>
      <c r="I87" s="125">
        <v>2084.3000489999999</v>
      </c>
      <c r="J87">
        <f t="shared" si="9"/>
        <v>-1.3962445835339322E-2</v>
      </c>
      <c r="K87">
        <f t="shared" si="10"/>
        <v>-4.7599442643573284E-2</v>
      </c>
      <c r="L87">
        <f t="shared" si="11"/>
        <v>-2.1967040012067047E-3</v>
      </c>
      <c r="M87">
        <f t="shared" si="12"/>
        <v>-4.0943100784900689E-2</v>
      </c>
      <c r="N87">
        <f t="shared" si="13"/>
        <v>-2.1582290189307517E-3</v>
      </c>
      <c r="O87">
        <f t="shared" si="14"/>
        <v>-1.9471484795761801E-3</v>
      </c>
      <c r="P87">
        <f t="shared" si="15"/>
        <v>2.1126760563380333E-2</v>
      </c>
      <c r="Q87">
        <f t="shared" si="16"/>
        <v>3.8288104725969271E-3</v>
      </c>
    </row>
    <row r="88" spans="1:17" x14ac:dyDescent="0.25">
      <c r="A88" s="139">
        <v>43994</v>
      </c>
      <c r="B88" s="148">
        <v>103.3</v>
      </c>
      <c r="C88" s="148">
        <v>336.39999399999999</v>
      </c>
      <c r="D88" s="148">
        <v>4975.7</v>
      </c>
      <c r="E88" s="148">
        <v>982.75</v>
      </c>
      <c r="F88" s="148">
        <v>1637.35</v>
      </c>
      <c r="G88" s="148">
        <v>1588.8000489999999</v>
      </c>
      <c r="H88" s="148">
        <v>29.5</v>
      </c>
      <c r="I88" s="125">
        <v>2107.25</v>
      </c>
      <c r="J88">
        <f t="shared" si="9"/>
        <v>8.7890624999999167E-3</v>
      </c>
      <c r="K88">
        <f t="shared" si="10"/>
        <v>-2.8166980121340116E-2</v>
      </c>
      <c r="L88">
        <f t="shared" si="11"/>
        <v>-5.9725043700099248E-2</v>
      </c>
      <c r="M88">
        <f t="shared" si="12"/>
        <v>3.4637074097267788E-2</v>
      </c>
      <c r="N88">
        <f t="shared" si="13"/>
        <v>1.1834136695093228E-2</v>
      </c>
      <c r="O88">
        <f t="shared" si="14"/>
        <v>-1.5948715876568036E-2</v>
      </c>
      <c r="P88">
        <f t="shared" si="15"/>
        <v>1.7241379310344827E-2</v>
      </c>
      <c r="Q88">
        <f t="shared" si="16"/>
        <v>1.1010867178653535E-2</v>
      </c>
    </row>
    <row r="89" spans="1:17" x14ac:dyDescent="0.25">
      <c r="A89" s="139">
        <v>43993</v>
      </c>
      <c r="B89" s="148">
        <v>101.05</v>
      </c>
      <c r="C89" s="148">
        <v>332.04998799999998</v>
      </c>
      <c r="D89" s="148">
        <v>4976.45</v>
      </c>
      <c r="E89" s="148">
        <v>968.59997599999997</v>
      </c>
      <c r="F89" s="148">
        <v>1610.6</v>
      </c>
      <c r="G89" s="148">
        <v>1537.6999510000001</v>
      </c>
      <c r="H89" s="148">
        <v>29.8</v>
      </c>
      <c r="I89" s="125">
        <v>2106.8999020000001</v>
      </c>
      <c r="J89">
        <f t="shared" si="9"/>
        <v>-2.1781219748305904E-2</v>
      </c>
      <c r="K89">
        <f t="shared" si="10"/>
        <v>-1.293105254930536E-2</v>
      </c>
      <c r="L89">
        <f t="shared" si="11"/>
        <v>1.5073256024277992E-4</v>
      </c>
      <c r="M89">
        <f t="shared" si="12"/>
        <v>-1.4398396336810003E-2</v>
      </c>
      <c r="N89">
        <f t="shared" si="13"/>
        <v>-1.6337374415977036E-2</v>
      </c>
      <c r="O89">
        <f t="shared" si="14"/>
        <v>-3.216269915913119E-2</v>
      </c>
      <c r="P89">
        <f t="shared" si="15"/>
        <v>1.0169491525423752E-2</v>
      </c>
      <c r="Q89">
        <f t="shared" si="16"/>
        <v>-1.6613975560559449E-4</v>
      </c>
    </row>
    <row r="90" spans="1:17" x14ac:dyDescent="0.25">
      <c r="A90" s="139">
        <v>43992</v>
      </c>
      <c r="B90" s="148">
        <v>106.1</v>
      </c>
      <c r="C90" s="148">
        <v>328.20001200000002</v>
      </c>
      <c r="D90" s="148">
        <v>5019.3500000000004</v>
      </c>
      <c r="E90" s="148">
        <v>991.84997599999997</v>
      </c>
      <c r="F90" s="148">
        <v>1635.95</v>
      </c>
      <c r="G90" s="148">
        <v>1572.150024</v>
      </c>
      <c r="H90" s="148">
        <v>30.4</v>
      </c>
      <c r="I90" s="125">
        <v>2119.6000979999999</v>
      </c>
      <c r="J90">
        <f t="shared" si="9"/>
        <v>4.9975259772389882E-2</v>
      </c>
      <c r="K90">
        <f t="shared" si="10"/>
        <v>-1.1594567502288149E-2</v>
      </c>
      <c r="L90">
        <f t="shared" si="11"/>
        <v>8.6206030403200174E-3</v>
      </c>
      <c r="M90">
        <f t="shared" si="12"/>
        <v>2.4003717299286822E-2</v>
      </c>
      <c r="N90">
        <f t="shared" si="13"/>
        <v>1.5739475971687657E-2</v>
      </c>
      <c r="O90">
        <f t="shared" si="14"/>
        <v>2.2403637964348206E-2</v>
      </c>
      <c r="P90">
        <f t="shared" si="15"/>
        <v>2.0134228187919392E-2</v>
      </c>
      <c r="Q90">
        <f t="shared" si="16"/>
        <v>6.0279066831527986E-3</v>
      </c>
    </row>
    <row r="91" spans="1:17" x14ac:dyDescent="0.25">
      <c r="A91" s="139">
        <v>43991</v>
      </c>
      <c r="B91" s="148">
        <v>104.6</v>
      </c>
      <c r="C91" s="148">
        <v>312.60000600000001</v>
      </c>
      <c r="D91" s="148">
        <v>5040.7</v>
      </c>
      <c r="E91" s="148">
        <v>987.29998799999998</v>
      </c>
      <c r="F91" s="148">
        <v>1642.05</v>
      </c>
      <c r="G91" s="148">
        <v>1537.150024</v>
      </c>
      <c r="H91" s="148">
        <v>29.85</v>
      </c>
      <c r="I91" s="125">
        <v>2106.5</v>
      </c>
      <c r="J91">
        <f t="shared" si="9"/>
        <v>-1.4137606032045242E-2</v>
      </c>
      <c r="K91">
        <f t="shared" si="10"/>
        <v>-4.7532009231005166E-2</v>
      </c>
      <c r="L91">
        <f t="shared" si="11"/>
        <v>4.2535388048252172E-3</v>
      </c>
      <c r="M91">
        <f t="shared" si="12"/>
        <v>-4.587375218124707E-3</v>
      </c>
      <c r="N91">
        <f t="shared" si="13"/>
        <v>3.7287203154130069E-3</v>
      </c>
      <c r="O91">
        <f t="shared" si="14"/>
        <v>-2.2262506418407813E-2</v>
      </c>
      <c r="P91">
        <f t="shared" si="15"/>
        <v>-1.8092105263157802E-2</v>
      </c>
      <c r="Q91">
        <f t="shared" si="16"/>
        <v>-6.1804573477614033E-3</v>
      </c>
    </row>
    <row r="92" spans="1:17" x14ac:dyDescent="0.25">
      <c r="A92" s="139">
        <v>43990</v>
      </c>
      <c r="B92" s="148">
        <v>105.1</v>
      </c>
      <c r="C92" s="148">
        <v>297.75</v>
      </c>
      <c r="D92" s="148">
        <v>5010.05</v>
      </c>
      <c r="E92" s="148">
        <v>1015.900024</v>
      </c>
      <c r="F92" s="148">
        <v>1634.25</v>
      </c>
      <c r="G92" s="148">
        <v>1569.5</v>
      </c>
      <c r="H92" s="148">
        <v>30.6</v>
      </c>
      <c r="I92" s="125">
        <v>2111.6999510000001</v>
      </c>
      <c r="J92">
        <f t="shared" si="9"/>
        <v>4.7801147227533461E-3</v>
      </c>
      <c r="K92">
        <f t="shared" si="10"/>
        <v>-4.7504816746548648E-2</v>
      </c>
      <c r="L92">
        <f t="shared" si="11"/>
        <v>-6.0805046918086057E-3</v>
      </c>
      <c r="M92">
        <f t="shared" si="12"/>
        <v>2.896792904650582E-2</v>
      </c>
      <c r="N92">
        <f t="shared" si="13"/>
        <v>-4.7501598611491454E-3</v>
      </c>
      <c r="O92">
        <f t="shared" si="14"/>
        <v>2.104542529675683E-2</v>
      </c>
      <c r="P92">
        <f t="shared" si="15"/>
        <v>2.5125628140703515E-2</v>
      </c>
      <c r="Q92">
        <f t="shared" si="16"/>
        <v>2.4685264657014266E-3</v>
      </c>
    </row>
    <row r="93" spans="1:17" x14ac:dyDescent="0.25">
      <c r="A93" s="139">
        <v>43987</v>
      </c>
      <c r="B93" s="148">
        <v>105.3</v>
      </c>
      <c r="C93" s="148">
        <v>284.25</v>
      </c>
      <c r="D93" s="148">
        <v>5006.25</v>
      </c>
      <c r="E93" s="148">
        <v>1033.349976</v>
      </c>
      <c r="F93" s="148">
        <v>1638.55</v>
      </c>
      <c r="G93" s="148">
        <v>1581.6999510000001</v>
      </c>
      <c r="H93" s="148">
        <v>28.85</v>
      </c>
      <c r="I93" s="125">
        <v>2087.6000979999999</v>
      </c>
      <c r="J93">
        <f t="shared" si="9"/>
        <v>1.9029495718363735E-3</v>
      </c>
      <c r="K93">
        <f t="shared" si="10"/>
        <v>-4.534005037783375E-2</v>
      </c>
      <c r="L93">
        <f t="shared" si="11"/>
        <v>-7.5847546431675962E-4</v>
      </c>
      <c r="M93">
        <f t="shared" si="12"/>
        <v>1.7176839834388998E-2</v>
      </c>
      <c r="N93">
        <f t="shared" si="13"/>
        <v>2.631176380602695E-3</v>
      </c>
      <c r="O93">
        <f t="shared" si="14"/>
        <v>7.7731449506212519E-3</v>
      </c>
      <c r="P93">
        <f t="shared" si="15"/>
        <v>-5.7189542483660129E-2</v>
      </c>
      <c r="Q93">
        <f t="shared" si="16"/>
        <v>-1.1412536609941971E-2</v>
      </c>
    </row>
    <row r="94" spans="1:17" x14ac:dyDescent="0.25">
      <c r="A94" s="139">
        <v>43986</v>
      </c>
      <c r="B94" s="148">
        <v>104.4</v>
      </c>
      <c r="C94" s="148">
        <v>274</v>
      </c>
      <c r="D94" s="148">
        <v>5180.55</v>
      </c>
      <c r="E94" s="148">
        <v>1001.700012</v>
      </c>
      <c r="F94" s="148">
        <v>1633.75</v>
      </c>
      <c r="G94" s="148">
        <v>1579.8000489999999</v>
      </c>
      <c r="H94" s="148">
        <v>27.95</v>
      </c>
      <c r="I94" s="125">
        <v>2120.6000979999999</v>
      </c>
      <c r="J94">
        <f t="shared" si="9"/>
        <v>-8.5470085470084663E-3</v>
      </c>
      <c r="K94">
        <f t="shared" si="10"/>
        <v>-3.6059806508355323E-2</v>
      </c>
      <c r="L94">
        <f t="shared" si="11"/>
        <v>3.4816479400749098E-2</v>
      </c>
      <c r="M94">
        <f t="shared" si="12"/>
        <v>-3.0628504122595494E-2</v>
      </c>
      <c r="N94">
        <f t="shared" si="13"/>
        <v>-2.9294193036525922E-3</v>
      </c>
      <c r="O94">
        <f t="shared" si="14"/>
        <v>-1.2011772516013126E-3</v>
      </c>
      <c r="P94">
        <f t="shared" si="15"/>
        <v>-3.1195840554592794E-2</v>
      </c>
      <c r="Q94">
        <f t="shared" si="16"/>
        <v>1.5807625239917959E-2</v>
      </c>
    </row>
    <row r="95" spans="1:17" x14ac:dyDescent="0.25">
      <c r="A95" s="139">
        <v>43985</v>
      </c>
      <c r="B95" s="148">
        <v>96.7</v>
      </c>
      <c r="C95" s="148">
        <v>273.85000600000001</v>
      </c>
      <c r="D95" s="148">
        <v>5384.95</v>
      </c>
      <c r="E95" s="148">
        <v>1022.25</v>
      </c>
      <c r="F95" s="148">
        <v>1716.55</v>
      </c>
      <c r="G95" s="148">
        <v>1541.650024</v>
      </c>
      <c r="H95" s="148">
        <v>27.95</v>
      </c>
      <c r="I95" s="125">
        <v>2120.5</v>
      </c>
      <c r="J95">
        <f t="shared" si="9"/>
        <v>-7.3754789272030677E-2</v>
      </c>
      <c r="K95">
        <f t="shared" si="10"/>
        <v>-5.4742335766420588E-4</v>
      </c>
      <c r="L95">
        <f t="shared" si="11"/>
        <v>3.9455270193319174E-2</v>
      </c>
      <c r="M95">
        <f t="shared" si="12"/>
        <v>2.0515112063311011E-2</v>
      </c>
      <c r="N95">
        <f t="shared" si="13"/>
        <v>5.0680948737566921E-2</v>
      </c>
      <c r="O95">
        <f t="shared" si="14"/>
        <v>-2.4148641484185645E-2</v>
      </c>
      <c r="P95">
        <f t="shared" si="15"/>
        <v>0</v>
      </c>
      <c r="Q95">
        <f t="shared" si="16"/>
        <v>-4.7202676305775122E-5</v>
      </c>
    </row>
    <row r="96" spans="1:17" x14ac:dyDescent="0.25">
      <c r="A96" s="139">
        <v>43984</v>
      </c>
      <c r="B96" s="148">
        <v>96.9</v>
      </c>
      <c r="C96" s="148">
        <v>273.75</v>
      </c>
      <c r="D96" s="148">
        <v>5197.5</v>
      </c>
      <c r="E96" s="148">
        <v>1001</v>
      </c>
      <c r="F96" s="148">
        <v>1709.3</v>
      </c>
      <c r="G96" s="148">
        <v>1535.6999510000001</v>
      </c>
      <c r="H96" s="148">
        <v>27.15</v>
      </c>
      <c r="I96" s="125">
        <v>2107.3999020000001</v>
      </c>
      <c r="J96">
        <f t="shared" si="9"/>
        <v>2.0682523267838968E-3</v>
      </c>
      <c r="K96">
        <f t="shared" si="10"/>
        <v>-3.6518531242978167E-4</v>
      </c>
      <c r="L96">
        <f t="shared" si="11"/>
        <v>-3.4809979665549322E-2</v>
      </c>
      <c r="M96">
        <f t="shared" si="12"/>
        <v>-2.0787478601124971E-2</v>
      </c>
      <c r="N96">
        <f t="shared" si="13"/>
        <v>-4.2235880108356877E-3</v>
      </c>
      <c r="O96">
        <f t="shared" si="14"/>
        <v>-3.8595484755753972E-3</v>
      </c>
      <c r="P96">
        <f t="shared" si="15"/>
        <v>-2.8622540250447252E-2</v>
      </c>
      <c r="Q96">
        <f t="shared" si="16"/>
        <v>-6.1778344730015981E-3</v>
      </c>
    </row>
    <row r="97" spans="1:17" x14ac:dyDescent="0.25">
      <c r="A97" s="139">
        <v>43983</v>
      </c>
      <c r="B97" s="148">
        <v>93.65</v>
      </c>
      <c r="C97" s="148">
        <v>260.75</v>
      </c>
      <c r="D97" s="148">
        <v>5051.5</v>
      </c>
      <c r="E97" s="148">
        <v>987.65002400000003</v>
      </c>
      <c r="F97" s="148">
        <v>1693.25</v>
      </c>
      <c r="G97" s="148">
        <v>1520.349976</v>
      </c>
      <c r="H97" s="148">
        <v>27.15</v>
      </c>
      <c r="I97" s="125">
        <v>2108.5500489999999</v>
      </c>
      <c r="J97">
        <f t="shared" si="9"/>
        <v>-3.3539731682146544E-2</v>
      </c>
      <c r="K97">
        <f t="shared" si="10"/>
        <v>-4.7488584474885846E-2</v>
      </c>
      <c r="L97">
        <f t="shared" si="11"/>
        <v>-2.8090428090428089E-2</v>
      </c>
      <c r="M97">
        <f t="shared" si="12"/>
        <v>-1.333663936063933E-2</v>
      </c>
      <c r="N97">
        <f t="shared" si="13"/>
        <v>-9.3898086936172447E-3</v>
      </c>
      <c r="O97">
        <f t="shared" si="14"/>
        <v>-9.9954258577690646E-3</v>
      </c>
      <c r="P97">
        <f t="shared" si="15"/>
        <v>0</v>
      </c>
      <c r="Q97">
        <f t="shared" si="16"/>
        <v>5.4576589801883435E-4</v>
      </c>
    </row>
    <row r="98" spans="1:17" x14ac:dyDescent="0.25">
      <c r="A98" s="139">
        <v>43980</v>
      </c>
      <c r="B98" s="148">
        <v>92.2</v>
      </c>
      <c r="C98" s="148">
        <v>248.60000600000001</v>
      </c>
      <c r="D98" s="148">
        <v>4875.8</v>
      </c>
      <c r="E98" s="148">
        <v>951.65002400000003</v>
      </c>
      <c r="F98" s="148">
        <v>1683.1</v>
      </c>
      <c r="G98" s="148">
        <v>1464.400024</v>
      </c>
      <c r="H98" s="148">
        <v>26.85</v>
      </c>
      <c r="I98" s="125">
        <v>2057.3500979999999</v>
      </c>
      <c r="J98">
        <f t="shared" si="9"/>
        <v>-1.5483182060864952E-2</v>
      </c>
      <c r="K98">
        <f t="shared" si="10"/>
        <v>-4.6596333652924225E-2</v>
      </c>
      <c r="L98">
        <f t="shared" si="11"/>
        <v>-3.4781747995644825E-2</v>
      </c>
      <c r="M98">
        <f t="shared" si="12"/>
        <v>-3.6450158583704949E-2</v>
      </c>
      <c r="N98">
        <f t="shared" si="13"/>
        <v>-5.9943894876716914E-3</v>
      </c>
      <c r="O98">
        <f t="shared" si="14"/>
        <v>-3.6800705681729128E-2</v>
      </c>
      <c r="P98">
        <f t="shared" si="15"/>
        <v>-1.1049723756905973E-2</v>
      </c>
      <c r="Q98">
        <f t="shared" si="16"/>
        <v>-2.4282065784628694E-2</v>
      </c>
    </row>
    <row r="99" spans="1:17" x14ac:dyDescent="0.25">
      <c r="A99" s="139">
        <v>43979</v>
      </c>
      <c r="B99" s="148">
        <v>89.95</v>
      </c>
      <c r="C99" s="148">
        <v>246</v>
      </c>
      <c r="D99" s="148">
        <v>4633</v>
      </c>
      <c r="E99" s="148">
        <v>945.25</v>
      </c>
      <c r="F99" s="148">
        <v>1643.6</v>
      </c>
      <c r="G99" s="148">
        <v>1472.25</v>
      </c>
      <c r="H99" s="148">
        <v>27</v>
      </c>
      <c r="I99" s="125">
        <v>2009.9499510000001</v>
      </c>
      <c r="J99">
        <f t="shared" si="9"/>
        <v>-2.4403470715835141E-2</v>
      </c>
      <c r="K99">
        <f t="shared" si="10"/>
        <v>-1.0458591863429028E-2</v>
      </c>
      <c r="L99">
        <f t="shared" si="11"/>
        <v>-4.9796956396899003E-2</v>
      </c>
      <c r="M99">
        <f t="shared" si="12"/>
        <v>-6.7251866112494627E-3</v>
      </c>
      <c r="N99">
        <f t="shared" si="13"/>
        <v>-2.3468599607866437E-2</v>
      </c>
      <c r="O99">
        <f t="shared" si="14"/>
        <v>5.360540747983469E-3</v>
      </c>
      <c r="P99">
        <f t="shared" si="15"/>
        <v>5.5865921787708961E-3</v>
      </c>
      <c r="Q99">
        <f t="shared" si="16"/>
        <v>-2.3039417086123878E-2</v>
      </c>
    </row>
    <row r="100" spans="1:17" x14ac:dyDescent="0.25">
      <c r="A100" s="139">
        <v>43978</v>
      </c>
      <c r="B100" s="148">
        <v>87.9</v>
      </c>
      <c r="C100" s="148">
        <v>242.60000600000001</v>
      </c>
      <c r="D100" s="148">
        <v>4551.6499999999996</v>
      </c>
      <c r="E100" s="148">
        <v>903.65002400000003</v>
      </c>
      <c r="F100" s="148">
        <v>1619.45</v>
      </c>
      <c r="G100" s="148">
        <v>1445.5500489999999</v>
      </c>
      <c r="H100" s="148">
        <v>27.6</v>
      </c>
      <c r="I100" s="125">
        <v>1998.099976</v>
      </c>
      <c r="J100">
        <f t="shared" si="9"/>
        <v>-2.2790439132851552E-2</v>
      </c>
      <c r="K100">
        <f t="shared" si="10"/>
        <v>-1.3821113821138181E-2</v>
      </c>
      <c r="L100">
        <f t="shared" si="11"/>
        <v>-1.7558817181092243E-2</v>
      </c>
      <c r="M100">
        <f t="shared" si="12"/>
        <v>-4.4009495900555376E-2</v>
      </c>
      <c r="N100">
        <f t="shared" si="13"/>
        <v>-1.4693356047700088E-2</v>
      </c>
      <c r="O100">
        <f t="shared" si="14"/>
        <v>-1.8135473594837873E-2</v>
      </c>
      <c r="P100">
        <f t="shared" si="15"/>
        <v>2.2222222222222275E-2</v>
      </c>
      <c r="Q100">
        <f t="shared" si="16"/>
        <v>-5.8956567521019259E-3</v>
      </c>
    </row>
    <row r="101" spans="1:17" x14ac:dyDescent="0.25">
      <c r="A101" s="139">
        <v>43977</v>
      </c>
      <c r="B101" s="148">
        <v>87.9</v>
      </c>
      <c r="C101" s="148">
        <v>239.89999399999999</v>
      </c>
      <c r="D101" s="148">
        <v>4499.95</v>
      </c>
      <c r="E101" s="148">
        <v>852.40002400000003</v>
      </c>
      <c r="F101" s="148">
        <v>1629.85</v>
      </c>
      <c r="G101" s="148">
        <v>1424.0500489999999</v>
      </c>
      <c r="H101" s="148">
        <v>27.4</v>
      </c>
      <c r="I101" s="125">
        <v>1977.8000489999999</v>
      </c>
      <c r="J101">
        <f t="shared" si="9"/>
        <v>0</v>
      </c>
      <c r="K101">
        <f t="shared" si="10"/>
        <v>-1.1129480351290738E-2</v>
      </c>
      <c r="L101">
        <f t="shared" si="11"/>
        <v>-1.1358518339503219E-2</v>
      </c>
      <c r="M101">
        <f t="shared" si="12"/>
        <v>-5.6714434392578512E-2</v>
      </c>
      <c r="N101">
        <f t="shared" si="13"/>
        <v>6.4219333724411763E-3</v>
      </c>
      <c r="O101">
        <f t="shared" si="14"/>
        <v>-1.4873231137775708E-2</v>
      </c>
      <c r="P101">
        <f t="shared" si="15"/>
        <v>-7.2463768115943053E-3</v>
      </c>
      <c r="Q101">
        <f t="shared" si="16"/>
        <v>-1.0159615256408985E-2</v>
      </c>
    </row>
    <row r="102" spans="1:17" x14ac:dyDescent="0.25">
      <c r="A102" s="139">
        <v>43973</v>
      </c>
      <c r="B102" s="148">
        <v>89.1</v>
      </c>
      <c r="C102" s="148">
        <v>239.64999399999999</v>
      </c>
      <c r="D102" s="148">
        <v>4342.3999999999996</v>
      </c>
      <c r="E102" s="148">
        <v>838.84997599999997</v>
      </c>
      <c r="F102" s="148">
        <v>1617.9</v>
      </c>
      <c r="G102" s="148">
        <v>1431.5500489999999</v>
      </c>
      <c r="H102" s="148">
        <v>26.55</v>
      </c>
      <c r="I102" s="125">
        <v>1987.900024</v>
      </c>
      <c r="J102">
        <f t="shared" si="9"/>
        <v>1.3651877133105672E-2</v>
      </c>
      <c r="K102">
        <f t="shared" si="10"/>
        <v>-1.0421009014281177E-3</v>
      </c>
      <c r="L102">
        <f t="shared" si="11"/>
        <v>-3.501150012777924E-2</v>
      </c>
      <c r="M102">
        <f t="shared" si="12"/>
        <v>-1.5896348684288703E-2</v>
      </c>
      <c r="N102">
        <f t="shared" si="13"/>
        <v>-7.3319630640855411E-3</v>
      </c>
      <c r="O102">
        <f t="shared" si="14"/>
        <v>5.2666688261881452E-3</v>
      </c>
      <c r="P102">
        <f t="shared" si="15"/>
        <v>-3.1021897810218902E-2</v>
      </c>
      <c r="Q102">
        <f t="shared" si="16"/>
        <v>5.1066714277344452E-3</v>
      </c>
    </row>
    <row r="103" spans="1:17" x14ac:dyDescent="0.25">
      <c r="A103" s="139">
        <v>43972</v>
      </c>
      <c r="B103" s="148">
        <v>90.2</v>
      </c>
      <c r="C103" s="148">
        <v>235.10000600000001</v>
      </c>
      <c r="D103" s="148">
        <v>4296.3</v>
      </c>
      <c r="E103" s="148">
        <v>859.54998799999998</v>
      </c>
      <c r="F103" s="148">
        <v>1574.3</v>
      </c>
      <c r="G103" s="148">
        <v>1441.25</v>
      </c>
      <c r="H103" s="148">
        <v>26.9</v>
      </c>
      <c r="I103" s="125">
        <v>1970.900024</v>
      </c>
      <c r="J103">
        <f t="shared" si="9"/>
        <v>1.2345679012345775E-2</v>
      </c>
      <c r="K103">
        <f t="shared" si="10"/>
        <v>-1.8985971683354121E-2</v>
      </c>
      <c r="L103">
        <f t="shared" si="11"/>
        <v>-1.061624907885028E-2</v>
      </c>
      <c r="M103">
        <f t="shared" si="12"/>
        <v>2.467665565028283E-2</v>
      </c>
      <c r="N103">
        <f t="shared" si="13"/>
        <v>-2.6948513505161094E-2</v>
      </c>
      <c r="O103">
        <f t="shared" si="14"/>
        <v>6.7758378456805567E-3</v>
      </c>
      <c r="P103">
        <f t="shared" si="15"/>
        <v>1.3182674199623271E-2</v>
      </c>
      <c r="Q103">
        <f t="shared" si="16"/>
        <v>-8.5517379117452039E-3</v>
      </c>
    </row>
    <row r="104" spans="1:17" x14ac:dyDescent="0.25">
      <c r="A104" s="139">
        <v>43971</v>
      </c>
      <c r="B104" s="148">
        <v>88.55</v>
      </c>
      <c r="C104" s="148">
        <v>234.699997</v>
      </c>
      <c r="D104" s="148">
        <v>4390.8500000000004</v>
      </c>
      <c r="E104" s="148">
        <v>857.09997599999997</v>
      </c>
      <c r="F104" s="148">
        <v>1500.05</v>
      </c>
      <c r="G104" s="148">
        <v>1433.6999510000001</v>
      </c>
      <c r="H104" s="148">
        <v>27.15</v>
      </c>
      <c r="I104" s="125">
        <v>1990.849976</v>
      </c>
      <c r="J104">
        <f t="shared" si="9"/>
        <v>-1.829268292682933E-2</v>
      </c>
      <c r="K104">
        <f t="shared" si="10"/>
        <v>-1.7014418961776266E-3</v>
      </c>
      <c r="L104">
        <f t="shared" si="11"/>
        <v>2.2007308614389168E-2</v>
      </c>
      <c r="M104">
        <f t="shared" si="12"/>
        <v>-2.850342660932031E-3</v>
      </c>
      <c r="N104">
        <f t="shared" si="13"/>
        <v>-4.7163818840119422E-2</v>
      </c>
      <c r="O104">
        <f t="shared" si="14"/>
        <v>-5.238542237640898E-3</v>
      </c>
      <c r="P104">
        <f t="shared" si="15"/>
        <v>9.2936802973977699E-3</v>
      </c>
      <c r="Q104">
        <f t="shared" si="16"/>
        <v>1.0122254684187846E-2</v>
      </c>
    </row>
    <row r="105" spans="1:17" x14ac:dyDescent="0.25">
      <c r="A105" s="139">
        <v>43970</v>
      </c>
      <c r="B105" s="148">
        <v>90</v>
      </c>
      <c r="C105" s="148">
        <v>233.64999399999999</v>
      </c>
      <c r="D105" s="148">
        <v>4301.75</v>
      </c>
      <c r="E105" s="148">
        <v>830.65002400000003</v>
      </c>
      <c r="F105" s="148">
        <v>1503.95</v>
      </c>
      <c r="G105" s="148">
        <v>1408.900024</v>
      </c>
      <c r="H105" s="148">
        <v>27.4</v>
      </c>
      <c r="I105" s="125">
        <v>1975.5500489999999</v>
      </c>
      <c r="J105">
        <f t="shared" si="9"/>
        <v>1.6374929418407711E-2</v>
      </c>
      <c r="K105">
        <f t="shared" si="10"/>
        <v>-4.4738091752084845E-3</v>
      </c>
      <c r="L105">
        <f t="shared" si="11"/>
        <v>-2.0292198549255919E-2</v>
      </c>
      <c r="M105">
        <f t="shared" si="12"/>
        <v>-3.0859821188467682E-2</v>
      </c>
      <c r="N105">
        <f t="shared" si="13"/>
        <v>2.5999133362221865E-3</v>
      </c>
      <c r="O105">
        <f t="shared" si="14"/>
        <v>-1.729785021105858E-2</v>
      </c>
      <c r="P105">
        <f t="shared" si="15"/>
        <v>9.2081031307550652E-3</v>
      </c>
      <c r="Q105">
        <f t="shared" si="16"/>
        <v>-7.6851230300841239E-3</v>
      </c>
    </row>
    <row r="106" spans="1:17" x14ac:dyDescent="0.25">
      <c r="A106" s="139">
        <v>43969</v>
      </c>
      <c r="B106" s="148">
        <v>92.5</v>
      </c>
      <c r="C106" s="148">
        <v>229.25</v>
      </c>
      <c r="D106" s="148">
        <v>4256.3999999999996</v>
      </c>
      <c r="E106" s="148">
        <v>836.65002400000003</v>
      </c>
      <c r="F106" s="148">
        <v>1501.1</v>
      </c>
      <c r="G106" s="148">
        <v>1440.75</v>
      </c>
      <c r="H106" s="148">
        <v>27.55</v>
      </c>
      <c r="I106" s="125">
        <v>2005.25</v>
      </c>
      <c r="J106">
        <f t="shared" si="9"/>
        <v>2.7777777777777776E-2</v>
      </c>
      <c r="K106">
        <f t="shared" si="10"/>
        <v>-1.883156050926324E-2</v>
      </c>
      <c r="L106">
        <f t="shared" si="11"/>
        <v>-1.0542221189051052E-2</v>
      </c>
      <c r="M106">
        <f t="shared" si="12"/>
        <v>7.2232586849356427E-3</v>
      </c>
      <c r="N106">
        <f t="shared" si="13"/>
        <v>-1.8950098075069892E-3</v>
      </c>
      <c r="O106">
        <f t="shared" si="14"/>
        <v>2.2606271174284522E-2</v>
      </c>
      <c r="P106">
        <f t="shared" si="15"/>
        <v>5.4744525547446039E-3</v>
      </c>
      <c r="Q106">
        <f t="shared" si="16"/>
        <v>1.5033762882916491E-2</v>
      </c>
    </row>
    <row r="107" spans="1:17" x14ac:dyDescent="0.25">
      <c r="A107" s="139">
        <v>43966</v>
      </c>
      <c r="B107" s="148">
        <v>92.95</v>
      </c>
      <c r="C107" s="148">
        <v>230.25</v>
      </c>
      <c r="D107" s="148">
        <v>4406.3500000000004</v>
      </c>
      <c r="E107" s="148">
        <v>888.15002400000003</v>
      </c>
      <c r="F107" s="148">
        <v>1552.95</v>
      </c>
      <c r="G107" s="148">
        <v>1459.400024</v>
      </c>
      <c r="H107" s="148">
        <v>28.7</v>
      </c>
      <c r="I107" s="125">
        <v>2032.099976</v>
      </c>
      <c r="J107">
        <f t="shared" si="9"/>
        <v>4.8648648648648958E-3</v>
      </c>
      <c r="K107">
        <f t="shared" si="10"/>
        <v>4.3620501635768813E-3</v>
      </c>
      <c r="L107">
        <f t="shared" si="11"/>
        <v>3.5229301757353809E-2</v>
      </c>
      <c r="M107">
        <f t="shared" si="12"/>
        <v>6.1555009290240575E-2</v>
      </c>
      <c r="N107">
        <f t="shared" si="13"/>
        <v>3.4541336353340973E-2</v>
      </c>
      <c r="O107">
        <f t="shared" si="14"/>
        <v>1.2944663543293445E-2</v>
      </c>
      <c r="P107">
        <f t="shared" si="15"/>
        <v>4.1742286751361109E-2</v>
      </c>
      <c r="Q107">
        <f t="shared" si="16"/>
        <v>1.3389839670863967E-2</v>
      </c>
    </row>
    <row r="108" spans="1:17" x14ac:dyDescent="0.25">
      <c r="A108" s="139">
        <v>43965</v>
      </c>
      <c r="B108" s="148">
        <v>89.15</v>
      </c>
      <c r="C108" s="148">
        <v>228.550003</v>
      </c>
      <c r="D108" s="148">
        <v>4317.3500000000004</v>
      </c>
      <c r="E108" s="148">
        <v>893.70001200000002</v>
      </c>
      <c r="F108" s="148">
        <v>1522.4</v>
      </c>
      <c r="G108" s="148">
        <v>1435.9499510000001</v>
      </c>
      <c r="H108" s="148">
        <v>28.2</v>
      </c>
      <c r="I108" s="125">
        <v>2006.0500489999999</v>
      </c>
      <c r="J108">
        <f t="shared" si="9"/>
        <v>-4.0882194728348545E-2</v>
      </c>
      <c r="K108">
        <f t="shared" si="10"/>
        <v>-7.3832660152008522E-3</v>
      </c>
      <c r="L108">
        <f t="shared" si="11"/>
        <v>-2.0198123163162253E-2</v>
      </c>
      <c r="M108">
        <f t="shared" si="12"/>
        <v>6.2489307549689205E-3</v>
      </c>
      <c r="N108">
        <f t="shared" si="13"/>
        <v>-1.9672236710776236E-2</v>
      </c>
      <c r="O108">
        <f t="shared" si="14"/>
        <v>-1.6068296981198334E-2</v>
      </c>
      <c r="P108">
        <f t="shared" si="15"/>
        <v>-1.7421602787456445E-2</v>
      </c>
      <c r="Q108">
        <f t="shared" si="16"/>
        <v>-1.2819215249082817E-2</v>
      </c>
    </row>
    <row r="109" spans="1:17" x14ac:dyDescent="0.25">
      <c r="A109" s="139">
        <v>43964</v>
      </c>
      <c r="B109" s="148">
        <v>90.25</v>
      </c>
      <c r="C109" s="148">
        <v>231</v>
      </c>
      <c r="D109" s="148">
        <v>4369.3500000000004</v>
      </c>
      <c r="E109" s="148">
        <v>927.65002400000003</v>
      </c>
      <c r="F109" s="148">
        <v>1563.3</v>
      </c>
      <c r="G109" s="148">
        <v>1496.4499510000001</v>
      </c>
      <c r="H109" s="148">
        <v>28.65</v>
      </c>
      <c r="I109" s="125">
        <v>1995.75</v>
      </c>
      <c r="J109">
        <f t="shared" si="9"/>
        <v>1.2338754907459273E-2</v>
      </c>
      <c r="K109">
        <f t="shared" si="10"/>
        <v>1.0719741710088694E-2</v>
      </c>
      <c r="L109">
        <f t="shared" si="11"/>
        <v>1.2044425399840179E-2</v>
      </c>
      <c r="M109">
        <f t="shared" si="12"/>
        <v>3.7988152113843786E-2</v>
      </c>
      <c r="N109">
        <f t="shared" si="13"/>
        <v>2.6865475564897438E-2</v>
      </c>
      <c r="O109">
        <f t="shared" si="14"/>
        <v>4.213238766286221E-2</v>
      </c>
      <c r="P109">
        <f t="shared" si="15"/>
        <v>1.5957446808510613E-2</v>
      </c>
      <c r="Q109">
        <f t="shared" si="16"/>
        <v>-5.1344925342886819E-3</v>
      </c>
    </row>
    <row r="110" spans="1:17" x14ac:dyDescent="0.25">
      <c r="A110" s="139">
        <v>43963</v>
      </c>
      <c r="B110" s="148">
        <v>89.05</v>
      </c>
      <c r="C110" s="148">
        <v>226.050003</v>
      </c>
      <c r="D110" s="148">
        <v>4207.95</v>
      </c>
      <c r="E110" s="148">
        <v>901.54998799999998</v>
      </c>
      <c r="F110" s="148">
        <v>1523.35</v>
      </c>
      <c r="G110" s="148">
        <v>1465.3599850000001</v>
      </c>
      <c r="H110" s="148">
        <v>27.95</v>
      </c>
      <c r="I110" s="125">
        <v>2011.5500489999999</v>
      </c>
      <c r="J110">
        <f t="shared" si="9"/>
        <v>-1.3296398891966791E-2</v>
      </c>
      <c r="K110">
        <f t="shared" si="10"/>
        <v>-2.1428558441558426E-2</v>
      </c>
      <c r="L110">
        <f t="shared" si="11"/>
        <v>-3.6939132822960061E-2</v>
      </c>
      <c r="M110">
        <f t="shared" si="12"/>
        <v>-2.8135649571222394E-2</v>
      </c>
      <c r="N110">
        <f t="shared" si="13"/>
        <v>-2.5554915883067898E-2</v>
      </c>
      <c r="O110">
        <f t="shared" si="14"/>
        <v>-2.0775814105392691E-2</v>
      </c>
      <c r="P110">
        <f t="shared" si="15"/>
        <v>-2.4432809773123884E-2</v>
      </c>
      <c r="Q110">
        <f t="shared" si="16"/>
        <v>7.9168478015783257E-3</v>
      </c>
    </row>
    <row r="111" spans="1:17" x14ac:dyDescent="0.25">
      <c r="A111" s="139">
        <v>43962</v>
      </c>
      <c r="B111" s="148">
        <v>79.599999999999994</v>
      </c>
      <c r="C111" s="148">
        <v>222.60000600000001</v>
      </c>
      <c r="D111" s="148">
        <v>4235.2</v>
      </c>
      <c r="E111" s="148">
        <v>915.79998799999998</v>
      </c>
      <c r="F111" s="148">
        <v>1569.6</v>
      </c>
      <c r="G111" s="148">
        <v>1561.98999</v>
      </c>
      <c r="H111" s="148">
        <v>27.8</v>
      </c>
      <c r="I111" s="125">
        <v>2048</v>
      </c>
      <c r="J111">
        <f t="shared" si="9"/>
        <v>-0.10612015721504776</v>
      </c>
      <c r="K111">
        <f t="shared" si="10"/>
        <v>-1.5262096678671559E-2</v>
      </c>
      <c r="L111">
        <f t="shared" si="11"/>
        <v>6.4758374030109674E-3</v>
      </c>
      <c r="M111">
        <f t="shared" si="12"/>
        <v>1.5806111906908483E-2</v>
      </c>
      <c r="N111">
        <f t="shared" si="13"/>
        <v>3.036071815406834E-2</v>
      </c>
      <c r="O111">
        <f t="shared" si="14"/>
        <v>6.5942844071861281E-2</v>
      </c>
      <c r="P111">
        <f t="shared" si="15"/>
        <v>-5.3667262969588044E-3</v>
      </c>
      <c r="Q111">
        <f t="shared" si="16"/>
        <v>1.812033014943893E-2</v>
      </c>
    </row>
    <row r="112" spans="1:17" x14ac:dyDescent="0.25">
      <c r="A112" s="139">
        <v>43959</v>
      </c>
      <c r="B112" s="148">
        <v>77.400000000000006</v>
      </c>
      <c r="C112" s="148">
        <v>212.25</v>
      </c>
      <c r="D112" s="148">
        <v>4255.8</v>
      </c>
      <c r="E112" s="148">
        <v>929.04998799999998</v>
      </c>
      <c r="F112" s="148">
        <v>1578.4</v>
      </c>
      <c r="G112" s="148">
        <v>1547.130005</v>
      </c>
      <c r="H112" s="148">
        <v>27.05</v>
      </c>
      <c r="I112" s="125">
        <v>2089.4499510000001</v>
      </c>
      <c r="J112">
        <f t="shared" si="9"/>
        <v>-2.7638190954773729E-2</v>
      </c>
      <c r="K112">
        <f t="shared" si="10"/>
        <v>-4.6495982574232306E-2</v>
      </c>
      <c r="L112">
        <f t="shared" si="11"/>
        <v>4.8639969777107021E-3</v>
      </c>
      <c r="M112">
        <f t="shared" si="12"/>
        <v>1.4468224692748085E-2</v>
      </c>
      <c r="N112">
        <f t="shared" si="13"/>
        <v>5.6065239551479247E-3</v>
      </c>
      <c r="O112">
        <f t="shared" si="14"/>
        <v>-9.5134956658717452E-3</v>
      </c>
      <c r="P112">
        <f t="shared" si="15"/>
        <v>-2.6978417266187049E-2</v>
      </c>
      <c r="Q112">
        <f t="shared" si="16"/>
        <v>2.0239233886718777E-2</v>
      </c>
    </row>
    <row r="113" spans="1:17" x14ac:dyDescent="0.25">
      <c r="A113" s="139">
        <v>43958</v>
      </c>
      <c r="B113" s="148">
        <v>78.55</v>
      </c>
      <c r="C113" s="148">
        <v>210.550003</v>
      </c>
      <c r="D113" s="148">
        <v>4352.45</v>
      </c>
      <c r="E113" s="148">
        <v>925</v>
      </c>
      <c r="F113" s="148">
        <v>1594.3</v>
      </c>
      <c r="G113" s="148">
        <v>1492.8000489999999</v>
      </c>
      <c r="H113" s="148">
        <v>28.1</v>
      </c>
      <c r="I113" s="125">
        <v>1992.0500489999999</v>
      </c>
      <c r="J113">
        <f t="shared" si="9"/>
        <v>1.4857881136950793E-2</v>
      </c>
      <c r="K113">
        <f t="shared" si="10"/>
        <v>-8.0094087161366127E-3</v>
      </c>
      <c r="L113">
        <f t="shared" si="11"/>
        <v>2.2710183749236251E-2</v>
      </c>
      <c r="M113">
        <f t="shared" si="12"/>
        <v>-4.3592788895229877E-3</v>
      </c>
      <c r="N113">
        <f t="shared" si="13"/>
        <v>1.0073492143943147E-2</v>
      </c>
      <c r="O113">
        <f t="shared" si="14"/>
        <v>-3.5116606765053363E-2</v>
      </c>
      <c r="P113">
        <f t="shared" si="15"/>
        <v>3.8817005545286533E-2</v>
      </c>
      <c r="Q113">
        <f t="shared" si="16"/>
        <v>-4.6615092145846811E-2</v>
      </c>
    </row>
    <row r="114" spans="1:17" x14ac:dyDescent="0.25">
      <c r="A114" s="139">
        <v>43957</v>
      </c>
      <c r="B114" s="148">
        <v>79.45</v>
      </c>
      <c r="C114" s="148">
        <v>211.85000600000001</v>
      </c>
      <c r="D114" s="148">
        <v>4416.8999999999996</v>
      </c>
      <c r="E114" s="148">
        <v>946.40002400000003</v>
      </c>
      <c r="F114" s="148">
        <v>1610.65</v>
      </c>
      <c r="G114" s="148">
        <v>1447.030029</v>
      </c>
      <c r="H114" s="148">
        <v>26.3</v>
      </c>
      <c r="I114" s="125">
        <v>2010.1999510000001</v>
      </c>
      <c r="J114">
        <f t="shared" si="9"/>
        <v>1.1457670273711085E-2</v>
      </c>
      <c r="K114">
        <f t="shared" si="10"/>
        <v>6.1743195510664695E-3</v>
      </c>
      <c r="L114">
        <f t="shared" si="11"/>
        <v>1.480775195579497E-2</v>
      </c>
      <c r="M114">
        <f t="shared" si="12"/>
        <v>2.3135161081081115E-2</v>
      </c>
      <c r="N114">
        <f t="shared" si="13"/>
        <v>1.025528445085626E-2</v>
      </c>
      <c r="O114">
        <f t="shared" si="14"/>
        <v>-3.0660516142574118E-2</v>
      </c>
      <c r="P114">
        <f t="shared" si="15"/>
        <v>-6.4056939501779375E-2</v>
      </c>
      <c r="Q114">
        <f t="shared" si="16"/>
        <v>9.1111676682577719E-3</v>
      </c>
    </row>
    <row r="115" spans="1:17" x14ac:dyDescent="0.25">
      <c r="A115" s="139">
        <v>43956</v>
      </c>
      <c r="B115" s="148">
        <v>78.900000000000006</v>
      </c>
      <c r="C115" s="148">
        <v>210.800003</v>
      </c>
      <c r="D115" s="148">
        <v>4513.6000000000004</v>
      </c>
      <c r="E115" s="148">
        <v>911.45001200000002</v>
      </c>
      <c r="F115" s="148">
        <v>1619.15</v>
      </c>
      <c r="G115" s="148">
        <v>1446.9300539999999</v>
      </c>
      <c r="H115" s="148">
        <v>26.6</v>
      </c>
      <c r="I115" s="125">
        <v>2041.5</v>
      </c>
      <c r="J115">
        <f t="shared" si="9"/>
        <v>-6.9225928256764898E-3</v>
      </c>
      <c r="K115">
        <f t="shared" si="10"/>
        <v>-4.9563510515076587E-3</v>
      </c>
      <c r="L115">
        <f t="shared" si="11"/>
        <v>2.1893183001652911E-2</v>
      </c>
      <c r="M115">
        <f t="shared" si="12"/>
        <v>-3.692942848023429E-2</v>
      </c>
      <c r="N115">
        <f t="shared" si="13"/>
        <v>5.277372489367646E-3</v>
      </c>
      <c r="O115">
        <f t="shared" si="14"/>
        <v>-6.9089789428333876E-5</v>
      </c>
      <c r="P115">
        <f t="shared" si="15"/>
        <v>1.1406844106463905E-2</v>
      </c>
      <c r="Q115">
        <f t="shared" si="16"/>
        <v>1.5570614746274036E-2</v>
      </c>
    </row>
    <row r="116" spans="1:17" x14ac:dyDescent="0.25">
      <c r="A116" s="139">
        <v>43955</v>
      </c>
      <c r="B116" s="148">
        <v>79.95</v>
      </c>
      <c r="C116" s="148">
        <v>209.550003</v>
      </c>
      <c r="D116" s="148">
        <v>4586.75</v>
      </c>
      <c r="E116" s="148">
        <v>923</v>
      </c>
      <c r="F116" s="148">
        <v>1676.8</v>
      </c>
      <c r="G116" s="148">
        <v>1421.719971</v>
      </c>
      <c r="H116" s="148">
        <v>27.05</v>
      </c>
      <c r="I116" s="125">
        <v>2082.6499020000001</v>
      </c>
      <c r="J116">
        <f t="shared" si="9"/>
        <v>1.3307984790874488E-2</v>
      </c>
      <c r="K116">
        <f t="shared" si="10"/>
        <v>-5.9297911869574307E-3</v>
      </c>
      <c r="L116">
        <f t="shared" si="11"/>
        <v>1.6206575682382051E-2</v>
      </c>
      <c r="M116">
        <f t="shared" si="12"/>
        <v>1.2672102526671516E-2</v>
      </c>
      <c r="N116">
        <f t="shared" si="13"/>
        <v>3.5605101442114602E-2</v>
      </c>
      <c r="O116">
        <f t="shared" si="14"/>
        <v>-1.7423152508517833E-2</v>
      </c>
      <c r="P116">
        <f t="shared" si="15"/>
        <v>1.6917293233082678E-2</v>
      </c>
      <c r="Q116">
        <f t="shared" si="16"/>
        <v>2.0156699485672353E-2</v>
      </c>
    </row>
    <row r="117" spans="1:17" x14ac:dyDescent="0.25">
      <c r="A117" s="139">
        <v>43951</v>
      </c>
      <c r="B117" s="148">
        <v>89.55</v>
      </c>
      <c r="C117" s="148">
        <v>210.449997</v>
      </c>
      <c r="D117" s="148">
        <v>4571.3999999999996</v>
      </c>
      <c r="E117" s="148">
        <v>1001.799988</v>
      </c>
      <c r="F117" s="148">
        <v>1758.7</v>
      </c>
      <c r="G117" s="148">
        <v>1452.2299800000001</v>
      </c>
      <c r="H117" s="148">
        <v>27.9</v>
      </c>
      <c r="I117" s="125">
        <v>2195</v>
      </c>
      <c r="J117">
        <f t="shared" si="9"/>
        <v>0.12007504690431513</v>
      </c>
      <c r="K117">
        <f t="shared" si="10"/>
        <v>4.2948889864725627E-3</v>
      </c>
      <c r="L117">
        <f t="shared" si="11"/>
        <v>-3.3465961737614573E-3</v>
      </c>
      <c r="M117">
        <f t="shared" si="12"/>
        <v>8.5373768147345597E-2</v>
      </c>
      <c r="N117">
        <f t="shared" si="13"/>
        <v>4.8843034351145093E-2</v>
      </c>
      <c r="O117">
        <f t="shared" si="14"/>
        <v>2.1459928552976685E-2</v>
      </c>
      <c r="P117">
        <f t="shared" si="15"/>
        <v>3.1423290203327091E-2</v>
      </c>
      <c r="Q117">
        <f t="shared" si="16"/>
        <v>5.3945743781568085E-2</v>
      </c>
    </row>
    <row r="118" spans="1:17" x14ac:dyDescent="0.25">
      <c r="A118" s="139">
        <v>43950</v>
      </c>
      <c r="B118" s="148">
        <v>79.150000000000006</v>
      </c>
      <c r="C118" s="148">
        <v>207.949997</v>
      </c>
      <c r="D118" s="148">
        <v>4187.6499999999996</v>
      </c>
      <c r="E118" s="148">
        <v>977.09997599999997</v>
      </c>
      <c r="F118" s="148">
        <v>1767.5</v>
      </c>
      <c r="G118" s="148">
        <v>1426.9499510000001</v>
      </c>
      <c r="H118" s="148">
        <v>28.05</v>
      </c>
      <c r="I118" s="125">
        <v>2231.75</v>
      </c>
      <c r="J118">
        <f t="shared" si="9"/>
        <v>-0.11613623673925172</v>
      </c>
      <c r="K118">
        <f t="shared" si="10"/>
        <v>-1.1879306417856591E-2</v>
      </c>
      <c r="L118">
        <f t="shared" si="11"/>
        <v>-8.3945837161482267E-2</v>
      </c>
      <c r="M118">
        <f t="shared" si="12"/>
        <v>-2.4655632157983231E-2</v>
      </c>
      <c r="N118">
        <f t="shared" si="13"/>
        <v>5.0036959117529733E-3</v>
      </c>
      <c r="O118">
        <f t="shared" si="14"/>
        <v>-1.7407731108815157E-2</v>
      </c>
      <c r="P118">
        <f t="shared" si="15"/>
        <v>5.3763440860215821E-3</v>
      </c>
      <c r="Q118">
        <f t="shared" si="16"/>
        <v>1.674259681093394E-2</v>
      </c>
    </row>
    <row r="119" spans="1:17" x14ac:dyDescent="0.25">
      <c r="A119" s="139">
        <v>43949</v>
      </c>
      <c r="B119" s="148">
        <v>76.849999999999994</v>
      </c>
      <c r="C119" s="148">
        <v>203.64999399999999</v>
      </c>
      <c r="D119" s="148">
        <v>4318.3500000000004</v>
      </c>
      <c r="E119" s="148">
        <v>931.40002400000003</v>
      </c>
      <c r="F119" s="148">
        <v>1824.4</v>
      </c>
      <c r="G119" s="148">
        <v>1428.150024</v>
      </c>
      <c r="H119" s="148">
        <v>27.25</v>
      </c>
      <c r="I119" s="125">
        <v>2289.9499510000001</v>
      </c>
      <c r="J119">
        <f t="shared" si="9"/>
        <v>-2.9058749210360217E-2</v>
      </c>
      <c r="K119">
        <f t="shared" si="10"/>
        <v>-2.0678062332455834E-2</v>
      </c>
      <c r="L119">
        <f t="shared" si="11"/>
        <v>3.1210822298902902E-2</v>
      </c>
      <c r="M119">
        <f t="shared" si="12"/>
        <v>-4.6771009233961887E-2</v>
      </c>
      <c r="N119">
        <f t="shared" si="13"/>
        <v>3.2192362093352245E-2</v>
      </c>
      <c r="O119">
        <f t="shared" si="14"/>
        <v>8.4100567028224716E-4</v>
      </c>
      <c r="P119">
        <f t="shared" si="15"/>
        <v>-2.8520499108734429E-2</v>
      </c>
      <c r="Q119">
        <f t="shared" si="16"/>
        <v>2.6078167805533799E-2</v>
      </c>
    </row>
    <row r="120" spans="1:17" x14ac:dyDescent="0.25">
      <c r="A120" s="139">
        <v>43948</v>
      </c>
      <c r="B120" s="148">
        <v>78.45</v>
      </c>
      <c r="C120" s="148">
        <v>200.64999399999999</v>
      </c>
      <c r="D120" s="148">
        <v>4200.6499999999996</v>
      </c>
      <c r="E120" s="148">
        <v>929.70001200000002</v>
      </c>
      <c r="F120" s="148">
        <v>1851.35</v>
      </c>
      <c r="G120" s="148">
        <v>1429.75</v>
      </c>
      <c r="H120" s="148">
        <v>27.05</v>
      </c>
      <c r="I120" s="125">
        <v>2320.4499510000001</v>
      </c>
      <c r="J120">
        <f t="shared" si="9"/>
        <v>2.081977878985047E-2</v>
      </c>
      <c r="K120">
        <f t="shared" si="10"/>
        <v>-1.4731156829791019E-2</v>
      </c>
      <c r="L120">
        <f t="shared" si="11"/>
        <v>-2.7255780564336082E-2</v>
      </c>
      <c r="M120">
        <f t="shared" si="12"/>
        <v>-1.8252221990494764E-3</v>
      </c>
      <c r="N120">
        <f t="shared" si="13"/>
        <v>1.4771979828984771E-2</v>
      </c>
      <c r="O120">
        <f t="shared" si="14"/>
        <v>1.1203136737124543E-3</v>
      </c>
      <c r="P120">
        <f t="shared" si="15"/>
        <v>-7.3394495412843772E-3</v>
      </c>
      <c r="Q120">
        <f t="shared" si="16"/>
        <v>1.3319068386923011E-2</v>
      </c>
    </row>
    <row r="121" spans="1:17" x14ac:dyDescent="0.25">
      <c r="A121" s="139">
        <v>43945</v>
      </c>
      <c r="B121" s="148">
        <v>77.95</v>
      </c>
      <c r="C121" s="148">
        <v>195.949997</v>
      </c>
      <c r="D121" s="148">
        <v>4202.3999999999996</v>
      </c>
      <c r="E121" s="148">
        <v>938.04998799999998</v>
      </c>
      <c r="F121" s="148">
        <v>1827.55</v>
      </c>
      <c r="G121" s="148">
        <v>1417</v>
      </c>
      <c r="H121" s="148">
        <v>26.6</v>
      </c>
      <c r="I121" s="125">
        <v>2283.1000979999999</v>
      </c>
      <c r="J121">
        <f t="shared" si="9"/>
        <v>-6.3734862970044612E-3</v>
      </c>
      <c r="K121">
        <f t="shared" si="10"/>
        <v>-2.3423858163683756E-2</v>
      </c>
      <c r="L121">
        <f t="shared" si="11"/>
        <v>4.1660219251782467E-4</v>
      </c>
      <c r="M121">
        <f t="shared" si="12"/>
        <v>8.9813659161273301E-3</v>
      </c>
      <c r="N121">
        <f t="shared" si="13"/>
        <v>-1.2855483836119565E-2</v>
      </c>
      <c r="O121">
        <f t="shared" si="14"/>
        <v>-8.9176429445707289E-3</v>
      </c>
      <c r="P121">
        <f t="shared" si="15"/>
        <v>-1.6635859519408477E-2</v>
      </c>
      <c r="Q121">
        <f t="shared" si="16"/>
        <v>-1.6095952849103343E-2</v>
      </c>
    </row>
    <row r="122" spans="1:17" x14ac:dyDescent="0.25">
      <c r="A122" s="139">
        <v>43944</v>
      </c>
      <c r="B122" s="148">
        <v>77.599999999999994</v>
      </c>
      <c r="C122" s="148">
        <v>200</v>
      </c>
      <c r="D122" s="148">
        <v>4170.3500000000004</v>
      </c>
      <c r="E122" s="148">
        <v>954.95001200000002</v>
      </c>
      <c r="F122" s="148">
        <v>1821.65</v>
      </c>
      <c r="G122" s="148">
        <v>1370.900024</v>
      </c>
      <c r="H122" s="148">
        <v>28.3</v>
      </c>
      <c r="I122" s="125">
        <v>2317.5</v>
      </c>
      <c r="J122">
        <f t="shared" si="9"/>
        <v>-4.4900577293137721E-3</v>
      </c>
      <c r="K122">
        <f t="shared" si="10"/>
        <v>2.0668553518783692E-2</v>
      </c>
      <c r="L122">
        <f t="shared" si="11"/>
        <v>-7.626594327051036E-3</v>
      </c>
      <c r="M122">
        <f t="shared" si="12"/>
        <v>1.8016123038423867E-2</v>
      </c>
      <c r="N122">
        <f t="shared" si="13"/>
        <v>-3.2283658449836468E-3</v>
      </c>
      <c r="O122">
        <f t="shared" si="14"/>
        <v>-3.253350458715594E-2</v>
      </c>
      <c r="P122">
        <f t="shared" si="15"/>
        <v>6.3909774436090194E-2</v>
      </c>
      <c r="Q122">
        <f t="shared" si="16"/>
        <v>1.5067189577073073E-2</v>
      </c>
    </row>
    <row r="123" spans="1:17" x14ac:dyDescent="0.25">
      <c r="A123" s="139">
        <v>43943</v>
      </c>
      <c r="B123" s="148">
        <v>76.099999999999994</v>
      </c>
      <c r="C123" s="148">
        <v>197.199997</v>
      </c>
      <c r="D123" s="148">
        <v>4193.25</v>
      </c>
      <c r="E123" s="148">
        <v>928.59997599999997</v>
      </c>
      <c r="F123" s="148">
        <v>1813</v>
      </c>
      <c r="G123" s="148">
        <v>1363.599976</v>
      </c>
      <c r="H123" s="148">
        <v>29.6</v>
      </c>
      <c r="I123" s="125">
        <v>2386.1499020000001</v>
      </c>
      <c r="J123">
        <f t="shared" si="9"/>
        <v>-1.9329896907216496E-2</v>
      </c>
      <c r="K123">
        <f t="shared" si="10"/>
        <v>-1.4000015000000018E-2</v>
      </c>
      <c r="L123">
        <f t="shared" si="11"/>
        <v>5.4911458270887658E-3</v>
      </c>
      <c r="M123">
        <f t="shared" si="12"/>
        <v>-2.7593105051450635E-2</v>
      </c>
      <c r="N123">
        <f t="shared" si="13"/>
        <v>-4.7484423462246265E-3</v>
      </c>
      <c r="O123">
        <f t="shared" si="14"/>
        <v>-5.3250039187394899E-3</v>
      </c>
      <c r="P123">
        <f t="shared" si="15"/>
        <v>4.5936395759717336E-2</v>
      </c>
      <c r="Q123">
        <f t="shared" si="16"/>
        <v>2.9622395685005441E-2</v>
      </c>
    </row>
    <row r="124" spans="1:17" x14ac:dyDescent="0.25">
      <c r="A124" s="139">
        <v>43942</v>
      </c>
      <c r="B124" s="148">
        <v>78.45</v>
      </c>
      <c r="C124" s="148">
        <v>191.300003</v>
      </c>
      <c r="D124" s="148">
        <v>4109.6499999999996</v>
      </c>
      <c r="E124" s="148">
        <v>921.65002400000003</v>
      </c>
      <c r="F124" s="148">
        <v>1726</v>
      </c>
      <c r="G124" s="148">
        <v>1237.349976</v>
      </c>
      <c r="H124" s="148">
        <v>29.65</v>
      </c>
      <c r="I124" s="125">
        <v>2317.3999020000001</v>
      </c>
      <c r="J124">
        <f t="shared" si="9"/>
        <v>3.0880420499343083E-2</v>
      </c>
      <c r="K124">
        <f t="shared" si="10"/>
        <v>-2.9918834126554234E-2</v>
      </c>
      <c r="L124">
        <f t="shared" si="11"/>
        <v>-1.9936803195612082E-2</v>
      </c>
      <c r="M124">
        <f t="shared" si="12"/>
        <v>-7.4843335985612163E-3</v>
      </c>
      <c r="N124">
        <f t="shared" si="13"/>
        <v>-4.7986762272476557E-2</v>
      </c>
      <c r="O124">
        <f t="shared" si="14"/>
        <v>-9.2585803917614617E-2</v>
      </c>
      <c r="P124">
        <f t="shared" si="15"/>
        <v>1.689189189189093E-3</v>
      </c>
      <c r="Q124">
        <f t="shared" si="16"/>
        <v>-2.8812104362083785E-2</v>
      </c>
    </row>
    <row r="125" spans="1:17" x14ac:dyDescent="0.25">
      <c r="A125" s="139">
        <v>43941</v>
      </c>
      <c r="B125" s="148">
        <v>81.45</v>
      </c>
      <c r="C125" s="148">
        <v>200.75</v>
      </c>
      <c r="D125" s="148">
        <v>3966.1</v>
      </c>
      <c r="E125" s="148">
        <v>944.84997599999997</v>
      </c>
      <c r="F125" s="148">
        <v>1730.45</v>
      </c>
      <c r="G125" s="148">
        <v>1243.8000489999999</v>
      </c>
      <c r="H125" s="148">
        <v>29.45</v>
      </c>
      <c r="I125" s="125">
        <v>2336.5500489999999</v>
      </c>
      <c r="J125">
        <f t="shared" si="9"/>
        <v>3.8240917782026769E-2</v>
      </c>
      <c r="K125">
        <f t="shared" si="10"/>
        <v>4.9398833517007294E-2</v>
      </c>
      <c r="L125">
        <f t="shared" si="11"/>
        <v>-3.4929981871935502E-2</v>
      </c>
      <c r="M125">
        <f t="shared" si="12"/>
        <v>2.5172192693394796E-2</v>
      </c>
      <c r="N125">
        <f t="shared" si="13"/>
        <v>2.5782155272306173E-3</v>
      </c>
      <c r="O125">
        <f t="shared" si="14"/>
        <v>5.2128121591364339E-3</v>
      </c>
      <c r="P125">
        <f t="shared" si="15"/>
        <v>-6.7453625632377502E-3</v>
      </c>
      <c r="Q125">
        <f t="shared" si="16"/>
        <v>8.2636350262518619E-3</v>
      </c>
    </row>
    <row r="126" spans="1:17" x14ac:dyDescent="0.25">
      <c r="A126" s="139">
        <v>43938</v>
      </c>
      <c r="B126" s="148">
        <v>84.1</v>
      </c>
      <c r="C126" s="148">
        <v>198.949997</v>
      </c>
      <c r="D126" s="148">
        <v>3896.8</v>
      </c>
      <c r="E126" s="148">
        <v>910.29998799999998</v>
      </c>
      <c r="F126" s="148">
        <v>1756.25</v>
      </c>
      <c r="G126" s="148">
        <v>1224</v>
      </c>
      <c r="H126" s="148">
        <v>25.1</v>
      </c>
      <c r="I126" s="125">
        <v>2385</v>
      </c>
      <c r="J126">
        <f t="shared" si="9"/>
        <v>3.2535297728667791E-2</v>
      </c>
      <c r="K126">
        <f t="shared" si="10"/>
        <v>-8.9663910336239289E-3</v>
      </c>
      <c r="L126">
        <f t="shared" si="11"/>
        <v>-1.7473084390206936E-2</v>
      </c>
      <c r="M126">
        <f t="shared" si="12"/>
        <v>-3.6566639019526191E-2</v>
      </c>
      <c r="N126">
        <f t="shared" si="13"/>
        <v>1.4909416625733165E-2</v>
      </c>
      <c r="O126">
        <f t="shared" si="14"/>
        <v>-1.5918996800103797E-2</v>
      </c>
      <c r="P126">
        <f t="shared" si="15"/>
        <v>-0.14770797962648549</v>
      </c>
      <c r="Q126">
        <f t="shared" si="16"/>
        <v>2.0735678664677324E-2</v>
      </c>
    </row>
    <row r="127" spans="1:17" x14ac:dyDescent="0.25">
      <c r="A127" s="139">
        <v>43937</v>
      </c>
      <c r="B127" s="148">
        <v>82.7</v>
      </c>
      <c r="C127" s="148">
        <v>193.85000600000001</v>
      </c>
      <c r="D127" s="148">
        <v>3910.45</v>
      </c>
      <c r="E127" s="148">
        <v>879.75</v>
      </c>
      <c r="F127" s="148">
        <v>1743.1</v>
      </c>
      <c r="G127" s="148">
        <v>1168.0500489999999</v>
      </c>
      <c r="H127" s="148">
        <v>24.6</v>
      </c>
      <c r="I127" s="125">
        <v>2436.1000979999999</v>
      </c>
      <c r="J127">
        <f t="shared" si="9"/>
        <v>-1.6646848989298354E-2</v>
      </c>
      <c r="K127">
        <f t="shared" si="10"/>
        <v>-2.5634536702204568E-2</v>
      </c>
      <c r="L127">
        <f t="shared" si="11"/>
        <v>3.50287415315121E-3</v>
      </c>
      <c r="M127">
        <f t="shared" si="12"/>
        <v>-3.3560351974870055E-2</v>
      </c>
      <c r="N127">
        <f t="shared" si="13"/>
        <v>-7.4875444839858172E-3</v>
      </c>
      <c r="O127">
        <f t="shared" si="14"/>
        <v>-4.5710744281045795E-2</v>
      </c>
      <c r="P127">
        <f t="shared" si="15"/>
        <v>-1.9920318725099601E-2</v>
      </c>
      <c r="Q127">
        <f t="shared" si="16"/>
        <v>2.1425617610062845E-2</v>
      </c>
    </row>
    <row r="128" spans="1:17" x14ac:dyDescent="0.25">
      <c r="A128" s="139">
        <v>43936</v>
      </c>
      <c r="B128" s="148">
        <v>78.599999999999994</v>
      </c>
      <c r="C128" s="148">
        <v>187.800003</v>
      </c>
      <c r="D128" s="148">
        <v>3699.3</v>
      </c>
      <c r="E128" s="148">
        <v>863.29998799999998</v>
      </c>
      <c r="F128" s="148">
        <v>1718.2</v>
      </c>
      <c r="G128" s="148">
        <v>1149.849976</v>
      </c>
      <c r="H128" s="148">
        <v>24.5</v>
      </c>
      <c r="I128" s="125">
        <v>2487.5500489999999</v>
      </c>
      <c r="J128">
        <f t="shared" si="9"/>
        <v>-4.9576783555018239E-2</v>
      </c>
      <c r="K128">
        <f t="shared" si="10"/>
        <v>-3.1209712730161088E-2</v>
      </c>
      <c r="L128">
        <f t="shared" si="11"/>
        <v>-5.3996343131864528E-2</v>
      </c>
      <c r="M128">
        <f t="shared" si="12"/>
        <v>-1.8698507530548469E-2</v>
      </c>
      <c r="N128">
        <f t="shared" si="13"/>
        <v>-1.4284894727783756E-2</v>
      </c>
      <c r="O128">
        <f t="shared" si="14"/>
        <v>-1.5581586607167699E-2</v>
      </c>
      <c r="P128">
        <f t="shared" si="15"/>
        <v>-4.0650406504065617E-3</v>
      </c>
      <c r="Q128">
        <f t="shared" si="16"/>
        <v>2.1119801703649067E-2</v>
      </c>
    </row>
    <row r="129" spans="1:17" x14ac:dyDescent="0.25">
      <c r="A129" s="139">
        <v>43934</v>
      </c>
      <c r="B129" s="148">
        <v>78.3</v>
      </c>
      <c r="C129" s="148">
        <v>183.35000600000001</v>
      </c>
      <c r="D129" s="148">
        <v>3687.75</v>
      </c>
      <c r="E129" s="148">
        <v>895.34997599999997</v>
      </c>
      <c r="F129" s="148">
        <v>1680.85</v>
      </c>
      <c r="G129" s="148">
        <v>1189.150024</v>
      </c>
      <c r="H129" s="148">
        <v>24.1</v>
      </c>
      <c r="I129" s="125">
        <v>2346.4499510000001</v>
      </c>
      <c r="J129">
        <f t="shared" si="9"/>
        <v>-3.8167938931297353E-3</v>
      </c>
      <c r="K129">
        <f t="shared" si="10"/>
        <v>-2.3695404307315138E-2</v>
      </c>
      <c r="L129">
        <f t="shared" si="11"/>
        <v>-3.1222123104371587E-3</v>
      </c>
      <c r="M129">
        <f t="shared" si="12"/>
        <v>3.7124972136568575E-2</v>
      </c>
      <c r="N129">
        <f t="shared" si="13"/>
        <v>-2.1737865207775656E-2</v>
      </c>
      <c r="O129">
        <f t="shared" si="14"/>
        <v>3.4178413549838665E-2</v>
      </c>
      <c r="P129">
        <f t="shared" si="15"/>
        <v>-1.632653061224484E-2</v>
      </c>
      <c r="Q129">
        <f t="shared" si="16"/>
        <v>-5.6722516219009304E-2</v>
      </c>
    </row>
    <row r="130" spans="1:17" x14ac:dyDescent="0.25">
      <c r="A130" s="139">
        <v>43930</v>
      </c>
      <c r="B130" s="148">
        <v>76.8</v>
      </c>
      <c r="C130" s="148">
        <v>174.75</v>
      </c>
      <c r="D130" s="148">
        <v>3836.55</v>
      </c>
      <c r="E130" s="148">
        <v>925.04998799999998</v>
      </c>
      <c r="F130" s="148">
        <v>1651.35</v>
      </c>
      <c r="G130" s="148">
        <v>1219.9499510000001</v>
      </c>
      <c r="H130" s="148">
        <v>24.9</v>
      </c>
      <c r="I130" s="125">
        <v>2372.25</v>
      </c>
      <c r="J130">
        <f t="shared" si="9"/>
        <v>-1.9157088122605366E-2</v>
      </c>
      <c r="K130">
        <f t="shared" si="10"/>
        <v>-4.6904858023293479E-2</v>
      </c>
      <c r="L130">
        <f t="shared" si="11"/>
        <v>4.034980679275986E-2</v>
      </c>
      <c r="M130">
        <f t="shared" si="12"/>
        <v>3.3171399783451849E-2</v>
      </c>
      <c r="N130">
        <f t="shared" si="13"/>
        <v>-1.7550644019394952E-2</v>
      </c>
      <c r="O130">
        <f t="shared" si="14"/>
        <v>2.5900791639726715E-2</v>
      </c>
      <c r="P130">
        <f t="shared" si="15"/>
        <v>3.3195020746887849E-2</v>
      </c>
      <c r="Q130">
        <f t="shared" si="16"/>
        <v>1.0995354488172479E-2</v>
      </c>
    </row>
    <row r="131" spans="1:17" x14ac:dyDescent="0.25">
      <c r="A131" s="139">
        <v>43929</v>
      </c>
      <c r="B131" s="148">
        <v>70.3</v>
      </c>
      <c r="C131" s="148">
        <v>166.449997</v>
      </c>
      <c r="D131" s="148">
        <v>3769.25</v>
      </c>
      <c r="E131" s="148">
        <v>888.90002400000003</v>
      </c>
      <c r="F131" s="148">
        <v>1608.95</v>
      </c>
      <c r="G131" s="148">
        <v>1192.150024</v>
      </c>
      <c r="H131" s="148">
        <v>24.75</v>
      </c>
      <c r="I131" s="125">
        <v>2460.8500979999999</v>
      </c>
      <c r="J131">
        <f t="shared" si="9"/>
        <v>-8.4635416666666671E-2</v>
      </c>
      <c r="K131">
        <f t="shared" si="10"/>
        <v>-4.7496440629470692E-2</v>
      </c>
      <c r="L131">
        <f t="shared" si="11"/>
        <v>-1.7541801879292641E-2</v>
      </c>
      <c r="M131">
        <f t="shared" si="12"/>
        <v>-3.9078930294521502E-2</v>
      </c>
      <c r="N131">
        <f t="shared" si="13"/>
        <v>-2.5675962091621925E-2</v>
      </c>
      <c r="O131">
        <f t="shared" si="14"/>
        <v>-2.2787760249682591E-2</v>
      </c>
      <c r="P131">
        <f t="shared" si="15"/>
        <v>-6.0240963855421117E-3</v>
      </c>
      <c r="Q131">
        <f t="shared" si="16"/>
        <v>3.7348550110654397E-2</v>
      </c>
    </row>
    <row r="132" spans="1:17" x14ac:dyDescent="0.25">
      <c r="A132" s="139">
        <v>43928</v>
      </c>
      <c r="B132" s="148">
        <v>66.75</v>
      </c>
      <c r="C132" s="148">
        <v>158.949997</v>
      </c>
      <c r="D132" s="148">
        <v>3754.9</v>
      </c>
      <c r="E132" s="148">
        <v>896.09997599999997</v>
      </c>
      <c r="F132" s="148">
        <v>1623.8</v>
      </c>
      <c r="G132" s="148">
        <v>1206.099976</v>
      </c>
      <c r="H132" s="148">
        <v>24.55</v>
      </c>
      <c r="I132" s="125">
        <v>2444.8999020000001</v>
      </c>
      <c r="J132">
        <f t="shared" ref="J132:J195" si="17">(B132-B131)/B131</f>
        <v>-5.0497866287339932E-2</v>
      </c>
      <c r="K132">
        <f t="shared" ref="K132:K195" si="18">(C132-C131)/C131</f>
        <v>-4.5058576961103824E-2</v>
      </c>
      <c r="L132">
        <f t="shared" ref="L132:L195" si="19">(D132-D131)/D131</f>
        <v>-3.807123433043685E-3</v>
      </c>
      <c r="M132">
        <f t="shared" ref="M132:M195" si="20">(E132-E131)/E131</f>
        <v>8.0998445332474637E-3</v>
      </c>
      <c r="N132">
        <f t="shared" ref="N132:N195" si="21">(F132-F131)/F131</f>
        <v>9.2296218030391928E-3</v>
      </c>
      <c r="O132">
        <f t="shared" ref="O132:O195" si="22">(G132-G131)/G131</f>
        <v>1.1701507125079703E-2</v>
      </c>
      <c r="P132">
        <f t="shared" ref="P132:P195" si="23">(H132-H131)/H131</f>
        <v>-8.0808080808080513E-3</v>
      </c>
      <c r="Q132">
        <f t="shared" ref="Q132:Q195" si="24">(I132-I131)/I131</f>
        <v>-6.4815796837698232E-3</v>
      </c>
    </row>
    <row r="133" spans="1:17" x14ac:dyDescent="0.25">
      <c r="A133" s="139">
        <v>43924</v>
      </c>
      <c r="B133" s="148">
        <v>62.8</v>
      </c>
      <c r="C133" s="148">
        <v>151.89999399999999</v>
      </c>
      <c r="D133" s="148">
        <v>3429.35</v>
      </c>
      <c r="E133" s="148">
        <v>813.84997599999997</v>
      </c>
      <c r="F133" s="148">
        <v>1520.9</v>
      </c>
      <c r="G133" s="148">
        <v>1077.4499510000001</v>
      </c>
      <c r="H133" s="148">
        <v>24.1</v>
      </c>
      <c r="I133" s="125">
        <v>2154.1000979999999</v>
      </c>
      <c r="J133">
        <f t="shared" si="17"/>
        <v>-5.917602996254686E-2</v>
      </c>
      <c r="K133">
        <f t="shared" si="18"/>
        <v>-4.4353590016110563E-2</v>
      </c>
      <c r="L133">
        <f t="shared" si="19"/>
        <v>-8.670004527417513E-2</v>
      </c>
      <c r="M133">
        <f t="shared" si="20"/>
        <v>-9.1786633414662658E-2</v>
      </c>
      <c r="N133">
        <f t="shared" si="21"/>
        <v>-6.3369873137085767E-2</v>
      </c>
      <c r="O133">
        <f t="shared" si="22"/>
        <v>-0.10666613677140138</v>
      </c>
      <c r="P133">
        <f t="shared" si="23"/>
        <v>-1.8329938900203638E-2</v>
      </c>
      <c r="Q133">
        <f t="shared" si="24"/>
        <v>-0.11894139459947518</v>
      </c>
    </row>
    <row r="134" spans="1:17" x14ac:dyDescent="0.25">
      <c r="A134" s="139">
        <v>43922</v>
      </c>
      <c r="B134" s="148">
        <v>62.65</v>
      </c>
      <c r="C134" s="148">
        <v>152.89999399999999</v>
      </c>
      <c r="D134" s="148">
        <v>3572.95</v>
      </c>
      <c r="E134" s="148">
        <v>829.65002400000003</v>
      </c>
      <c r="F134" s="148">
        <v>1603.2</v>
      </c>
      <c r="G134" s="148">
        <v>1080.4499510000001</v>
      </c>
      <c r="H134" s="148">
        <v>23.95</v>
      </c>
      <c r="I134" s="125">
        <v>2179.6499020000001</v>
      </c>
      <c r="J134">
        <f t="shared" si="17"/>
        <v>-2.3885350318471111E-3</v>
      </c>
      <c r="K134">
        <f t="shared" si="18"/>
        <v>6.5832787327167377E-3</v>
      </c>
      <c r="L134">
        <f t="shared" si="19"/>
        <v>4.187382448568968E-2</v>
      </c>
      <c r="M134">
        <f t="shared" si="20"/>
        <v>1.9413956461184514E-2</v>
      </c>
      <c r="N134">
        <f t="shared" si="21"/>
        <v>5.4112696429745512E-2</v>
      </c>
      <c r="O134">
        <f t="shared" si="22"/>
        <v>2.7843520687115425E-3</v>
      </c>
      <c r="P134">
        <f t="shared" si="23"/>
        <v>-6.2240663900415818E-3</v>
      </c>
      <c r="Q134">
        <f t="shared" si="24"/>
        <v>1.1861010555508653E-2</v>
      </c>
    </row>
    <row r="135" spans="1:17" x14ac:dyDescent="0.25">
      <c r="A135" s="139">
        <v>43921</v>
      </c>
      <c r="B135" s="148">
        <v>64.7</v>
      </c>
      <c r="C135" s="148">
        <v>153.25</v>
      </c>
      <c r="D135" s="148">
        <v>3579.85</v>
      </c>
      <c r="E135" s="148">
        <v>861.90002400000003</v>
      </c>
      <c r="F135" s="148">
        <v>1666.5</v>
      </c>
      <c r="G135" s="148">
        <v>1113.75</v>
      </c>
      <c r="H135" s="148">
        <v>22.45</v>
      </c>
      <c r="I135" s="125">
        <v>2298.5</v>
      </c>
      <c r="J135">
        <f t="shared" si="17"/>
        <v>3.2721468475658488E-2</v>
      </c>
      <c r="K135">
        <f t="shared" si="18"/>
        <v>2.2891171598084406E-3</v>
      </c>
      <c r="L135">
        <f t="shared" si="19"/>
        <v>1.9311773184623605E-3</v>
      </c>
      <c r="M135">
        <f t="shared" si="20"/>
        <v>3.8871812290817216E-2</v>
      </c>
      <c r="N135">
        <f t="shared" si="21"/>
        <v>3.9483532934131704E-2</v>
      </c>
      <c r="O135">
        <f t="shared" si="22"/>
        <v>3.0820538211121584E-2</v>
      </c>
      <c r="P135">
        <f t="shared" si="23"/>
        <v>-6.2630480167014613E-2</v>
      </c>
      <c r="Q135">
        <f t="shared" si="24"/>
        <v>5.4527150388209399E-2</v>
      </c>
    </row>
    <row r="136" spans="1:17" x14ac:dyDescent="0.25">
      <c r="A136" s="139">
        <v>43920</v>
      </c>
      <c r="B136" s="148">
        <v>61.55</v>
      </c>
      <c r="C136" s="148">
        <v>146.949997</v>
      </c>
      <c r="D136" s="148">
        <v>3188</v>
      </c>
      <c r="E136" s="148">
        <v>831.65002400000003</v>
      </c>
      <c r="F136" s="148">
        <v>1594.95</v>
      </c>
      <c r="G136" s="148">
        <v>1030.4499510000001</v>
      </c>
      <c r="H136" s="148">
        <v>24.9</v>
      </c>
      <c r="I136" s="125">
        <v>2184.3500979999999</v>
      </c>
      <c r="J136">
        <f t="shared" si="17"/>
        <v>-4.8686244204018632E-2</v>
      </c>
      <c r="K136">
        <f t="shared" si="18"/>
        <v>-4.1109318107667235E-2</v>
      </c>
      <c r="L136">
        <f t="shared" si="19"/>
        <v>-0.10945989357095966</v>
      </c>
      <c r="M136">
        <f t="shared" si="20"/>
        <v>-3.5096878010993073E-2</v>
      </c>
      <c r="N136">
        <f t="shared" si="21"/>
        <v>-4.2934293429342907E-2</v>
      </c>
      <c r="O136">
        <f t="shared" si="22"/>
        <v>-7.4792412121212071E-2</v>
      </c>
      <c r="P136">
        <f t="shared" si="23"/>
        <v>0.10913140311804007</v>
      </c>
      <c r="Q136">
        <f t="shared" si="24"/>
        <v>-4.9662780944094022E-2</v>
      </c>
    </row>
    <row r="137" spans="1:17" x14ac:dyDescent="0.25">
      <c r="A137" s="139">
        <v>43917</v>
      </c>
      <c r="B137" s="148">
        <v>63.75</v>
      </c>
      <c r="C137" s="148">
        <v>148.75</v>
      </c>
      <c r="D137" s="148">
        <v>3391.35</v>
      </c>
      <c r="E137" s="148">
        <v>904.45001200000002</v>
      </c>
      <c r="F137" s="148">
        <v>1604.15</v>
      </c>
      <c r="G137" s="148">
        <v>1065.599976</v>
      </c>
      <c r="H137" s="148">
        <v>26.35</v>
      </c>
      <c r="I137" s="125">
        <v>2140.5500489999999</v>
      </c>
      <c r="J137">
        <f t="shared" si="17"/>
        <v>3.5743298131600376E-2</v>
      </c>
      <c r="K137">
        <f t="shared" si="18"/>
        <v>1.2249084972761204E-2</v>
      </c>
      <c r="L137">
        <f t="shared" si="19"/>
        <v>6.3786072772898342E-2</v>
      </c>
      <c r="M137">
        <f t="shared" si="20"/>
        <v>8.7536807429948418E-2</v>
      </c>
      <c r="N137">
        <f t="shared" si="21"/>
        <v>5.7682058998714978E-3</v>
      </c>
      <c r="O137">
        <f t="shared" si="22"/>
        <v>3.4111336475768257E-2</v>
      </c>
      <c r="P137">
        <f t="shared" si="23"/>
        <v>5.8232931726907751E-2</v>
      </c>
      <c r="Q137">
        <f t="shared" si="24"/>
        <v>-2.0051753169102085E-2</v>
      </c>
    </row>
    <row r="138" spans="1:17" x14ac:dyDescent="0.25">
      <c r="A138" s="139">
        <v>43916</v>
      </c>
      <c r="B138" s="148">
        <v>65.8</v>
      </c>
      <c r="C138" s="148">
        <v>152.10000600000001</v>
      </c>
      <c r="D138" s="148">
        <v>3331.85</v>
      </c>
      <c r="E138" s="148">
        <v>901.09997599999997</v>
      </c>
      <c r="F138" s="148">
        <v>1616.95</v>
      </c>
      <c r="G138" s="148">
        <v>1066.1999510000001</v>
      </c>
      <c r="H138" s="148">
        <v>26.6</v>
      </c>
      <c r="I138" s="125">
        <v>2194.8999020000001</v>
      </c>
      <c r="J138">
        <f t="shared" si="17"/>
        <v>3.2156862745097992E-2</v>
      </c>
      <c r="K138">
        <f t="shared" si="18"/>
        <v>2.2521048739495848E-2</v>
      </c>
      <c r="L138">
        <f t="shared" si="19"/>
        <v>-1.7544635617084643E-2</v>
      </c>
      <c r="M138">
        <f t="shared" si="20"/>
        <v>-3.7039482067031532E-3</v>
      </c>
      <c r="N138">
        <f t="shared" si="21"/>
        <v>7.9793036810771774E-3</v>
      </c>
      <c r="O138">
        <f t="shared" si="22"/>
        <v>5.6303961478325511E-4</v>
      </c>
      <c r="P138">
        <f t="shared" si="23"/>
        <v>9.4876660341555973E-3</v>
      </c>
      <c r="Q138">
        <f t="shared" si="24"/>
        <v>2.5390601366873329E-2</v>
      </c>
    </row>
    <row r="139" spans="1:17" x14ac:dyDescent="0.25">
      <c r="A139" s="139">
        <v>43915</v>
      </c>
      <c r="B139" s="148">
        <v>64.2</v>
      </c>
      <c r="C139" s="148">
        <v>148.10000600000001</v>
      </c>
      <c r="D139" s="148">
        <v>3261.25</v>
      </c>
      <c r="E139" s="148">
        <v>856.75</v>
      </c>
      <c r="F139" s="148">
        <v>1593.15</v>
      </c>
      <c r="G139" s="148">
        <v>1082.25</v>
      </c>
      <c r="H139" s="148">
        <v>29.6</v>
      </c>
      <c r="I139" s="125">
        <v>2088.1499020000001</v>
      </c>
      <c r="J139">
        <f t="shared" si="17"/>
        <v>-2.4316109422492314E-2</v>
      </c>
      <c r="K139">
        <f t="shared" si="18"/>
        <v>-2.629848679953372E-2</v>
      </c>
      <c r="L139">
        <f t="shared" si="19"/>
        <v>-2.1189429296036708E-2</v>
      </c>
      <c r="M139">
        <f t="shared" si="20"/>
        <v>-4.9217597582091127E-2</v>
      </c>
      <c r="N139">
        <f t="shared" si="21"/>
        <v>-1.4719069853736945E-2</v>
      </c>
      <c r="O139">
        <f t="shared" si="22"/>
        <v>1.5053507538568574E-2</v>
      </c>
      <c r="P139">
        <f t="shared" si="23"/>
        <v>0.11278195488721804</v>
      </c>
      <c r="Q139">
        <f t="shared" si="24"/>
        <v>-4.8635475313807727E-2</v>
      </c>
    </row>
    <row r="140" spans="1:17" x14ac:dyDescent="0.25">
      <c r="A140" s="139">
        <v>43914</v>
      </c>
      <c r="B140" s="148">
        <v>62.8</v>
      </c>
      <c r="C140" s="148">
        <v>141.300003</v>
      </c>
      <c r="D140" s="148">
        <v>3184.05</v>
      </c>
      <c r="E140" s="148">
        <v>767.70001200000002</v>
      </c>
      <c r="F140" s="148">
        <v>1524.85</v>
      </c>
      <c r="G140" s="148">
        <v>943.40002400000003</v>
      </c>
      <c r="H140" s="148">
        <v>35</v>
      </c>
      <c r="I140" s="125">
        <v>2027.849976</v>
      </c>
      <c r="J140">
        <f t="shared" si="17"/>
        <v>-2.1806853582554606E-2</v>
      </c>
      <c r="K140">
        <f t="shared" si="18"/>
        <v>-4.5914940746187433E-2</v>
      </c>
      <c r="L140">
        <f t="shared" si="19"/>
        <v>-2.3671904944423096E-2</v>
      </c>
      <c r="M140">
        <f t="shared" si="20"/>
        <v>-0.10393929150860809</v>
      </c>
      <c r="N140">
        <f t="shared" si="21"/>
        <v>-4.287104164705155E-2</v>
      </c>
      <c r="O140">
        <f t="shared" si="22"/>
        <v>-0.12829750612150609</v>
      </c>
      <c r="P140">
        <f t="shared" si="23"/>
        <v>0.18243243243243237</v>
      </c>
      <c r="Q140">
        <f t="shared" si="24"/>
        <v>-2.8877201747942394E-2</v>
      </c>
    </row>
    <row r="141" spans="1:17" x14ac:dyDescent="0.25">
      <c r="A141" s="139">
        <v>43913</v>
      </c>
      <c r="B141" s="148">
        <v>62.65</v>
      </c>
      <c r="C141" s="148">
        <v>135.25</v>
      </c>
      <c r="D141" s="148">
        <v>3216.85</v>
      </c>
      <c r="E141" s="148">
        <v>771.54998799999998</v>
      </c>
      <c r="F141" s="148">
        <v>1498.45</v>
      </c>
      <c r="G141" s="148">
        <v>884.04998799999998</v>
      </c>
      <c r="H141" s="148">
        <v>39.75</v>
      </c>
      <c r="I141" s="125">
        <v>1869.6999510000001</v>
      </c>
      <c r="J141">
        <f t="shared" si="17"/>
        <v>-2.3885350318471111E-3</v>
      </c>
      <c r="K141">
        <f t="shared" si="18"/>
        <v>-4.2816722374733447E-2</v>
      </c>
      <c r="L141">
        <f t="shared" si="19"/>
        <v>1.0301345770323872E-2</v>
      </c>
      <c r="M141">
        <f t="shared" si="20"/>
        <v>5.0149484692205131E-3</v>
      </c>
      <c r="N141">
        <f t="shared" si="21"/>
        <v>-1.7313178345410934E-2</v>
      </c>
      <c r="O141">
        <f t="shared" si="22"/>
        <v>-6.2910784916410015E-2</v>
      </c>
      <c r="P141">
        <f t="shared" si="23"/>
        <v>0.1357142857142857</v>
      </c>
      <c r="Q141">
        <f t="shared" si="24"/>
        <v>-7.7989016382738516E-2</v>
      </c>
    </row>
    <row r="142" spans="1:17" x14ac:dyDescent="0.25">
      <c r="A142" s="139">
        <v>43910</v>
      </c>
      <c r="B142" s="148">
        <v>75.45</v>
      </c>
      <c r="C142" s="148">
        <v>142.35000600000001</v>
      </c>
      <c r="D142" s="148">
        <v>3570</v>
      </c>
      <c r="E142" s="148">
        <v>882.84997599999997</v>
      </c>
      <c r="F142" s="148">
        <v>1742.95</v>
      </c>
      <c r="G142" s="148">
        <v>1017.950012</v>
      </c>
      <c r="H142" s="148">
        <v>45.85</v>
      </c>
      <c r="I142" s="125">
        <v>2051.6999510000001</v>
      </c>
      <c r="J142">
        <f t="shared" si="17"/>
        <v>0.20430965682362337</v>
      </c>
      <c r="K142">
        <f t="shared" si="18"/>
        <v>5.2495423290203382E-2</v>
      </c>
      <c r="L142">
        <f t="shared" si="19"/>
        <v>0.10978130780110981</v>
      </c>
      <c r="M142">
        <f t="shared" si="20"/>
        <v>0.14425505765155944</v>
      </c>
      <c r="N142">
        <f t="shared" si="21"/>
        <v>0.16316860756114651</v>
      </c>
      <c r="O142">
        <f t="shared" si="22"/>
        <v>0.15146205058259674</v>
      </c>
      <c r="P142">
        <f t="shared" si="23"/>
        <v>0.1534591194968554</v>
      </c>
      <c r="Q142">
        <f t="shared" si="24"/>
        <v>9.7341822094319561E-2</v>
      </c>
    </row>
    <row r="143" spans="1:17" x14ac:dyDescent="0.25">
      <c r="A143" s="139">
        <v>43909</v>
      </c>
      <c r="B143" s="148">
        <v>69.349999999999994</v>
      </c>
      <c r="C143" s="148">
        <v>135.64999399999999</v>
      </c>
      <c r="D143" s="148">
        <v>3248.85</v>
      </c>
      <c r="E143" s="148">
        <v>895.54998799999998</v>
      </c>
      <c r="F143" s="148">
        <v>1601.2</v>
      </c>
      <c r="G143" s="148">
        <v>917.70001200000002</v>
      </c>
      <c r="H143" s="148">
        <v>53.85</v>
      </c>
      <c r="I143" s="125">
        <v>1838.3000489999999</v>
      </c>
      <c r="J143">
        <f t="shared" si="17"/>
        <v>-8.0848243870112774E-2</v>
      </c>
      <c r="K143">
        <f t="shared" si="18"/>
        <v>-4.7067170478377184E-2</v>
      </c>
      <c r="L143">
        <f t="shared" si="19"/>
        <v>-8.995798319327733E-2</v>
      </c>
      <c r="M143">
        <f t="shared" si="20"/>
        <v>1.438524363736293E-2</v>
      </c>
      <c r="N143">
        <f t="shared" si="21"/>
        <v>-8.1327634183424646E-2</v>
      </c>
      <c r="O143">
        <f t="shared" si="22"/>
        <v>-9.8482242564185946E-2</v>
      </c>
      <c r="P143">
        <f t="shared" si="23"/>
        <v>0.17448200654307525</v>
      </c>
      <c r="Q143">
        <f t="shared" si="24"/>
        <v>-0.10401126241485206</v>
      </c>
    </row>
    <row r="144" spans="1:17" x14ac:dyDescent="0.25">
      <c r="A144" s="139">
        <v>43908</v>
      </c>
      <c r="B144" s="148">
        <v>72.95</v>
      </c>
      <c r="C144" s="148">
        <v>129.39999399999999</v>
      </c>
      <c r="D144" s="148">
        <v>3598.15</v>
      </c>
      <c r="E144" s="148">
        <v>876.90002400000003</v>
      </c>
      <c r="F144" s="148">
        <v>1618.2</v>
      </c>
      <c r="G144" s="148">
        <v>968.5</v>
      </c>
      <c r="H144" s="148">
        <v>60.45</v>
      </c>
      <c r="I144" s="125">
        <v>1923.8000489999999</v>
      </c>
      <c r="J144">
        <f t="shared" si="17"/>
        <v>5.1910598413842955E-2</v>
      </c>
      <c r="K144">
        <f t="shared" si="18"/>
        <v>-4.6074458359356807E-2</v>
      </c>
      <c r="L144">
        <f t="shared" si="19"/>
        <v>0.10751496683441839</v>
      </c>
      <c r="M144">
        <f t="shared" si="20"/>
        <v>-2.0825151303558449E-2</v>
      </c>
      <c r="N144">
        <f t="shared" si="21"/>
        <v>1.0617037222083438E-2</v>
      </c>
      <c r="O144">
        <f t="shared" si="22"/>
        <v>5.5355766956228375E-2</v>
      </c>
      <c r="P144">
        <f t="shared" si="23"/>
        <v>0.12256267409470754</v>
      </c>
      <c r="Q144">
        <f t="shared" si="24"/>
        <v>4.6510361595491642E-2</v>
      </c>
    </row>
    <row r="145" spans="1:17" x14ac:dyDescent="0.25">
      <c r="A145" s="139">
        <v>43907</v>
      </c>
      <c r="B145" s="148">
        <v>75</v>
      </c>
      <c r="C145" s="148">
        <v>123.400002</v>
      </c>
      <c r="D145" s="148">
        <v>3830.65</v>
      </c>
      <c r="E145" s="148">
        <v>975.09997599999997</v>
      </c>
      <c r="F145" s="148">
        <v>1731.6</v>
      </c>
      <c r="G145" s="148">
        <v>1008</v>
      </c>
      <c r="H145" s="148">
        <v>58.65</v>
      </c>
      <c r="I145" s="125">
        <v>2004.0500489999999</v>
      </c>
      <c r="J145">
        <f t="shared" si="17"/>
        <v>2.810143934201504E-2</v>
      </c>
      <c r="K145">
        <f t="shared" si="18"/>
        <v>-4.6367791949047478E-2</v>
      </c>
      <c r="L145">
        <f t="shared" si="19"/>
        <v>6.4616539054792047E-2</v>
      </c>
      <c r="M145">
        <f t="shared" si="20"/>
        <v>0.11198534532141824</v>
      </c>
      <c r="N145">
        <f t="shared" si="21"/>
        <v>7.0077864293659531E-2</v>
      </c>
      <c r="O145">
        <f t="shared" si="22"/>
        <v>4.0784718637067632E-2</v>
      </c>
      <c r="P145">
        <f t="shared" si="23"/>
        <v>-2.977667493796533E-2</v>
      </c>
      <c r="Q145">
        <f t="shared" si="24"/>
        <v>4.1714314354921823E-2</v>
      </c>
    </row>
    <row r="146" spans="1:17" x14ac:dyDescent="0.25">
      <c r="A146" s="139">
        <v>43906</v>
      </c>
      <c r="B146" s="148">
        <v>74.849999999999994</v>
      </c>
      <c r="C146" s="148">
        <v>117.699997</v>
      </c>
      <c r="D146" s="148">
        <v>3886.05</v>
      </c>
      <c r="E146" s="148">
        <v>999.5</v>
      </c>
      <c r="F146" s="148">
        <v>1683.4</v>
      </c>
      <c r="G146" s="148">
        <v>1015.700012</v>
      </c>
      <c r="H146" s="148">
        <v>37.1</v>
      </c>
      <c r="I146" s="125">
        <v>1941.900024</v>
      </c>
      <c r="J146">
        <f t="shared" si="17"/>
        <v>-2.0000000000000759E-3</v>
      </c>
      <c r="K146">
        <f t="shared" si="18"/>
        <v>-4.619128774406344E-2</v>
      </c>
      <c r="L146">
        <f t="shared" si="19"/>
        <v>1.4462297521308417E-2</v>
      </c>
      <c r="M146">
        <f t="shared" si="20"/>
        <v>2.5023099785206056E-2</v>
      </c>
      <c r="N146">
        <f t="shared" si="21"/>
        <v>-2.7835527835527733E-2</v>
      </c>
      <c r="O146">
        <f t="shared" si="22"/>
        <v>7.6389007936508088E-3</v>
      </c>
      <c r="P146">
        <f t="shared" si="23"/>
        <v>-0.36743393009377662</v>
      </c>
      <c r="Q146">
        <f t="shared" si="24"/>
        <v>-3.1012212010878733E-2</v>
      </c>
    </row>
    <row r="147" spans="1:17" x14ac:dyDescent="0.25">
      <c r="A147" s="139">
        <v>43903</v>
      </c>
      <c r="B147" s="148">
        <v>84.05</v>
      </c>
      <c r="C147" s="148">
        <v>123.400002</v>
      </c>
      <c r="D147" s="148">
        <v>3919.85</v>
      </c>
      <c r="E147" s="148">
        <v>1069.8000489999999</v>
      </c>
      <c r="F147" s="148">
        <v>1797.7</v>
      </c>
      <c r="G147" s="148">
        <v>1105.3000489999999</v>
      </c>
      <c r="H147" s="148">
        <v>25.55</v>
      </c>
      <c r="I147" s="125">
        <v>2033.1999510000001</v>
      </c>
      <c r="J147">
        <f t="shared" si="17"/>
        <v>0.12291249164996665</v>
      </c>
      <c r="K147">
        <f t="shared" si="18"/>
        <v>4.8428251021960557E-2</v>
      </c>
      <c r="L147">
        <f t="shared" si="19"/>
        <v>8.697777949331513E-3</v>
      </c>
      <c r="M147">
        <f t="shared" si="20"/>
        <v>7.0335216608304094E-2</v>
      </c>
      <c r="N147">
        <f t="shared" si="21"/>
        <v>6.7898301057383842E-2</v>
      </c>
      <c r="O147">
        <f t="shared" si="22"/>
        <v>8.8215059507156857E-2</v>
      </c>
      <c r="P147">
        <f t="shared" si="23"/>
        <v>-0.31132075471698112</v>
      </c>
      <c r="Q147">
        <f t="shared" si="24"/>
        <v>4.7015771085854842E-2</v>
      </c>
    </row>
    <row r="148" spans="1:17" x14ac:dyDescent="0.25">
      <c r="A148" s="139">
        <v>43902</v>
      </c>
      <c r="B148" s="148">
        <v>79.849999999999994</v>
      </c>
      <c r="C148" s="148">
        <v>124.349998</v>
      </c>
      <c r="D148" s="148">
        <v>4015.05</v>
      </c>
      <c r="E148" s="148">
        <v>1021.299988</v>
      </c>
      <c r="F148" s="148">
        <v>1843.35</v>
      </c>
      <c r="G148" s="148">
        <v>1063</v>
      </c>
      <c r="H148" s="148">
        <v>25.05</v>
      </c>
      <c r="I148" s="125">
        <v>2055.9499510000001</v>
      </c>
      <c r="J148">
        <f t="shared" si="17"/>
        <v>-4.9970255800119011E-2</v>
      </c>
      <c r="K148">
        <f t="shared" si="18"/>
        <v>7.6985087893272379E-3</v>
      </c>
      <c r="L148">
        <f t="shared" si="19"/>
        <v>2.4286643621567221E-2</v>
      </c>
      <c r="M148">
        <f t="shared" si="20"/>
        <v>-4.5335631686814364E-2</v>
      </c>
      <c r="N148">
        <f t="shared" si="21"/>
        <v>2.5393558435778976E-2</v>
      </c>
      <c r="O148">
        <f t="shared" si="22"/>
        <v>-3.8270195534932022E-2</v>
      </c>
      <c r="P148">
        <f t="shared" si="23"/>
        <v>-1.9569471624266144E-2</v>
      </c>
      <c r="Q148">
        <f t="shared" si="24"/>
        <v>1.1189258581680931E-2</v>
      </c>
    </row>
    <row r="149" spans="1:17" x14ac:dyDescent="0.25">
      <c r="A149" s="139">
        <v>43901</v>
      </c>
      <c r="B149" s="148">
        <v>92</v>
      </c>
      <c r="C149" s="148">
        <v>130.85000600000001</v>
      </c>
      <c r="D149" s="148">
        <v>4296.75</v>
      </c>
      <c r="E149" s="148">
        <v>1113.8000489999999</v>
      </c>
      <c r="F149" s="148">
        <v>1882.85</v>
      </c>
      <c r="G149" s="148">
        <v>1153.5500489999999</v>
      </c>
      <c r="H149" s="148">
        <v>28.8</v>
      </c>
      <c r="I149" s="125">
        <v>2155</v>
      </c>
      <c r="J149">
        <f t="shared" si="17"/>
        <v>0.15216030056355676</v>
      </c>
      <c r="K149">
        <f t="shared" si="18"/>
        <v>5.2271878605096626E-2</v>
      </c>
      <c r="L149">
        <f t="shared" si="19"/>
        <v>7.0161019165390165E-2</v>
      </c>
      <c r="M149">
        <f t="shared" si="20"/>
        <v>9.0570901876873375E-2</v>
      </c>
      <c r="N149">
        <f t="shared" si="21"/>
        <v>2.1428377681937779E-2</v>
      </c>
      <c r="O149">
        <f t="shared" si="22"/>
        <v>8.5183489181561572E-2</v>
      </c>
      <c r="P149">
        <f t="shared" si="23"/>
        <v>0.1497005988023952</v>
      </c>
      <c r="Q149">
        <f t="shared" si="24"/>
        <v>4.8177266645923297E-2</v>
      </c>
    </row>
    <row r="150" spans="1:17" x14ac:dyDescent="0.25">
      <c r="A150" s="139">
        <v>43899</v>
      </c>
      <c r="B150" s="148">
        <v>94.9</v>
      </c>
      <c r="C150" s="148">
        <v>137.699997</v>
      </c>
      <c r="D150" s="148">
        <v>4284.3500000000004</v>
      </c>
      <c r="E150" s="148">
        <v>1107.3000489999999</v>
      </c>
      <c r="F150" s="148">
        <v>1867.15</v>
      </c>
      <c r="G150" s="148">
        <v>1114.150024</v>
      </c>
      <c r="H150" s="148">
        <v>21.25</v>
      </c>
      <c r="I150" s="125">
        <v>2121.5</v>
      </c>
      <c r="J150">
        <f t="shared" si="17"/>
        <v>3.1521739130434843E-2</v>
      </c>
      <c r="K150">
        <f t="shared" si="18"/>
        <v>5.2349947924343145E-2</v>
      </c>
      <c r="L150">
        <f t="shared" si="19"/>
        <v>-2.8859021353347613E-3</v>
      </c>
      <c r="M150">
        <f t="shared" si="20"/>
        <v>-5.8358769204902416E-3</v>
      </c>
      <c r="N150">
        <f t="shared" si="21"/>
        <v>-8.3384231351407798E-3</v>
      </c>
      <c r="O150">
        <f t="shared" si="22"/>
        <v>-3.4155453449250313E-2</v>
      </c>
      <c r="P150">
        <f t="shared" si="23"/>
        <v>-0.26215277777777779</v>
      </c>
      <c r="Q150">
        <f t="shared" si="24"/>
        <v>-1.5545243619489559E-2</v>
      </c>
    </row>
    <row r="151" spans="1:17" x14ac:dyDescent="0.25">
      <c r="A151" s="139">
        <v>43896</v>
      </c>
      <c r="B151" s="148">
        <v>111.05</v>
      </c>
      <c r="C151" s="148">
        <v>144.89999399999999</v>
      </c>
      <c r="D151" s="148">
        <v>4430.6000000000004</v>
      </c>
      <c r="E151" s="148">
        <v>1134.900024</v>
      </c>
      <c r="F151" s="148">
        <v>1877.45</v>
      </c>
      <c r="G151" s="148">
        <v>1271</v>
      </c>
      <c r="H151" s="148">
        <v>16.149999999999999</v>
      </c>
      <c r="I151" s="125">
        <v>2188.8999020000001</v>
      </c>
      <c r="J151">
        <f t="shared" si="17"/>
        <v>0.17017913593256048</v>
      </c>
      <c r="K151">
        <f t="shared" si="18"/>
        <v>5.2287561052016554E-2</v>
      </c>
      <c r="L151">
        <f t="shared" si="19"/>
        <v>3.4135866584195963E-2</v>
      </c>
      <c r="M151">
        <f t="shared" si="20"/>
        <v>2.4925470765512527E-2</v>
      </c>
      <c r="N151">
        <f t="shared" si="21"/>
        <v>5.5164287818332504E-3</v>
      </c>
      <c r="O151">
        <f t="shared" si="22"/>
        <v>0.1407799422171892</v>
      </c>
      <c r="P151">
        <f t="shared" si="23"/>
        <v>-0.24000000000000007</v>
      </c>
      <c r="Q151">
        <f t="shared" si="24"/>
        <v>3.1769927881216173E-2</v>
      </c>
    </row>
    <row r="152" spans="1:17" x14ac:dyDescent="0.25">
      <c r="A152" s="139">
        <v>43895</v>
      </c>
      <c r="B152" s="148">
        <v>117.1</v>
      </c>
      <c r="C152" s="148">
        <v>152.5</v>
      </c>
      <c r="D152" s="148">
        <v>4101.45</v>
      </c>
      <c r="E152" s="148">
        <v>1151.349976</v>
      </c>
      <c r="F152" s="148">
        <v>1874.45</v>
      </c>
      <c r="G152" s="148">
        <v>1311.150024</v>
      </c>
      <c r="H152" s="148">
        <v>36.799999999999997</v>
      </c>
      <c r="I152" s="125">
        <v>2218</v>
      </c>
      <c r="J152">
        <f t="shared" si="17"/>
        <v>5.4479963980189082E-2</v>
      </c>
      <c r="K152">
        <f t="shared" si="18"/>
        <v>5.2450009073154329E-2</v>
      </c>
      <c r="L152">
        <f t="shared" si="19"/>
        <v>-7.4290163860425348E-2</v>
      </c>
      <c r="M152">
        <f t="shared" si="20"/>
        <v>1.4494626532847742E-2</v>
      </c>
      <c r="N152">
        <f t="shared" si="21"/>
        <v>-1.597912061572878E-3</v>
      </c>
      <c r="O152">
        <f t="shared" si="22"/>
        <v>3.1589318646734879E-2</v>
      </c>
      <c r="P152">
        <f t="shared" si="23"/>
        <v>1.2786377708978329</v>
      </c>
      <c r="Q152">
        <f t="shared" si="24"/>
        <v>1.3294394126205178E-2</v>
      </c>
    </row>
    <row r="153" spans="1:17" x14ac:dyDescent="0.25">
      <c r="A153" s="139">
        <v>43894</v>
      </c>
      <c r="B153" s="148">
        <v>119.35</v>
      </c>
      <c r="C153" s="148">
        <v>152</v>
      </c>
      <c r="D153" s="148">
        <v>3892.65</v>
      </c>
      <c r="E153" s="148">
        <v>1148.849976</v>
      </c>
      <c r="F153" s="148">
        <v>1847.95</v>
      </c>
      <c r="G153" s="148">
        <v>1339.6999510000001</v>
      </c>
      <c r="H153" s="148">
        <v>29.3</v>
      </c>
      <c r="I153" s="125">
        <v>2175.8500979999999</v>
      </c>
      <c r="J153">
        <f t="shared" si="17"/>
        <v>1.9214346712211786E-2</v>
      </c>
      <c r="K153">
        <f t="shared" si="18"/>
        <v>-3.2786885245901639E-3</v>
      </c>
      <c r="L153">
        <f t="shared" si="19"/>
        <v>-5.0908824927769381E-2</v>
      </c>
      <c r="M153">
        <f t="shared" si="20"/>
        <v>-2.1713640961590641E-3</v>
      </c>
      <c r="N153">
        <f t="shared" si="21"/>
        <v>-1.4137480327562752E-2</v>
      </c>
      <c r="O153">
        <f t="shared" si="22"/>
        <v>2.1774721791867218E-2</v>
      </c>
      <c r="P153">
        <f t="shared" si="23"/>
        <v>-0.20380434782608686</v>
      </c>
      <c r="Q153">
        <f t="shared" si="24"/>
        <v>-1.9003562669071286E-2</v>
      </c>
    </row>
    <row r="154" spans="1:17" x14ac:dyDescent="0.25">
      <c r="A154" s="139">
        <v>43893</v>
      </c>
      <c r="B154" s="148">
        <v>119.55</v>
      </c>
      <c r="C154" s="148">
        <v>159.5</v>
      </c>
      <c r="D154" s="148">
        <v>4034.95</v>
      </c>
      <c r="E154" s="148">
        <v>1181.8000489999999</v>
      </c>
      <c r="F154" s="148">
        <v>1800.55</v>
      </c>
      <c r="G154" s="148">
        <v>1342.849976</v>
      </c>
      <c r="H154" s="148">
        <v>31.2</v>
      </c>
      <c r="I154" s="125">
        <v>2166.6499020000001</v>
      </c>
      <c r="J154">
        <f t="shared" si="17"/>
        <v>1.675743611227506E-3</v>
      </c>
      <c r="K154">
        <f t="shared" si="18"/>
        <v>4.9342105263157895E-2</v>
      </c>
      <c r="L154">
        <f t="shared" si="19"/>
        <v>3.6556073625935985E-2</v>
      </c>
      <c r="M154">
        <f t="shared" si="20"/>
        <v>2.8680918908771405E-2</v>
      </c>
      <c r="N154">
        <f t="shared" si="21"/>
        <v>-2.5650044644065093E-2</v>
      </c>
      <c r="O154">
        <f t="shared" si="22"/>
        <v>2.3512914198799682E-3</v>
      </c>
      <c r="P154">
        <f t="shared" si="23"/>
        <v>6.4846416382252511E-2</v>
      </c>
      <c r="Q154">
        <f t="shared" si="24"/>
        <v>-4.2283225340093156E-3</v>
      </c>
    </row>
    <row r="155" spans="1:17" x14ac:dyDescent="0.25">
      <c r="A155" s="139">
        <v>43892</v>
      </c>
      <c r="B155" s="148">
        <v>110.95</v>
      </c>
      <c r="C155" s="148">
        <v>156.050003</v>
      </c>
      <c r="D155" s="148">
        <v>3935.1</v>
      </c>
      <c r="E155" s="148">
        <v>1179.599976</v>
      </c>
      <c r="F155" s="148">
        <v>1786.8</v>
      </c>
      <c r="G155" s="148">
        <v>1316.150024</v>
      </c>
      <c r="H155" s="148">
        <v>31.55</v>
      </c>
      <c r="I155" s="125">
        <v>2159.4499510000001</v>
      </c>
      <c r="J155">
        <f t="shared" si="17"/>
        <v>-7.1936428272689201E-2</v>
      </c>
      <c r="K155">
        <f t="shared" si="18"/>
        <v>-2.1630075235109694E-2</v>
      </c>
      <c r="L155">
        <f t="shared" si="19"/>
        <v>-2.47462793838833E-2</v>
      </c>
      <c r="M155">
        <f t="shared" si="20"/>
        <v>-1.8616287940262008E-3</v>
      </c>
      <c r="N155">
        <f t="shared" si="21"/>
        <v>-7.6365554969314931E-3</v>
      </c>
      <c r="O155">
        <f t="shared" si="22"/>
        <v>-1.9883049094979423E-2</v>
      </c>
      <c r="P155">
        <f t="shared" si="23"/>
        <v>1.1217948717948763E-2</v>
      </c>
      <c r="Q155">
        <f t="shared" si="24"/>
        <v>-3.3230800201517999E-3</v>
      </c>
    </row>
    <row r="156" spans="1:17" x14ac:dyDescent="0.25">
      <c r="A156" s="139">
        <v>43889</v>
      </c>
      <c r="B156" s="148">
        <v>114</v>
      </c>
      <c r="C156" s="148">
        <v>154.949997</v>
      </c>
      <c r="D156" s="148">
        <v>3828.05</v>
      </c>
      <c r="E156" s="148">
        <v>1177.650024</v>
      </c>
      <c r="F156" s="148">
        <v>1797.95</v>
      </c>
      <c r="G156" s="148">
        <v>1328.650024</v>
      </c>
      <c r="H156" s="148">
        <v>34.6</v>
      </c>
      <c r="I156" s="125">
        <v>2174.75</v>
      </c>
      <c r="J156">
        <f t="shared" si="17"/>
        <v>2.7489860297431248E-2</v>
      </c>
      <c r="K156">
        <f t="shared" si="18"/>
        <v>-7.0490610628184836E-3</v>
      </c>
      <c r="L156">
        <f t="shared" si="19"/>
        <v>-2.7203883001702556E-2</v>
      </c>
      <c r="M156">
        <f t="shared" si="20"/>
        <v>-1.6530620885668273E-3</v>
      </c>
      <c r="N156">
        <f t="shared" si="21"/>
        <v>6.2402059547795449E-3</v>
      </c>
      <c r="O156">
        <f t="shared" si="22"/>
        <v>9.4973975398415528E-3</v>
      </c>
      <c r="P156">
        <f t="shared" si="23"/>
        <v>9.667194928684629E-2</v>
      </c>
      <c r="Q156">
        <f t="shared" si="24"/>
        <v>7.0851602709823321E-3</v>
      </c>
    </row>
    <row r="157" spans="1:17" x14ac:dyDescent="0.25">
      <c r="A157" s="139">
        <v>43888</v>
      </c>
      <c r="B157" s="148">
        <v>130.55000000000001</v>
      </c>
      <c r="C157" s="148">
        <v>163</v>
      </c>
      <c r="D157" s="148">
        <v>4017.65</v>
      </c>
      <c r="E157" s="148">
        <v>1199.4499510000001</v>
      </c>
      <c r="F157" s="148">
        <v>1843.8</v>
      </c>
      <c r="G157" s="148">
        <v>1386.25</v>
      </c>
      <c r="H157" s="148">
        <v>36.799999999999997</v>
      </c>
      <c r="I157" s="125">
        <v>2254.9499510000001</v>
      </c>
      <c r="J157">
        <f t="shared" si="17"/>
        <v>0.14517543859649132</v>
      </c>
      <c r="K157">
        <f t="shared" si="18"/>
        <v>5.1952263025858619E-2</v>
      </c>
      <c r="L157">
        <f t="shared" si="19"/>
        <v>4.9529133632005826E-2</v>
      </c>
      <c r="M157">
        <f t="shared" si="20"/>
        <v>1.8511379914004082E-2</v>
      </c>
      <c r="N157">
        <f t="shared" si="21"/>
        <v>2.5501265329959069E-2</v>
      </c>
      <c r="O157">
        <f t="shared" si="22"/>
        <v>4.3352256018925846E-2</v>
      </c>
      <c r="P157">
        <f t="shared" si="23"/>
        <v>6.3583815028901605E-2</v>
      </c>
      <c r="Q157">
        <f t="shared" si="24"/>
        <v>3.6877779514886792E-2</v>
      </c>
    </row>
    <row r="158" spans="1:17" x14ac:dyDescent="0.25">
      <c r="A158" s="139">
        <v>43887</v>
      </c>
      <c r="B158" s="148">
        <v>130.25</v>
      </c>
      <c r="C158" s="148">
        <v>171.550003</v>
      </c>
      <c r="D158" s="148">
        <v>4041.45</v>
      </c>
      <c r="E158" s="148">
        <v>1199.25</v>
      </c>
      <c r="F158" s="148">
        <v>1826.65</v>
      </c>
      <c r="G158" s="148">
        <v>1392</v>
      </c>
      <c r="H158" s="148">
        <v>36.549999999999997</v>
      </c>
      <c r="I158" s="125">
        <v>2236.1999510000001</v>
      </c>
      <c r="J158">
        <f t="shared" si="17"/>
        <v>-2.2979701263884439E-3</v>
      </c>
      <c r="K158">
        <f t="shared" si="18"/>
        <v>5.2454006134969346E-2</v>
      </c>
      <c r="L158">
        <f t="shared" si="19"/>
        <v>5.9238609634984949E-3</v>
      </c>
      <c r="M158">
        <f t="shared" si="20"/>
        <v>-1.6670224533616701E-4</v>
      </c>
      <c r="N158">
        <f t="shared" si="21"/>
        <v>-9.3014426727410053E-3</v>
      </c>
      <c r="O158">
        <f t="shared" si="22"/>
        <v>4.147880973850316E-3</v>
      </c>
      <c r="P158">
        <f t="shared" si="23"/>
        <v>-6.7934782608695659E-3</v>
      </c>
      <c r="Q158">
        <f t="shared" si="24"/>
        <v>-8.3150404254803793E-3</v>
      </c>
    </row>
    <row r="159" spans="1:17" x14ac:dyDescent="0.25">
      <c r="A159" s="139">
        <v>43886</v>
      </c>
      <c r="B159" s="148">
        <v>132.69999999999999</v>
      </c>
      <c r="C159" s="148">
        <v>180.550003</v>
      </c>
      <c r="D159" s="148">
        <v>4148.3999999999996</v>
      </c>
      <c r="E159" s="148">
        <v>1200.3000489999999</v>
      </c>
      <c r="F159" s="148">
        <v>1826.1</v>
      </c>
      <c r="G159" s="148">
        <v>1416.400024</v>
      </c>
      <c r="H159" s="148">
        <v>35.15</v>
      </c>
      <c r="I159" s="125">
        <v>2233.6000979999999</v>
      </c>
      <c r="J159">
        <f t="shared" si="17"/>
        <v>1.8809980806141949E-2</v>
      </c>
      <c r="K159">
        <f t="shared" si="18"/>
        <v>5.2462837905050921E-2</v>
      </c>
      <c r="L159">
        <f t="shared" si="19"/>
        <v>2.6463274319860404E-2</v>
      </c>
      <c r="M159">
        <f t="shared" si="20"/>
        <v>8.7558807588071258E-4</v>
      </c>
      <c r="N159">
        <f t="shared" si="21"/>
        <v>-3.0109763775226886E-4</v>
      </c>
      <c r="O159">
        <f t="shared" si="22"/>
        <v>1.7528752873563241E-2</v>
      </c>
      <c r="P159">
        <f t="shared" si="23"/>
        <v>-3.8303693570451401E-2</v>
      </c>
      <c r="Q159">
        <f t="shared" si="24"/>
        <v>-1.1626209896112131E-3</v>
      </c>
    </row>
    <row r="160" spans="1:17" x14ac:dyDescent="0.25">
      <c r="A160" s="139">
        <v>43885</v>
      </c>
      <c r="B160" s="148">
        <v>133.19999999999999</v>
      </c>
      <c r="C160" s="148">
        <v>185.89999399999999</v>
      </c>
      <c r="D160" s="148">
        <v>4123.3</v>
      </c>
      <c r="E160" s="148">
        <v>1209.9499510000001</v>
      </c>
      <c r="F160" s="148">
        <v>1818.95</v>
      </c>
      <c r="G160" s="148">
        <v>1444.9499510000001</v>
      </c>
      <c r="H160" s="148">
        <v>34.950000000000003</v>
      </c>
      <c r="I160" s="125">
        <v>2215.1499020000001</v>
      </c>
      <c r="J160">
        <f t="shared" si="17"/>
        <v>3.7678975131876418E-3</v>
      </c>
      <c r="K160">
        <f t="shared" si="18"/>
        <v>2.9631630634755452E-2</v>
      </c>
      <c r="L160">
        <f t="shared" si="19"/>
        <v>-6.0505255038085662E-3</v>
      </c>
      <c r="M160">
        <f t="shared" si="20"/>
        <v>8.0395747780229506E-3</v>
      </c>
      <c r="N160">
        <f t="shared" si="21"/>
        <v>-3.915448222988809E-3</v>
      </c>
      <c r="O160">
        <f t="shared" si="22"/>
        <v>2.0156683504828875E-2</v>
      </c>
      <c r="P160">
        <f t="shared" si="23"/>
        <v>-5.6899004267424108E-3</v>
      </c>
      <c r="Q160">
        <f t="shared" si="24"/>
        <v>-8.2602951246825117E-3</v>
      </c>
    </row>
    <row r="161" spans="1:17" x14ac:dyDescent="0.25">
      <c r="A161" s="139">
        <v>43881</v>
      </c>
      <c r="B161" s="148">
        <v>142.35</v>
      </c>
      <c r="C161" s="148">
        <v>194.85000600000001</v>
      </c>
      <c r="D161" s="148">
        <v>4352.2</v>
      </c>
      <c r="E161" s="148">
        <v>1217.099976</v>
      </c>
      <c r="F161" s="148">
        <v>1842.25</v>
      </c>
      <c r="G161" s="148">
        <v>1485.9499510000001</v>
      </c>
      <c r="H161" s="148">
        <v>35.450000000000003</v>
      </c>
      <c r="I161" s="125">
        <v>2248.25</v>
      </c>
      <c r="J161">
        <f t="shared" si="17"/>
        <v>6.8693693693693741E-2</v>
      </c>
      <c r="K161">
        <f t="shared" si="18"/>
        <v>4.8144229633487863E-2</v>
      </c>
      <c r="L161">
        <f t="shared" si="19"/>
        <v>5.5513787500303065E-2</v>
      </c>
      <c r="M161">
        <f t="shared" si="20"/>
        <v>5.9093559978167344E-3</v>
      </c>
      <c r="N161">
        <f t="shared" si="21"/>
        <v>1.2809587949091483E-2</v>
      </c>
      <c r="O161">
        <f t="shared" si="22"/>
        <v>2.837468520734944E-2</v>
      </c>
      <c r="P161">
        <f t="shared" si="23"/>
        <v>1.4306151645207437E-2</v>
      </c>
      <c r="Q161">
        <f t="shared" si="24"/>
        <v>1.4942599582138748E-2</v>
      </c>
    </row>
    <row r="162" spans="1:17" x14ac:dyDescent="0.25">
      <c r="A162" s="139">
        <v>43880</v>
      </c>
      <c r="B162" s="148">
        <v>142.65</v>
      </c>
      <c r="C162" s="148">
        <v>197.85000600000001</v>
      </c>
      <c r="D162" s="148">
        <v>4476.3999999999996</v>
      </c>
      <c r="E162" s="148">
        <v>1227.1999510000001</v>
      </c>
      <c r="F162" s="148">
        <v>1884.9</v>
      </c>
      <c r="G162" s="148">
        <v>1503.8000489999999</v>
      </c>
      <c r="H162" s="148">
        <v>35.299999999999997</v>
      </c>
      <c r="I162" s="125">
        <v>2292.1499020000001</v>
      </c>
      <c r="J162">
        <f t="shared" si="17"/>
        <v>2.1074815595364341E-3</v>
      </c>
      <c r="K162">
        <f t="shared" si="18"/>
        <v>1.5396458340370798E-2</v>
      </c>
      <c r="L162">
        <f t="shared" si="19"/>
        <v>2.8537291484766285E-2</v>
      </c>
      <c r="M162">
        <f t="shared" si="20"/>
        <v>8.2983938864197998E-3</v>
      </c>
      <c r="N162">
        <f t="shared" si="21"/>
        <v>2.3151038132718193E-2</v>
      </c>
      <c r="O162">
        <f t="shared" si="22"/>
        <v>1.2012583592056586E-2</v>
      </c>
      <c r="P162">
        <f t="shared" si="23"/>
        <v>-4.231311706629215E-3</v>
      </c>
      <c r="Q162">
        <f t="shared" si="24"/>
        <v>1.9526254642499772E-2</v>
      </c>
    </row>
    <row r="163" spans="1:17" x14ac:dyDescent="0.25">
      <c r="A163" s="139">
        <v>43879</v>
      </c>
      <c r="B163" s="148">
        <v>140.55000000000001</v>
      </c>
      <c r="C163" s="148">
        <v>189.25</v>
      </c>
      <c r="D163" s="148">
        <v>4503.55</v>
      </c>
      <c r="E163" s="148">
        <v>1213.25</v>
      </c>
      <c r="F163" s="148">
        <v>1863.65</v>
      </c>
      <c r="G163" s="148">
        <v>1467.400024</v>
      </c>
      <c r="H163" s="148">
        <v>35.049999999999997</v>
      </c>
      <c r="I163" s="125">
        <v>2234.3999020000001</v>
      </c>
      <c r="J163">
        <f t="shared" si="17"/>
        <v>-1.4721345951629822E-2</v>
      </c>
      <c r="K163">
        <f t="shared" si="18"/>
        <v>-4.3467302194572628E-2</v>
      </c>
      <c r="L163">
        <f t="shared" si="19"/>
        <v>6.0651416316684272E-3</v>
      </c>
      <c r="M163">
        <f t="shared" si="20"/>
        <v>-1.1367300812416716E-2</v>
      </c>
      <c r="N163">
        <f t="shared" si="21"/>
        <v>-1.1273807629051939E-2</v>
      </c>
      <c r="O163">
        <f t="shared" si="22"/>
        <v>-2.4205362291486343E-2</v>
      </c>
      <c r="P163">
        <f t="shared" si="23"/>
        <v>-7.0821529745042503E-3</v>
      </c>
      <c r="Q163">
        <f t="shared" si="24"/>
        <v>-2.5194687288824621E-2</v>
      </c>
    </row>
    <row r="164" spans="1:17" x14ac:dyDescent="0.25">
      <c r="A164" s="139">
        <v>43878</v>
      </c>
      <c r="B164" s="148">
        <v>142.1</v>
      </c>
      <c r="C164" s="148">
        <v>198.35000600000001</v>
      </c>
      <c r="D164" s="148">
        <v>4535.8500000000004</v>
      </c>
      <c r="E164" s="148">
        <v>1217.150024</v>
      </c>
      <c r="F164" s="148">
        <v>1881.4</v>
      </c>
      <c r="G164" s="148">
        <v>1478.25</v>
      </c>
      <c r="H164" s="148">
        <v>37.15</v>
      </c>
      <c r="I164" s="125">
        <v>2252.6000979999999</v>
      </c>
      <c r="J164">
        <f t="shared" si="17"/>
        <v>1.1028103877623499E-2</v>
      </c>
      <c r="K164">
        <f t="shared" si="18"/>
        <v>4.8084575957727915E-2</v>
      </c>
      <c r="L164">
        <f t="shared" si="19"/>
        <v>7.1721197721797648E-3</v>
      </c>
      <c r="M164">
        <f t="shared" si="20"/>
        <v>3.2145262724088443E-3</v>
      </c>
      <c r="N164">
        <f t="shared" si="21"/>
        <v>9.5243205537520453E-3</v>
      </c>
      <c r="O164">
        <f t="shared" si="22"/>
        <v>7.394013781207332E-3</v>
      </c>
      <c r="P164">
        <f t="shared" si="23"/>
        <v>5.9914407988587777E-2</v>
      </c>
      <c r="Q164">
        <f t="shared" si="24"/>
        <v>8.1454514850760936E-3</v>
      </c>
    </row>
    <row r="165" spans="1:17" x14ac:dyDescent="0.25">
      <c r="A165" s="139">
        <v>43875</v>
      </c>
      <c r="B165" s="148">
        <v>141.1</v>
      </c>
      <c r="C165" s="148">
        <v>206.800003</v>
      </c>
      <c r="D165" s="148">
        <v>4489.7</v>
      </c>
      <c r="E165" s="148">
        <v>1219.349976</v>
      </c>
      <c r="F165" s="148">
        <v>1877.05</v>
      </c>
      <c r="G165" s="148">
        <v>1487.599976</v>
      </c>
      <c r="H165" s="148">
        <v>38.9</v>
      </c>
      <c r="I165" s="125">
        <v>2255.0500489999999</v>
      </c>
      <c r="J165">
        <f t="shared" si="17"/>
        <v>-7.0372976776917669E-3</v>
      </c>
      <c r="K165">
        <f t="shared" si="18"/>
        <v>4.260144564855721E-2</v>
      </c>
      <c r="L165">
        <f t="shared" si="19"/>
        <v>-1.0174498715786576E-2</v>
      </c>
      <c r="M165">
        <f t="shared" si="20"/>
        <v>1.8074616576599922E-3</v>
      </c>
      <c r="N165">
        <f t="shared" si="21"/>
        <v>-2.3121080046774405E-3</v>
      </c>
      <c r="O165">
        <f t="shared" si="22"/>
        <v>6.3250302722813933E-3</v>
      </c>
      <c r="P165">
        <f t="shared" si="23"/>
        <v>4.7106325706594884E-2</v>
      </c>
      <c r="Q165">
        <f t="shared" si="24"/>
        <v>1.0876102696502927E-3</v>
      </c>
    </row>
    <row r="166" spans="1:17" x14ac:dyDescent="0.25">
      <c r="A166" s="139">
        <v>43874</v>
      </c>
      <c r="B166" s="148">
        <v>142.5</v>
      </c>
      <c r="C166" s="148">
        <v>199.949997</v>
      </c>
      <c r="D166" s="148">
        <v>4692.6499999999996</v>
      </c>
      <c r="E166" s="148">
        <v>1241.400024</v>
      </c>
      <c r="F166" s="148">
        <v>1874.05</v>
      </c>
      <c r="G166" s="148">
        <v>1474.150024</v>
      </c>
      <c r="H166" s="148">
        <v>37.200000000000003</v>
      </c>
      <c r="I166" s="125">
        <v>2283.3999020000001</v>
      </c>
      <c r="J166">
        <f t="shared" si="17"/>
        <v>9.9220411055989076E-3</v>
      </c>
      <c r="K166">
        <f t="shared" si="18"/>
        <v>-3.3123819635534568E-2</v>
      </c>
      <c r="L166">
        <f t="shared" si="19"/>
        <v>4.5203465710403776E-2</v>
      </c>
      <c r="M166">
        <f t="shared" si="20"/>
        <v>1.8083444814042511E-2</v>
      </c>
      <c r="N166">
        <f t="shared" si="21"/>
        <v>-1.5982525771822808E-3</v>
      </c>
      <c r="O166">
        <f t="shared" si="22"/>
        <v>-9.0413768600383065E-3</v>
      </c>
      <c r="P166">
        <f t="shared" si="23"/>
        <v>-4.3701799485861073E-2</v>
      </c>
      <c r="Q166">
        <f t="shared" si="24"/>
        <v>1.2571717870550982E-2</v>
      </c>
    </row>
    <row r="167" spans="1:17" x14ac:dyDescent="0.25">
      <c r="A167" s="139">
        <v>43873</v>
      </c>
      <c r="B167" s="148">
        <v>141.55000000000001</v>
      </c>
      <c r="C167" s="148">
        <v>207.64999399999999</v>
      </c>
      <c r="D167" s="148">
        <v>4619.8</v>
      </c>
      <c r="E167" s="148">
        <v>1249</v>
      </c>
      <c r="F167" s="148">
        <v>1893.7</v>
      </c>
      <c r="G167" s="148">
        <v>1470.3000489999999</v>
      </c>
      <c r="H167" s="148">
        <v>35.200000000000003</v>
      </c>
      <c r="I167" s="125">
        <v>2260.3500979999999</v>
      </c>
      <c r="J167">
        <f t="shared" si="17"/>
        <v>-6.6666666666665873E-3</v>
      </c>
      <c r="K167">
        <f t="shared" si="18"/>
        <v>3.8509612980889396E-2</v>
      </c>
      <c r="L167">
        <f t="shared" si="19"/>
        <v>-1.5524277327309615E-2</v>
      </c>
      <c r="M167">
        <f t="shared" si="20"/>
        <v>6.1221007355159911E-3</v>
      </c>
      <c r="N167">
        <f t="shared" si="21"/>
        <v>1.0485312558362953E-2</v>
      </c>
      <c r="O167">
        <f t="shared" si="22"/>
        <v>-2.6116575228574469E-3</v>
      </c>
      <c r="P167">
        <f t="shared" si="23"/>
        <v>-5.3763440860215048E-2</v>
      </c>
      <c r="Q167">
        <f t="shared" si="24"/>
        <v>-1.0094510374556467E-2</v>
      </c>
    </row>
    <row r="168" spans="1:17" x14ac:dyDescent="0.25">
      <c r="A168" s="139">
        <v>43872</v>
      </c>
      <c r="B168" s="148">
        <v>140.75</v>
      </c>
      <c r="C168" s="148">
        <v>211.25</v>
      </c>
      <c r="D168" s="148">
        <v>4619.1499999999996</v>
      </c>
      <c r="E168" s="148">
        <v>1240.599976</v>
      </c>
      <c r="F168" s="148">
        <v>1878.1</v>
      </c>
      <c r="G168" s="148">
        <v>1452.75</v>
      </c>
      <c r="H168" s="148">
        <v>36.85</v>
      </c>
      <c r="I168" s="125">
        <v>2152.6499020000001</v>
      </c>
      <c r="J168">
        <f t="shared" si="17"/>
        <v>-5.6517131755564201E-3</v>
      </c>
      <c r="K168">
        <f t="shared" si="18"/>
        <v>1.733689431264808E-2</v>
      </c>
      <c r="L168">
        <f t="shared" si="19"/>
        <v>-1.4069873154693832E-4</v>
      </c>
      <c r="M168">
        <f t="shared" si="20"/>
        <v>-6.7253995196157167E-3</v>
      </c>
      <c r="N168">
        <f t="shared" si="21"/>
        <v>-8.2378412631357329E-3</v>
      </c>
      <c r="O168">
        <f t="shared" si="22"/>
        <v>-1.1936372451280484E-2</v>
      </c>
      <c r="P168">
        <f t="shared" si="23"/>
        <v>4.6874999999999958E-2</v>
      </c>
      <c r="Q168">
        <f t="shared" si="24"/>
        <v>-4.7647572867271726E-2</v>
      </c>
    </row>
    <row r="169" spans="1:17" x14ac:dyDescent="0.25">
      <c r="A169" s="139">
        <v>43871</v>
      </c>
      <c r="B169" s="148">
        <v>140.30000000000001</v>
      </c>
      <c r="C169" s="148">
        <v>213.35000600000001</v>
      </c>
      <c r="D169" s="148">
        <v>4613.7</v>
      </c>
      <c r="E169" s="148">
        <v>1240.3000489999999</v>
      </c>
      <c r="F169" s="148">
        <v>1869.5</v>
      </c>
      <c r="G169" s="148">
        <v>1435.599976</v>
      </c>
      <c r="H169" s="148">
        <v>37.549999999999997</v>
      </c>
      <c r="I169" s="125">
        <v>2159.3000489999999</v>
      </c>
      <c r="J169">
        <f t="shared" si="17"/>
        <v>-3.1971580817050701E-3</v>
      </c>
      <c r="K169">
        <f t="shared" si="18"/>
        <v>9.9408568047337637E-3</v>
      </c>
      <c r="L169">
        <f t="shared" si="19"/>
        <v>-1.1798707554419793E-3</v>
      </c>
      <c r="M169">
        <f t="shared" si="20"/>
        <v>-2.4175963711289413E-4</v>
      </c>
      <c r="N169">
        <f t="shared" si="21"/>
        <v>-4.5790958947872365E-3</v>
      </c>
      <c r="O169">
        <f t="shared" si="22"/>
        <v>-1.1805213560488749E-2</v>
      </c>
      <c r="P169">
        <f t="shared" si="23"/>
        <v>1.899592944369052E-2</v>
      </c>
      <c r="Q169">
        <f t="shared" si="24"/>
        <v>3.0892840465238983E-3</v>
      </c>
    </row>
    <row r="170" spans="1:17" x14ac:dyDescent="0.25">
      <c r="A170" s="139">
        <v>43868</v>
      </c>
      <c r="B170" s="148">
        <v>144.6</v>
      </c>
      <c r="C170" s="148">
        <v>213</v>
      </c>
      <c r="D170" s="148">
        <v>4597.3500000000004</v>
      </c>
      <c r="E170" s="148">
        <v>1242.1999510000001</v>
      </c>
      <c r="F170" s="148">
        <v>1858.7</v>
      </c>
      <c r="G170" s="148">
        <v>1433.650024</v>
      </c>
      <c r="H170" s="148">
        <v>38.700000000000003</v>
      </c>
      <c r="I170" s="125">
        <v>2159.9499510000001</v>
      </c>
      <c r="J170">
        <f t="shared" si="17"/>
        <v>3.06486101211688E-2</v>
      </c>
      <c r="K170">
        <f t="shared" si="18"/>
        <v>-1.6405249128514559E-3</v>
      </c>
      <c r="L170">
        <f t="shared" si="19"/>
        <v>-3.5437934846217689E-3</v>
      </c>
      <c r="M170">
        <f t="shared" si="20"/>
        <v>1.5318083729271151E-3</v>
      </c>
      <c r="N170">
        <f t="shared" si="21"/>
        <v>-5.7769457074083735E-3</v>
      </c>
      <c r="O170">
        <f t="shared" si="22"/>
        <v>-1.3582836671766141E-3</v>
      </c>
      <c r="P170">
        <f t="shared" si="23"/>
        <v>3.0625832223701886E-2</v>
      </c>
      <c r="Q170">
        <f t="shared" si="24"/>
        <v>3.0097808792302355E-4</v>
      </c>
    </row>
    <row r="171" spans="1:17" x14ac:dyDescent="0.25">
      <c r="A171" s="139">
        <v>43867</v>
      </c>
      <c r="B171" s="148">
        <v>143.85</v>
      </c>
      <c r="C171" s="148">
        <v>202.89999399999999</v>
      </c>
      <c r="D171" s="148">
        <v>4664.45</v>
      </c>
      <c r="E171" s="148">
        <v>1239.8000489999999</v>
      </c>
      <c r="F171" s="148">
        <v>1856.8</v>
      </c>
      <c r="G171" s="148">
        <v>1457.8000489999999</v>
      </c>
      <c r="H171" s="148">
        <v>38.549999999999997</v>
      </c>
      <c r="I171" s="125">
        <v>2156.3999020000001</v>
      </c>
      <c r="J171">
        <f t="shared" si="17"/>
        <v>-5.1867219917012446E-3</v>
      </c>
      <c r="K171">
        <f t="shared" si="18"/>
        <v>-4.7417868544600977E-2</v>
      </c>
      <c r="L171">
        <f t="shared" si="19"/>
        <v>1.4595364720980445E-2</v>
      </c>
      <c r="M171">
        <f t="shared" si="20"/>
        <v>-1.9319772135461234E-3</v>
      </c>
      <c r="N171">
        <f t="shared" si="21"/>
        <v>-1.0222198310647715E-3</v>
      </c>
      <c r="O171">
        <f t="shared" si="22"/>
        <v>1.6845132770004344E-2</v>
      </c>
      <c r="P171">
        <f t="shared" si="23"/>
        <v>-3.8759689922482085E-3</v>
      </c>
      <c r="Q171">
        <f t="shared" si="24"/>
        <v>-1.6435792868054026E-3</v>
      </c>
    </row>
    <row r="172" spans="1:17" x14ac:dyDescent="0.25">
      <c r="A172" s="139">
        <v>43866</v>
      </c>
      <c r="B172" s="148">
        <v>143.1</v>
      </c>
      <c r="C172" s="148">
        <v>193.25</v>
      </c>
      <c r="D172" s="148">
        <v>4655.95</v>
      </c>
      <c r="E172" s="148">
        <v>1244.650024</v>
      </c>
      <c r="F172" s="148">
        <v>1873.5</v>
      </c>
      <c r="G172" s="148">
        <v>1448.5</v>
      </c>
      <c r="H172" s="148">
        <v>37.6</v>
      </c>
      <c r="I172" s="125">
        <v>2160.3000489999999</v>
      </c>
      <c r="J172">
        <f t="shared" si="17"/>
        <v>-5.2137643378519297E-3</v>
      </c>
      <c r="K172">
        <f t="shared" si="18"/>
        <v>-4.7560346403953034E-2</v>
      </c>
      <c r="L172">
        <f t="shared" si="19"/>
        <v>-1.8222941611551202E-3</v>
      </c>
      <c r="M172">
        <f t="shared" si="20"/>
        <v>3.9119009584747053E-3</v>
      </c>
      <c r="N172">
        <f t="shared" si="21"/>
        <v>8.9939681171908904E-3</v>
      </c>
      <c r="O172">
        <f t="shared" si="22"/>
        <v>-6.3795093204856556E-3</v>
      </c>
      <c r="P172">
        <f t="shared" si="23"/>
        <v>-2.4643320363164613E-2</v>
      </c>
      <c r="Q172">
        <f t="shared" si="24"/>
        <v>1.8086380899862578E-3</v>
      </c>
    </row>
    <row r="173" spans="1:17" x14ac:dyDescent="0.25">
      <c r="A173" s="139">
        <v>43865</v>
      </c>
      <c r="B173" s="148">
        <v>138.55000000000001</v>
      </c>
      <c r="C173" s="148">
        <v>198</v>
      </c>
      <c r="D173" s="148">
        <v>4763.55</v>
      </c>
      <c r="E173" s="148">
        <v>1229.8000489999999</v>
      </c>
      <c r="F173" s="148">
        <v>1891.3</v>
      </c>
      <c r="G173" s="148">
        <v>1426.400024</v>
      </c>
      <c r="H173" s="148">
        <v>34.950000000000003</v>
      </c>
      <c r="I173" s="125">
        <v>2155.6000979999999</v>
      </c>
      <c r="J173">
        <f t="shared" si="17"/>
        <v>-3.1795946890286392E-2</v>
      </c>
      <c r="K173">
        <f t="shared" si="18"/>
        <v>2.4579560155239329E-2</v>
      </c>
      <c r="L173">
        <f t="shared" si="19"/>
        <v>2.3110213812433632E-2</v>
      </c>
      <c r="M173">
        <f t="shared" si="20"/>
        <v>-1.1931044641991736E-2</v>
      </c>
      <c r="N173">
        <f t="shared" si="21"/>
        <v>9.5009340805977879E-3</v>
      </c>
      <c r="O173">
        <f t="shared" si="22"/>
        <v>-1.5257146013116996E-2</v>
      </c>
      <c r="P173">
        <f t="shared" si="23"/>
        <v>-7.0478723404255275E-2</v>
      </c>
      <c r="Q173">
        <f t="shared" si="24"/>
        <v>-2.1756010245778854E-3</v>
      </c>
    </row>
    <row r="174" spans="1:17" x14ac:dyDescent="0.25">
      <c r="A174" s="139">
        <v>43864</v>
      </c>
      <c r="B174" s="148">
        <v>134.15</v>
      </c>
      <c r="C174" s="148">
        <v>196.14999399999999</v>
      </c>
      <c r="D174" s="148">
        <v>4746.55</v>
      </c>
      <c r="E174" s="148">
        <v>1192.8000489999999</v>
      </c>
      <c r="F174" s="148">
        <v>1867.65</v>
      </c>
      <c r="G174" s="148">
        <v>1385.5</v>
      </c>
      <c r="H174" s="148">
        <v>36</v>
      </c>
      <c r="I174" s="125">
        <v>2178.9499510000001</v>
      </c>
      <c r="J174">
        <f t="shared" si="17"/>
        <v>-3.1757488271382209E-2</v>
      </c>
      <c r="K174">
        <f t="shared" si="18"/>
        <v>-9.3434646464646848E-3</v>
      </c>
      <c r="L174">
        <f t="shared" si="19"/>
        <v>-3.5687669910046079E-3</v>
      </c>
      <c r="M174">
        <f t="shared" si="20"/>
        <v>-3.0086191678140032E-2</v>
      </c>
      <c r="N174">
        <f t="shared" si="21"/>
        <v>-1.2504626447417049E-2</v>
      </c>
      <c r="O174">
        <f t="shared" si="22"/>
        <v>-2.8673600190573207E-2</v>
      </c>
      <c r="P174">
        <f t="shared" si="23"/>
        <v>3.0042918454935539E-2</v>
      </c>
      <c r="Q174">
        <f t="shared" si="24"/>
        <v>1.0832182194491701E-2</v>
      </c>
    </row>
    <row r="175" spans="1:17" x14ac:dyDescent="0.25">
      <c r="A175" s="139">
        <v>43862</v>
      </c>
      <c r="B175" s="148">
        <v>134.9</v>
      </c>
      <c r="C175" s="148">
        <v>189.449997</v>
      </c>
      <c r="D175" s="148">
        <v>4446.6499999999996</v>
      </c>
      <c r="E175" s="148">
        <v>1226.3000489999999</v>
      </c>
      <c r="F175" s="148">
        <v>1755.35</v>
      </c>
      <c r="G175" s="148">
        <v>1411.650024</v>
      </c>
      <c r="H175" s="148">
        <v>37.9</v>
      </c>
      <c r="I175" s="125">
        <v>2034.25</v>
      </c>
      <c r="J175">
        <f t="shared" si="17"/>
        <v>5.5907566157286613E-3</v>
      </c>
      <c r="K175">
        <f t="shared" si="18"/>
        <v>-3.4157518251058401E-2</v>
      </c>
      <c r="L175">
        <f t="shared" si="19"/>
        <v>-6.3182732721661111E-2</v>
      </c>
      <c r="M175">
        <f t="shared" si="20"/>
        <v>2.8085176579331277E-2</v>
      </c>
      <c r="N175">
        <f t="shared" si="21"/>
        <v>-6.012903916686755E-2</v>
      </c>
      <c r="O175">
        <f t="shared" si="22"/>
        <v>1.8874070010826437E-2</v>
      </c>
      <c r="P175">
        <f t="shared" si="23"/>
        <v>5.2777777777777736E-2</v>
      </c>
      <c r="Q175">
        <f t="shared" si="24"/>
        <v>-6.6408111362811217E-2</v>
      </c>
    </row>
    <row r="176" spans="1:17" x14ac:dyDescent="0.25">
      <c r="A176" s="139">
        <v>43861</v>
      </c>
      <c r="B176" s="148">
        <v>137.9</v>
      </c>
      <c r="C176" s="148">
        <v>189.449997</v>
      </c>
      <c r="D176" s="148">
        <v>4654.25</v>
      </c>
      <c r="E176" s="148">
        <v>1226.3000489999999</v>
      </c>
      <c r="F176" s="148">
        <v>1795.65</v>
      </c>
      <c r="G176" s="148">
        <v>1411.650024</v>
      </c>
      <c r="H176" s="148">
        <v>39.25</v>
      </c>
      <c r="I176" s="125">
        <v>2034.25</v>
      </c>
      <c r="J176">
        <f t="shared" si="17"/>
        <v>2.2238695329873978E-2</v>
      </c>
      <c r="K176">
        <f t="shared" si="18"/>
        <v>0</v>
      </c>
      <c r="L176">
        <f t="shared" si="19"/>
        <v>4.6686831659788916E-2</v>
      </c>
      <c r="M176">
        <f t="shared" si="20"/>
        <v>0</v>
      </c>
      <c r="N176">
        <f t="shared" si="21"/>
        <v>2.2958384367790005E-2</v>
      </c>
      <c r="O176">
        <f t="shared" si="22"/>
        <v>0</v>
      </c>
      <c r="P176">
        <f t="shared" si="23"/>
        <v>3.5620052770448586E-2</v>
      </c>
      <c r="Q176">
        <f t="shared" si="24"/>
        <v>0</v>
      </c>
    </row>
    <row r="177" spans="1:17" x14ac:dyDescent="0.25">
      <c r="A177" s="139">
        <v>43860</v>
      </c>
      <c r="B177" s="148">
        <v>140.94999999999999</v>
      </c>
      <c r="C177" s="148">
        <v>180.449997</v>
      </c>
      <c r="D177" s="148">
        <v>4499.3999999999996</v>
      </c>
      <c r="E177" s="148">
        <v>1226.0500489999999</v>
      </c>
      <c r="F177" s="148">
        <v>1805</v>
      </c>
      <c r="G177" s="148">
        <v>1443.75</v>
      </c>
      <c r="H177" s="148">
        <v>39.049999999999997</v>
      </c>
      <c r="I177" s="125">
        <v>2058.1000979999999</v>
      </c>
      <c r="J177">
        <f t="shared" si="17"/>
        <v>2.2117476432197119E-2</v>
      </c>
      <c r="K177">
        <f t="shared" si="18"/>
        <v>-4.7505938994551689E-2</v>
      </c>
      <c r="L177">
        <f t="shared" si="19"/>
        <v>-3.3270666595047613E-2</v>
      </c>
      <c r="M177">
        <f t="shared" si="20"/>
        <v>-2.0386527767316432E-4</v>
      </c>
      <c r="N177">
        <f t="shared" si="21"/>
        <v>5.2070280956756096E-3</v>
      </c>
      <c r="O177">
        <f t="shared" si="22"/>
        <v>2.2739330184008817E-2</v>
      </c>
      <c r="P177">
        <f t="shared" si="23"/>
        <v>-5.0955414012739579E-3</v>
      </c>
      <c r="Q177">
        <f t="shared" si="24"/>
        <v>1.1724270861496812E-2</v>
      </c>
    </row>
    <row r="178" spans="1:17" x14ac:dyDescent="0.25">
      <c r="A178" s="139">
        <v>43859</v>
      </c>
      <c r="B178" s="148">
        <v>142.19999999999999</v>
      </c>
      <c r="C178" s="148">
        <v>186.300003</v>
      </c>
      <c r="D178" s="148">
        <v>4324.3</v>
      </c>
      <c r="E178" s="148">
        <v>1235.849976</v>
      </c>
      <c r="F178" s="148">
        <v>1796.95</v>
      </c>
      <c r="G178" s="148">
        <v>1479.849976</v>
      </c>
      <c r="H178" s="148">
        <v>41.2</v>
      </c>
      <c r="I178" s="125">
        <v>2074.1999510000001</v>
      </c>
      <c r="J178">
        <f t="shared" si="17"/>
        <v>8.8683930471798525E-3</v>
      </c>
      <c r="K178">
        <f t="shared" si="18"/>
        <v>3.2418986407630739E-2</v>
      </c>
      <c r="L178">
        <f t="shared" si="19"/>
        <v>-3.8916299951104474E-2</v>
      </c>
      <c r="M178">
        <f t="shared" si="20"/>
        <v>7.9930888694088095E-3</v>
      </c>
      <c r="N178">
        <f t="shared" si="21"/>
        <v>-4.4598337950138255E-3</v>
      </c>
      <c r="O178">
        <f t="shared" si="22"/>
        <v>2.5004312380952361E-2</v>
      </c>
      <c r="P178">
        <f t="shared" si="23"/>
        <v>5.5057618437900274E-2</v>
      </c>
      <c r="Q178">
        <f t="shared" si="24"/>
        <v>7.8226773399629693E-3</v>
      </c>
    </row>
    <row r="179" spans="1:17" x14ac:dyDescent="0.25">
      <c r="A179" s="139">
        <v>43858</v>
      </c>
      <c r="B179" s="148">
        <v>142.19999999999999</v>
      </c>
      <c r="C179" s="148">
        <v>187.64999399999999</v>
      </c>
      <c r="D179" s="148">
        <v>4424.25</v>
      </c>
      <c r="E179" s="148">
        <v>1223.1999510000001</v>
      </c>
      <c r="F179" s="148">
        <v>1779.1</v>
      </c>
      <c r="G179" s="148">
        <v>1471.75</v>
      </c>
      <c r="H179" s="148">
        <v>41.65</v>
      </c>
      <c r="I179" s="125">
        <v>2060.6000979999999</v>
      </c>
      <c r="J179">
        <f t="shared" si="17"/>
        <v>0</v>
      </c>
      <c r="K179">
        <f t="shared" si="18"/>
        <v>7.2463283857273396E-3</v>
      </c>
      <c r="L179">
        <f t="shared" si="19"/>
        <v>2.3113567513817223E-2</v>
      </c>
      <c r="M179">
        <f t="shared" si="20"/>
        <v>-1.0235890476725563E-2</v>
      </c>
      <c r="N179">
        <f t="shared" si="21"/>
        <v>-9.9334984278917817E-3</v>
      </c>
      <c r="O179">
        <f t="shared" si="22"/>
        <v>-5.4735115933130032E-3</v>
      </c>
      <c r="P179">
        <f t="shared" si="23"/>
        <v>1.0922330097087275E-2</v>
      </c>
      <c r="Q179">
        <f t="shared" si="24"/>
        <v>-6.5566740532625569E-3</v>
      </c>
    </row>
    <row r="180" spans="1:17" x14ac:dyDescent="0.25">
      <c r="A180" s="139">
        <v>43857</v>
      </c>
      <c r="B180" s="148">
        <v>148.85</v>
      </c>
      <c r="C180" s="148">
        <v>190.75</v>
      </c>
      <c r="D180" s="148">
        <v>4319.3</v>
      </c>
      <c r="E180" s="148">
        <v>1213.1999510000001</v>
      </c>
      <c r="F180" s="148">
        <v>1788.35</v>
      </c>
      <c r="G180" s="148">
        <v>1506.5500489999999</v>
      </c>
      <c r="H180" s="148">
        <v>42.4</v>
      </c>
      <c r="I180" s="125">
        <v>2061.3500979999999</v>
      </c>
      <c r="J180">
        <f t="shared" si="17"/>
        <v>4.6765119549929721E-2</v>
      </c>
      <c r="K180">
        <f t="shared" si="18"/>
        <v>1.6520149742184419E-2</v>
      </c>
      <c r="L180">
        <f t="shared" si="19"/>
        <v>-2.3721534723399405E-2</v>
      </c>
      <c r="M180">
        <f t="shared" si="20"/>
        <v>-8.1752782869429653E-3</v>
      </c>
      <c r="N180">
        <f t="shared" si="21"/>
        <v>5.1992580518239566E-3</v>
      </c>
      <c r="O180">
        <f t="shared" si="22"/>
        <v>2.3645353490742278E-2</v>
      </c>
      <c r="P180">
        <f t="shared" si="23"/>
        <v>1.800720288115246E-2</v>
      </c>
      <c r="Q180">
        <f t="shared" si="24"/>
        <v>3.639716414300588E-4</v>
      </c>
    </row>
    <row r="181" spans="1:17" x14ac:dyDescent="0.25">
      <c r="A181" s="139">
        <v>43854</v>
      </c>
      <c r="B181" s="148">
        <v>155.9</v>
      </c>
      <c r="C181" s="148">
        <v>190.25</v>
      </c>
      <c r="D181" s="148">
        <v>4220.7</v>
      </c>
      <c r="E181" s="148">
        <v>1244.5500489999999</v>
      </c>
      <c r="F181" s="148">
        <v>1786.8</v>
      </c>
      <c r="G181" s="148">
        <v>1521.5500489999999</v>
      </c>
      <c r="H181" s="148">
        <v>42.8</v>
      </c>
      <c r="I181" s="125">
        <v>2073.6999510000001</v>
      </c>
      <c r="J181">
        <f t="shared" si="17"/>
        <v>4.7363117232112943E-2</v>
      </c>
      <c r="K181">
        <f t="shared" si="18"/>
        <v>-2.6212319790301442E-3</v>
      </c>
      <c r="L181">
        <f t="shared" si="19"/>
        <v>-2.2827773018776275E-2</v>
      </c>
      <c r="M181">
        <f t="shared" si="20"/>
        <v>2.5840833552753652E-2</v>
      </c>
      <c r="N181">
        <f t="shared" si="21"/>
        <v>-8.6672072021693435E-4</v>
      </c>
      <c r="O181">
        <f t="shared" si="22"/>
        <v>9.9565228582724642E-3</v>
      </c>
      <c r="P181">
        <f t="shared" si="23"/>
        <v>9.4339622641509101E-3</v>
      </c>
      <c r="Q181">
        <f t="shared" si="24"/>
        <v>5.9911477492263264E-3</v>
      </c>
    </row>
    <row r="182" spans="1:17" x14ac:dyDescent="0.25">
      <c r="A182" s="139">
        <v>43853</v>
      </c>
      <c r="B182" s="148">
        <v>154.15</v>
      </c>
      <c r="C182" s="148">
        <v>192.199997</v>
      </c>
      <c r="D182" s="148">
        <v>4189.5</v>
      </c>
      <c r="E182" s="148">
        <v>1244.849976</v>
      </c>
      <c r="F182" s="148">
        <v>1776.1</v>
      </c>
      <c r="G182" s="148">
        <v>1526.849976</v>
      </c>
      <c r="H182" s="148">
        <v>40.950000000000003</v>
      </c>
      <c r="I182" s="125">
        <v>2056.8999020000001</v>
      </c>
      <c r="J182">
        <f t="shared" si="17"/>
        <v>-1.1225144323284156E-2</v>
      </c>
      <c r="K182">
        <f t="shared" si="18"/>
        <v>1.0249655716162924E-2</v>
      </c>
      <c r="L182">
        <f t="shared" si="19"/>
        <v>-7.3921387447579354E-3</v>
      </c>
      <c r="M182">
        <f t="shared" si="20"/>
        <v>2.409923170554832E-4</v>
      </c>
      <c r="N182">
        <f t="shared" si="21"/>
        <v>-5.9883590776807953E-3</v>
      </c>
      <c r="O182">
        <f t="shared" si="22"/>
        <v>3.4832419764852739E-3</v>
      </c>
      <c r="P182">
        <f t="shared" si="23"/>
        <v>-4.3224299065420434E-2</v>
      </c>
      <c r="Q182">
        <f t="shared" si="24"/>
        <v>-8.1014849770809222E-3</v>
      </c>
    </row>
    <row r="183" spans="1:17" x14ac:dyDescent="0.25">
      <c r="A183" s="139">
        <v>43852</v>
      </c>
      <c r="B183" s="148">
        <v>153.19999999999999</v>
      </c>
      <c r="C183" s="148">
        <v>197.64999399999999</v>
      </c>
      <c r="D183" s="148">
        <v>4161.6499999999996</v>
      </c>
      <c r="E183" s="148">
        <v>1240.849976</v>
      </c>
      <c r="F183" s="148">
        <v>1779.25</v>
      </c>
      <c r="G183" s="148">
        <v>1533.349976</v>
      </c>
      <c r="H183" s="148">
        <v>38.450000000000003</v>
      </c>
      <c r="I183" s="125">
        <v>2051.6999510000001</v>
      </c>
      <c r="J183">
        <f t="shared" si="17"/>
        <v>-6.1628284138826924E-3</v>
      </c>
      <c r="K183">
        <f t="shared" si="18"/>
        <v>2.8355864126262169E-2</v>
      </c>
      <c r="L183">
        <f t="shared" si="19"/>
        <v>-6.6475713092255312E-3</v>
      </c>
      <c r="M183">
        <f t="shared" si="20"/>
        <v>-3.2132386047457337E-3</v>
      </c>
      <c r="N183">
        <f t="shared" si="21"/>
        <v>1.7735487866674686E-3</v>
      </c>
      <c r="O183">
        <f t="shared" si="22"/>
        <v>4.2571307608285942E-3</v>
      </c>
      <c r="P183">
        <f t="shared" si="23"/>
        <v>-6.1050061050061048E-2</v>
      </c>
      <c r="Q183">
        <f t="shared" si="24"/>
        <v>-2.5280525294128072E-3</v>
      </c>
    </row>
    <row r="184" spans="1:17" x14ac:dyDescent="0.25">
      <c r="A184" s="139">
        <v>43851</v>
      </c>
      <c r="B184" s="148">
        <v>153.9</v>
      </c>
      <c r="C184" s="148">
        <v>202.25</v>
      </c>
      <c r="D184" s="148">
        <v>4158.8999999999996</v>
      </c>
      <c r="E184" s="148">
        <v>1244.349976</v>
      </c>
      <c r="F184" s="148">
        <v>1810.75</v>
      </c>
      <c r="G184" s="148">
        <v>1533.900024</v>
      </c>
      <c r="H184" s="148">
        <v>38.35</v>
      </c>
      <c r="I184" s="125">
        <v>2055.3999020000001</v>
      </c>
      <c r="J184">
        <f t="shared" si="17"/>
        <v>4.5691906005223045E-3</v>
      </c>
      <c r="K184">
        <f t="shared" si="18"/>
        <v>2.3273494255709452E-2</v>
      </c>
      <c r="L184">
        <f t="shared" si="19"/>
        <v>-6.6079559789987148E-4</v>
      </c>
      <c r="M184">
        <f t="shared" si="20"/>
        <v>2.8206471915989302E-3</v>
      </c>
      <c r="N184">
        <f t="shared" si="21"/>
        <v>1.7704088801461289E-2</v>
      </c>
      <c r="O184">
        <f t="shared" si="22"/>
        <v>3.5872306297284653E-4</v>
      </c>
      <c r="P184">
        <f t="shared" si="23"/>
        <v>-2.600780234070258E-3</v>
      </c>
      <c r="Q184">
        <f t="shared" si="24"/>
        <v>1.8033587212383062E-3</v>
      </c>
    </row>
    <row r="185" spans="1:17" x14ac:dyDescent="0.25">
      <c r="A185" s="139">
        <v>43850</v>
      </c>
      <c r="B185" s="148">
        <v>156.9</v>
      </c>
      <c r="C185" s="148">
        <v>198.050003</v>
      </c>
      <c r="D185" s="148">
        <v>4204.95</v>
      </c>
      <c r="E185" s="148">
        <v>1254.900024</v>
      </c>
      <c r="F185" s="148">
        <v>1848.75</v>
      </c>
      <c r="G185" s="148">
        <v>1532.349976</v>
      </c>
      <c r="H185" s="148">
        <v>38.65</v>
      </c>
      <c r="I185" s="125">
        <v>2062.8500979999999</v>
      </c>
      <c r="J185">
        <f t="shared" si="17"/>
        <v>1.9493177387914229E-2</v>
      </c>
      <c r="K185">
        <f t="shared" si="18"/>
        <v>-2.0766363411619266E-2</v>
      </c>
      <c r="L185">
        <f t="shared" si="19"/>
        <v>1.107263939984135E-2</v>
      </c>
      <c r="M185">
        <f t="shared" si="20"/>
        <v>8.4783607533898981E-3</v>
      </c>
      <c r="N185">
        <f t="shared" si="21"/>
        <v>2.0985779373187907E-2</v>
      </c>
      <c r="O185">
        <f t="shared" si="22"/>
        <v>-1.0105273979707954E-3</v>
      </c>
      <c r="P185">
        <f t="shared" si="23"/>
        <v>7.8226857887874097E-3</v>
      </c>
      <c r="Q185">
        <f t="shared" si="24"/>
        <v>3.6246941496642037E-3</v>
      </c>
    </row>
    <row r="186" spans="1:17" x14ac:dyDescent="0.25">
      <c r="A186" s="139">
        <v>43847</v>
      </c>
      <c r="B186" s="148">
        <v>159.5</v>
      </c>
      <c r="C186" s="148">
        <v>188.64999399999999</v>
      </c>
      <c r="D186" s="148">
        <v>4165.6499999999996</v>
      </c>
      <c r="E186" s="148">
        <v>1278.150024</v>
      </c>
      <c r="F186" s="148">
        <v>1830.05</v>
      </c>
      <c r="G186" s="148">
        <v>1581</v>
      </c>
      <c r="H186" s="148">
        <v>39.25</v>
      </c>
      <c r="I186" s="125">
        <v>2060.3000489999999</v>
      </c>
      <c r="J186">
        <f t="shared" si="17"/>
        <v>1.6571064372211564E-2</v>
      </c>
      <c r="K186">
        <f t="shared" si="18"/>
        <v>-4.7462806652923968E-2</v>
      </c>
      <c r="L186">
        <f t="shared" si="19"/>
        <v>-9.3461277779760005E-3</v>
      </c>
      <c r="M186">
        <f t="shared" si="20"/>
        <v>1.8527372344683293E-2</v>
      </c>
      <c r="N186">
        <f t="shared" si="21"/>
        <v>-1.0114942528735656E-2</v>
      </c>
      <c r="O186">
        <f t="shared" si="22"/>
        <v>3.1748637557977834E-2</v>
      </c>
      <c r="P186">
        <f t="shared" si="23"/>
        <v>1.5523932729624875E-2</v>
      </c>
      <c r="Q186">
        <f t="shared" si="24"/>
        <v>-1.2361775596163287E-3</v>
      </c>
    </row>
    <row r="187" spans="1:17" x14ac:dyDescent="0.25">
      <c r="A187" s="139">
        <v>43846</v>
      </c>
      <c r="B187" s="148">
        <v>162.25</v>
      </c>
      <c r="C187" s="148">
        <v>179.699997</v>
      </c>
      <c r="D187" s="148">
        <v>4149.55</v>
      </c>
      <c r="E187" s="148">
        <v>1287.650024</v>
      </c>
      <c r="F187" s="148">
        <v>1835.15</v>
      </c>
      <c r="G187" s="148">
        <v>1537.900024</v>
      </c>
      <c r="H187" s="148">
        <v>39.950000000000003</v>
      </c>
      <c r="I187" s="125">
        <v>2049.25</v>
      </c>
      <c r="J187">
        <f t="shared" si="17"/>
        <v>1.7241379310344827E-2</v>
      </c>
      <c r="K187">
        <f t="shared" si="18"/>
        <v>-4.7442339171237913E-2</v>
      </c>
      <c r="L187">
        <f t="shared" si="19"/>
        <v>-3.8649430461031187E-3</v>
      </c>
      <c r="M187">
        <f t="shared" si="20"/>
        <v>7.4326173153520195E-3</v>
      </c>
      <c r="N187">
        <f t="shared" si="21"/>
        <v>2.7868091035764798E-3</v>
      </c>
      <c r="O187">
        <f t="shared" si="22"/>
        <v>-2.7261211891208077E-2</v>
      </c>
      <c r="P187">
        <f t="shared" si="23"/>
        <v>1.7834394904458671E-2</v>
      </c>
      <c r="Q187">
        <f t="shared" si="24"/>
        <v>-5.3633202626788582E-3</v>
      </c>
    </row>
    <row r="188" spans="1:17" x14ac:dyDescent="0.25">
      <c r="A188" s="139">
        <v>43845</v>
      </c>
      <c r="B188" s="148">
        <v>164.65</v>
      </c>
      <c r="C188" s="148">
        <v>189.14999399999999</v>
      </c>
      <c r="D188" s="148">
        <v>4137.3999999999996</v>
      </c>
      <c r="E188" s="148">
        <v>1284.25</v>
      </c>
      <c r="F188" s="148">
        <v>1842.25</v>
      </c>
      <c r="G188" s="148">
        <v>1523.849976</v>
      </c>
      <c r="H188" s="148">
        <v>39.75</v>
      </c>
      <c r="I188" s="125">
        <v>2021.650024</v>
      </c>
      <c r="J188">
        <f t="shared" si="17"/>
        <v>1.4791987673343641E-2</v>
      </c>
      <c r="K188">
        <f t="shared" si="18"/>
        <v>5.258763026022753E-2</v>
      </c>
      <c r="L188">
        <f t="shared" si="19"/>
        <v>-2.9280283404225869E-3</v>
      </c>
      <c r="M188">
        <f t="shared" si="20"/>
        <v>-2.6404876609547054E-3</v>
      </c>
      <c r="N188">
        <f t="shared" si="21"/>
        <v>3.8688935509358412E-3</v>
      </c>
      <c r="O188">
        <f t="shared" si="22"/>
        <v>-9.1358656484422165E-3</v>
      </c>
      <c r="P188">
        <f t="shared" si="23"/>
        <v>-5.0062578222779177E-3</v>
      </c>
      <c r="Q188">
        <f t="shared" si="24"/>
        <v>-1.3468330364767583E-2</v>
      </c>
    </row>
    <row r="189" spans="1:17" x14ac:dyDescent="0.25">
      <c r="A189" s="139">
        <v>43844</v>
      </c>
      <c r="B189" s="148">
        <v>165</v>
      </c>
      <c r="C189" s="148">
        <v>199.10000600000001</v>
      </c>
      <c r="D189" s="148">
        <v>4145.6000000000004</v>
      </c>
      <c r="E189" s="148">
        <v>1289.5</v>
      </c>
      <c r="F189" s="148">
        <v>1819.15</v>
      </c>
      <c r="G189" s="148">
        <v>1529.400024</v>
      </c>
      <c r="H189" s="148">
        <v>38.549999999999997</v>
      </c>
      <c r="I189" s="125">
        <v>2008.8000489999999</v>
      </c>
      <c r="J189">
        <f t="shared" si="17"/>
        <v>2.1257212268447879E-3</v>
      </c>
      <c r="K189">
        <f t="shared" si="18"/>
        <v>5.2603818745032664E-2</v>
      </c>
      <c r="L189">
        <f t="shared" si="19"/>
        <v>1.9819210131968696E-3</v>
      </c>
      <c r="M189">
        <f t="shared" si="20"/>
        <v>4.0879890986957367E-3</v>
      </c>
      <c r="N189">
        <f t="shared" si="21"/>
        <v>-1.253901479169489E-2</v>
      </c>
      <c r="O189">
        <f t="shared" si="22"/>
        <v>3.6421223134895141E-3</v>
      </c>
      <c r="P189">
        <f t="shared" si="23"/>
        <v>-3.0188679245283092E-2</v>
      </c>
      <c r="Q189">
        <f t="shared" si="24"/>
        <v>-6.3561817562148362E-3</v>
      </c>
    </row>
    <row r="190" spans="1:17" x14ac:dyDescent="0.25">
      <c r="A190" s="139">
        <v>43843</v>
      </c>
      <c r="B190" s="148">
        <v>160.44999999999999</v>
      </c>
      <c r="C190" s="148">
        <v>209.550003</v>
      </c>
      <c r="D190" s="148">
        <v>4190.1000000000004</v>
      </c>
      <c r="E190" s="148">
        <v>1286</v>
      </c>
      <c r="F190" s="148">
        <v>1804.9</v>
      </c>
      <c r="G190" s="148">
        <v>1543.6999510000001</v>
      </c>
      <c r="H190" s="148">
        <v>42.1</v>
      </c>
      <c r="I190" s="125">
        <v>1994.849976</v>
      </c>
      <c r="J190">
        <f t="shared" si="17"/>
        <v>-2.7575757575757646E-2</v>
      </c>
      <c r="K190">
        <f t="shared" si="18"/>
        <v>5.2486171195795926E-2</v>
      </c>
      <c r="L190">
        <f t="shared" si="19"/>
        <v>1.073427248166731E-2</v>
      </c>
      <c r="M190">
        <f t="shared" si="20"/>
        <v>-2.7142303218301669E-3</v>
      </c>
      <c r="N190">
        <f t="shared" si="21"/>
        <v>-7.8333287524393249E-3</v>
      </c>
      <c r="O190">
        <f t="shared" si="22"/>
        <v>9.3500240457692219E-3</v>
      </c>
      <c r="P190">
        <f t="shared" si="23"/>
        <v>9.2088197146563022E-2</v>
      </c>
      <c r="Q190">
        <f t="shared" si="24"/>
        <v>-6.9444806151535369E-3</v>
      </c>
    </row>
    <row r="191" spans="1:17" x14ac:dyDescent="0.25">
      <c r="A191" s="139">
        <v>43840</v>
      </c>
      <c r="B191" s="148">
        <v>159.94999999999999</v>
      </c>
      <c r="C191" s="148">
        <v>220.550003</v>
      </c>
      <c r="D191" s="148">
        <v>4188.8999999999996</v>
      </c>
      <c r="E191" s="148">
        <v>1282.6999510000001</v>
      </c>
      <c r="F191" s="148">
        <v>1792.55</v>
      </c>
      <c r="G191" s="148">
        <v>1547.650024</v>
      </c>
      <c r="H191" s="148">
        <v>44.75</v>
      </c>
      <c r="I191" s="125">
        <v>1954</v>
      </c>
      <c r="J191">
        <f t="shared" si="17"/>
        <v>-3.1162355874104083E-3</v>
      </c>
      <c r="K191">
        <f t="shared" si="18"/>
        <v>5.2493437568693332E-2</v>
      </c>
      <c r="L191">
        <f t="shared" si="19"/>
        <v>-2.8638934631649063E-4</v>
      </c>
      <c r="M191">
        <f t="shared" si="20"/>
        <v>-2.5661345256609209E-3</v>
      </c>
      <c r="N191">
        <f t="shared" si="21"/>
        <v>-6.8424843481634081E-3</v>
      </c>
      <c r="O191">
        <f t="shared" si="22"/>
        <v>2.5588346993475901E-3</v>
      </c>
      <c r="P191">
        <f t="shared" si="23"/>
        <v>6.2945368171021338E-2</v>
      </c>
      <c r="Q191">
        <f t="shared" si="24"/>
        <v>-2.0477718370536739E-2</v>
      </c>
    </row>
    <row r="192" spans="1:17" x14ac:dyDescent="0.25">
      <c r="A192" s="139">
        <v>43839</v>
      </c>
      <c r="B192" s="148">
        <v>158.15</v>
      </c>
      <c r="C192" s="148">
        <v>232.14999399999999</v>
      </c>
      <c r="D192" s="148">
        <v>4163.1000000000004</v>
      </c>
      <c r="E192" s="148">
        <v>1271.400024</v>
      </c>
      <c r="F192" s="148">
        <v>1772.55</v>
      </c>
      <c r="G192" s="148">
        <v>1548</v>
      </c>
      <c r="H192" s="148">
        <v>47.3</v>
      </c>
      <c r="I192" s="125">
        <v>1935.0500489999999</v>
      </c>
      <c r="J192">
        <f t="shared" si="17"/>
        <v>-1.1253516723976138E-2</v>
      </c>
      <c r="K192">
        <f t="shared" si="18"/>
        <v>5.2595741746600602E-2</v>
      </c>
      <c r="L192">
        <f t="shared" si="19"/>
        <v>-6.1591348564060434E-3</v>
      </c>
      <c r="M192">
        <f t="shared" si="20"/>
        <v>-8.809485796885343E-3</v>
      </c>
      <c r="N192">
        <f t="shared" si="21"/>
        <v>-1.1157289894284678E-2</v>
      </c>
      <c r="O192">
        <f t="shared" si="22"/>
        <v>2.2613381227845969E-4</v>
      </c>
      <c r="P192">
        <f t="shared" si="23"/>
        <v>5.6983240223463627E-2</v>
      </c>
      <c r="Q192">
        <f t="shared" si="24"/>
        <v>-9.6980301944729046E-3</v>
      </c>
    </row>
    <row r="193" spans="1:17" x14ac:dyDescent="0.25">
      <c r="A193" s="139">
        <v>43838</v>
      </c>
      <c r="B193" s="148">
        <v>157.35</v>
      </c>
      <c r="C193" s="148">
        <v>221.10000600000001</v>
      </c>
      <c r="D193" s="148">
        <v>4142.55</v>
      </c>
      <c r="E193" s="148">
        <v>1257.3000489999999</v>
      </c>
      <c r="F193" s="148">
        <v>1728.8</v>
      </c>
      <c r="G193" s="148">
        <v>1513.150024</v>
      </c>
      <c r="H193" s="148">
        <v>46.05</v>
      </c>
      <c r="I193" s="125">
        <v>1929.349976</v>
      </c>
      <c r="J193">
        <f t="shared" si="17"/>
        <v>-5.0584887764780987E-3</v>
      </c>
      <c r="K193">
        <f t="shared" si="18"/>
        <v>-4.7598484969161726E-2</v>
      </c>
      <c r="L193">
        <f t="shared" si="19"/>
        <v>-4.9362254089501045E-3</v>
      </c>
      <c r="M193">
        <f t="shared" si="20"/>
        <v>-1.1090116984298629E-2</v>
      </c>
      <c r="N193">
        <f t="shared" si="21"/>
        <v>-2.4681955375024683E-2</v>
      </c>
      <c r="O193">
        <f t="shared" si="22"/>
        <v>-2.2512904392764838E-2</v>
      </c>
      <c r="P193">
        <f t="shared" si="23"/>
        <v>-2.6427061310782242E-2</v>
      </c>
      <c r="Q193">
        <f t="shared" si="24"/>
        <v>-2.9456979693862043E-3</v>
      </c>
    </row>
    <row r="194" spans="1:17" x14ac:dyDescent="0.25">
      <c r="A194" s="139">
        <v>43837</v>
      </c>
      <c r="B194" s="148">
        <v>156</v>
      </c>
      <c r="C194" s="148">
        <v>210.60000600000001</v>
      </c>
      <c r="D194" s="148">
        <v>4235.05</v>
      </c>
      <c r="E194" s="148">
        <v>1260.599976</v>
      </c>
      <c r="F194" s="148">
        <v>1724.4</v>
      </c>
      <c r="G194" s="148">
        <v>1524.599976</v>
      </c>
      <c r="H194" s="148">
        <v>45.05</v>
      </c>
      <c r="I194" s="125">
        <v>1920.6999510000001</v>
      </c>
      <c r="J194">
        <f t="shared" si="17"/>
        <v>-8.5795996186844251E-3</v>
      </c>
      <c r="K194">
        <f t="shared" si="18"/>
        <v>-4.7489822320493286E-2</v>
      </c>
      <c r="L194">
        <f t="shared" si="19"/>
        <v>2.2329241650674101E-2</v>
      </c>
      <c r="M194">
        <f t="shared" si="20"/>
        <v>2.6246137527988159E-3</v>
      </c>
      <c r="N194">
        <f t="shared" si="21"/>
        <v>-2.5451180009254185E-3</v>
      </c>
      <c r="O194">
        <f t="shared" si="22"/>
        <v>7.5669641597943356E-3</v>
      </c>
      <c r="P194">
        <f t="shared" si="23"/>
        <v>-2.171552660152009E-2</v>
      </c>
      <c r="Q194">
        <f t="shared" si="24"/>
        <v>-4.483388243502336E-3</v>
      </c>
    </row>
    <row r="195" spans="1:17" x14ac:dyDescent="0.25">
      <c r="A195" s="139">
        <v>43836</v>
      </c>
      <c r="B195" s="148">
        <v>150.55000000000001</v>
      </c>
      <c r="C195" s="148">
        <v>200.60000600000001</v>
      </c>
      <c r="D195" s="148">
        <v>3959.25</v>
      </c>
      <c r="E195" s="148">
        <v>1240.9499510000001</v>
      </c>
      <c r="F195" s="148">
        <v>1707.15</v>
      </c>
      <c r="G195" s="148">
        <v>1501.5</v>
      </c>
      <c r="H195" s="148">
        <v>45.15</v>
      </c>
      <c r="I195" s="125">
        <v>1915.4499510000001</v>
      </c>
      <c r="J195">
        <f t="shared" si="17"/>
        <v>-3.493589743589736E-2</v>
      </c>
      <c r="K195">
        <f t="shared" si="18"/>
        <v>-4.7483379463911311E-2</v>
      </c>
      <c r="L195">
        <f t="shared" si="19"/>
        <v>-6.512319807322231E-2</v>
      </c>
      <c r="M195">
        <f t="shared" si="20"/>
        <v>-1.5587835454631101E-2</v>
      </c>
      <c r="N195">
        <f t="shared" si="21"/>
        <v>-1.0003479471120388E-2</v>
      </c>
      <c r="O195">
        <f t="shared" si="22"/>
        <v>-1.51514996481936E-2</v>
      </c>
      <c r="P195">
        <f t="shared" si="23"/>
        <v>2.2197558268590772E-3</v>
      </c>
      <c r="Q195">
        <f t="shared" si="24"/>
        <v>-2.7333785255040078E-3</v>
      </c>
    </row>
    <row r="196" spans="1:17" x14ac:dyDescent="0.25">
      <c r="A196" s="139">
        <v>43833</v>
      </c>
      <c r="B196" s="148">
        <v>157.75</v>
      </c>
      <c r="C196" s="148">
        <v>192.60000600000001</v>
      </c>
      <c r="D196" s="148">
        <v>3952.3</v>
      </c>
      <c r="E196" s="148">
        <v>1268.400024</v>
      </c>
      <c r="F196" s="148">
        <v>1751.4</v>
      </c>
      <c r="G196" s="148">
        <v>1537.150024</v>
      </c>
      <c r="H196" s="148">
        <v>47.1</v>
      </c>
      <c r="I196" s="125">
        <v>1927.4499510000001</v>
      </c>
      <c r="J196">
        <f t="shared" ref="J196:J259" si="25">(B196-B195)/B195</f>
        <v>4.7824642975755484E-2</v>
      </c>
      <c r="K196">
        <f t="shared" ref="K196:K259" si="26">(C196-C195)/C195</f>
        <v>-3.9880357730398074E-2</v>
      </c>
      <c r="L196">
        <f t="shared" ref="L196:L259" si="27">(D196-D195)/D195</f>
        <v>-1.7553829639451457E-3</v>
      </c>
      <c r="M196">
        <f t="shared" ref="M196:M259" si="28">(E196-E195)/E195</f>
        <v>2.2120209584504003E-2</v>
      </c>
      <c r="N196">
        <f t="shared" ref="N196:N259" si="29">(F196-F195)/F195</f>
        <v>2.5920393638520341E-2</v>
      </c>
      <c r="O196">
        <f t="shared" ref="O196:O259" si="30">(G196-G195)/G195</f>
        <v>2.3742939726939746E-2</v>
      </c>
      <c r="P196">
        <f t="shared" ref="P196:P259" si="31">(H196-H195)/H195</f>
        <v>4.318936877076418E-2</v>
      </c>
      <c r="Q196">
        <f t="shared" ref="Q196:Q259" si="32">(I196-I195)/I195</f>
        <v>6.2648465410099349E-3</v>
      </c>
    </row>
    <row r="197" spans="1:17" x14ac:dyDescent="0.25">
      <c r="A197" s="139">
        <v>43832</v>
      </c>
      <c r="B197" s="148">
        <v>159.44999999999999</v>
      </c>
      <c r="C197" s="148">
        <v>183.449997</v>
      </c>
      <c r="D197" s="148">
        <v>3905.7</v>
      </c>
      <c r="E197" s="148">
        <v>1286.75</v>
      </c>
      <c r="F197" s="148">
        <v>1790.65</v>
      </c>
      <c r="G197" s="148">
        <v>1535.3000489999999</v>
      </c>
      <c r="H197" s="148">
        <v>47.35</v>
      </c>
      <c r="I197" s="125">
        <v>1938.0500489999999</v>
      </c>
      <c r="J197">
        <f t="shared" si="25"/>
        <v>1.0776545166402463E-2</v>
      </c>
      <c r="K197">
        <f t="shared" si="26"/>
        <v>-4.7507833410970979E-2</v>
      </c>
      <c r="L197">
        <f t="shared" si="27"/>
        <v>-1.179060294006031E-2</v>
      </c>
      <c r="M197">
        <f t="shared" si="28"/>
        <v>1.4467025900970787E-2</v>
      </c>
      <c r="N197">
        <f t="shared" si="29"/>
        <v>2.2410642914240036E-2</v>
      </c>
      <c r="O197">
        <f t="shared" si="30"/>
        <v>-1.2035097232643869E-3</v>
      </c>
      <c r="P197">
        <f t="shared" si="31"/>
        <v>5.3078556263269636E-3</v>
      </c>
      <c r="Q197">
        <f t="shared" si="32"/>
        <v>5.4995451344925159E-3</v>
      </c>
    </row>
    <row r="198" spans="1:17" x14ac:dyDescent="0.25">
      <c r="A198" s="139">
        <v>43831</v>
      </c>
      <c r="B198" s="148">
        <v>154.6</v>
      </c>
      <c r="C198" s="148">
        <v>174.75</v>
      </c>
      <c r="D198" s="148">
        <v>3786.55</v>
      </c>
      <c r="E198" s="148">
        <v>1278.599976</v>
      </c>
      <c r="F198" s="148">
        <v>1793.2</v>
      </c>
      <c r="G198" s="148">
        <v>1509.599976</v>
      </c>
      <c r="H198" s="148">
        <v>46.65</v>
      </c>
      <c r="I198" s="125">
        <v>1936.5500489999999</v>
      </c>
      <c r="J198">
        <f t="shared" si="25"/>
        <v>-3.0417058639071775E-2</v>
      </c>
      <c r="K198">
        <f t="shared" si="26"/>
        <v>-4.7424350734658213E-2</v>
      </c>
      <c r="L198">
        <f t="shared" si="27"/>
        <v>-3.0506695342704161E-2</v>
      </c>
      <c r="M198">
        <f t="shared" si="28"/>
        <v>-6.3338053234894345E-3</v>
      </c>
      <c r="N198">
        <f t="shared" si="29"/>
        <v>1.4240638874151589E-3</v>
      </c>
      <c r="O198">
        <f t="shared" si="30"/>
        <v>-1.6739446479363707E-2</v>
      </c>
      <c r="P198">
        <f t="shared" si="31"/>
        <v>-1.478352692713839E-2</v>
      </c>
      <c r="Q198">
        <f t="shared" si="32"/>
        <v>-7.7397382011572605E-4</v>
      </c>
    </row>
    <row r="199" spans="1:17" x14ac:dyDescent="0.25">
      <c r="A199" s="139">
        <v>43830</v>
      </c>
      <c r="B199" s="148">
        <v>152.44999999999999</v>
      </c>
      <c r="C199" s="148">
        <v>166.449997</v>
      </c>
      <c r="D199" s="148">
        <v>3799.3</v>
      </c>
      <c r="E199" s="148">
        <v>1272.099976</v>
      </c>
      <c r="F199" s="148">
        <v>1784.95</v>
      </c>
      <c r="G199" s="148">
        <v>1514.0500489999999</v>
      </c>
      <c r="H199" s="148">
        <v>46.95</v>
      </c>
      <c r="I199" s="125">
        <v>1923</v>
      </c>
      <c r="J199">
        <f t="shared" si="25"/>
        <v>-1.3906856403622289E-2</v>
      </c>
      <c r="K199">
        <f t="shared" si="26"/>
        <v>-4.7496440629470692E-2</v>
      </c>
      <c r="L199">
        <f t="shared" si="27"/>
        <v>3.3671812071674741E-3</v>
      </c>
      <c r="M199">
        <f t="shared" si="28"/>
        <v>-5.0836853761993192E-3</v>
      </c>
      <c r="N199">
        <f t="shared" si="29"/>
        <v>-4.6007138077180454E-3</v>
      </c>
      <c r="O199">
        <f t="shared" si="30"/>
        <v>2.9478491459647288E-3</v>
      </c>
      <c r="P199">
        <f t="shared" si="31"/>
        <v>6.4308681672026642E-3</v>
      </c>
      <c r="Q199">
        <f t="shared" si="32"/>
        <v>-6.9970042896629232E-3</v>
      </c>
    </row>
    <row r="200" spans="1:17" x14ac:dyDescent="0.25">
      <c r="A200" s="139">
        <v>43829</v>
      </c>
      <c r="B200" s="148">
        <v>154.5</v>
      </c>
      <c r="C200" s="148">
        <v>158.550003</v>
      </c>
      <c r="D200" s="148">
        <v>3870.65</v>
      </c>
      <c r="E200" s="148">
        <v>1282.150024</v>
      </c>
      <c r="F200" s="148">
        <v>1802.3</v>
      </c>
      <c r="G200" s="148">
        <v>1544.1999510000001</v>
      </c>
      <c r="H200" s="148">
        <v>47.35</v>
      </c>
      <c r="I200" s="125">
        <v>1937.25</v>
      </c>
      <c r="J200">
        <f t="shared" si="25"/>
        <v>1.3447031813709489E-2</v>
      </c>
      <c r="K200">
        <f t="shared" si="26"/>
        <v>-4.7461665018834413E-2</v>
      </c>
      <c r="L200">
        <f t="shared" si="27"/>
        <v>1.8779775221751352E-2</v>
      </c>
      <c r="M200">
        <f t="shared" si="28"/>
        <v>7.9003601836402058E-3</v>
      </c>
      <c r="N200">
        <f t="shared" si="29"/>
        <v>9.7201602285777802E-3</v>
      </c>
      <c r="O200">
        <f t="shared" si="30"/>
        <v>1.9913411726325377E-2</v>
      </c>
      <c r="P200">
        <f t="shared" si="31"/>
        <v>8.5197018104366043E-3</v>
      </c>
      <c r="Q200">
        <f t="shared" si="32"/>
        <v>7.4102964118564745E-3</v>
      </c>
    </row>
    <row r="201" spans="1:17" x14ac:dyDescent="0.25">
      <c r="A201" s="139">
        <v>43826</v>
      </c>
      <c r="B201" s="148">
        <v>151.75</v>
      </c>
      <c r="C201" s="148">
        <v>151</v>
      </c>
      <c r="D201" s="148">
        <v>3906.5</v>
      </c>
      <c r="E201" s="148">
        <v>1275</v>
      </c>
      <c r="F201" s="148">
        <v>1812.25</v>
      </c>
      <c r="G201" s="148">
        <v>1542.349976</v>
      </c>
      <c r="H201" s="148">
        <v>48</v>
      </c>
      <c r="I201" s="125">
        <v>1949.900024</v>
      </c>
      <c r="J201">
        <f t="shared" si="25"/>
        <v>-1.7799352750809062E-2</v>
      </c>
      <c r="K201">
        <f t="shared" si="26"/>
        <v>-4.7619065639500517E-2</v>
      </c>
      <c r="L201">
        <f t="shared" si="27"/>
        <v>9.2620102566752117E-3</v>
      </c>
      <c r="M201">
        <f t="shared" si="28"/>
        <v>-5.5765892182364695E-3</v>
      </c>
      <c r="N201">
        <f t="shared" si="29"/>
        <v>5.5207235199467601E-3</v>
      </c>
      <c r="O201">
        <f t="shared" si="30"/>
        <v>-1.1980151914925724E-3</v>
      </c>
      <c r="P201">
        <f t="shared" si="31"/>
        <v>1.3727560718056992E-2</v>
      </c>
      <c r="Q201">
        <f t="shared" si="32"/>
        <v>6.5298872112530808E-3</v>
      </c>
    </row>
    <row r="202" spans="1:17" x14ac:dyDescent="0.25">
      <c r="A202" s="139">
        <v>43825</v>
      </c>
      <c r="B202" s="148">
        <v>150.69999999999999</v>
      </c>
      <c r="C202" s="148">
        <v>156.300003</v>
      </c>
      <c r="D202" s="148">
        <v>3912.4</v>
      </c>
      <c r="E202" s="148">
        <v>1270.4499510000001</v>
      </c>
      <c r="F202" s="148">
        <v>1809.6</v>
      </c>
      <c r="G202" s="148">
        <v>1515.400024</v>
      </c>
      <c r="H202" s="148">
        <v>48.65</v>
      </c>
      <c r="I202" s="125">
        <v>1944.9499510000001</v>
      </c>
      <c r="J202">
        <f t="shared" si="25"/>
        <v>-6.9192751235585591E-3</v>
      </c>
      <c r="K202">
        <f t="shared" si="26"/>
        <v>3.5099357615894063E-2</v>
      </c>
      <c r="L202">
        <f t="shared" si="27"/>
        <v>1.5103033405862258E-3</v>
      </c>
      <c r="M202">
        <f t="shared" si="28"/>
        <v>-3.5686658823528977E-3</v>
      </c>
      <c r="N202">
        <f t="shared" si="29"/>
        <v>-1.4622706580218463E-3</v>
      </c>
      <c r="O202">
        <f t="shared" si="30"/>
        <v>-1.7473305293454318E-2</v>
      </c>
      <c r="P202">
        <f t="shared" si="31"/>
        <v>1.3541666666666638E-2</v>
      </c>
      <c r="Q202">
        <f t="shared" si="32"/>
        <v>-2.5386291292234862E-3</v>
      </c>
    </row>
    <row r="203" spans="1:17" x14ac:dyDescent="0.25">
      <c r="A203" s="139">
        <v>43823</v>
      </c>
      <c r="B203" s="148">
        <v>148.05000000000001</v>
      </c>
      <c r="C203" s="148">
        <v>148.89999399999999</v>
      </c>
      <c r="D203" s="148">
        <v>3747.45</v>
      </c>
      <c r="E203" s="148">
        <v>1289.150024</v>
      </c>
      <c r="F203" s="148">
        <v>1803.45</v>
      </c>
      <c r="G203" s="148">
        <v>1546.4499510000001</v>
      </c>
      <c r="H203" s="148">
        <v>51.2</v>
      </c>
      <c r="I203" s="125">
        <v>1946.400024</v>
      </c>
      <c r="J203">
        <f t="shared" si="25"/>
        <v>-1.7584605175845903E-2</v>
      </c>
      <c r="K203">
        <f t="shared" si="26"/>
        <v>-4.7344906320955164E-2</v>
      </c>
      <c r="L203">
        <f t="shared" si="27"/>
        <v>-4.2160822001840369E-2</v>
      </c>
      <c r="M203">
        <f t="shared" si="28"/>
        <v>1.4719252014044884E-2</v>
      </c>
      <c r="N203">
        <f t="shared" si="29"/>
        <v>-3.3985411140582803E-3</v>
      </c>
      <c r="O203">
        <f t="shared" si="30"/>
        <v>2.0489591202487684E-2</v>
      </c>
      <c r="P203">
        <f t="shared" si="31"/>
        <v>5.2415210688592076E-2</v>
      </c>
      <c r="Q203">
        <f t="shared" si="32"/>
        <v>7.4555800227888477E-4</v>
      </c>
    </row>
    <row r="204" spans="1:17" x14ac:dyDescent="0.25">
      <c r="A204" s="139">
        <v>43822</v>
      </c>
      <c r="B204" s="148">
        <v>147.75</v>
      </c>
      <c r="C204" s="148">
        <v>141.85000600000001</v>
      </c>
      <c r="D204" s="148">
        <v>3740.55</v>
      </c>
      <c r="E204" s="148">
        <v>1302.400024</v>
      </c>
      <c r="F204" s="148">
        <v>1807.55</v>
      </c>
      <c r="G204" s="148">
        <v>1571.400024</v>
      </c>
      <c r="H204" s="148">
        <v>49.65</v>
      </c>
      <c r="I204" s="125">
        <v>1950.400024</v>
      </c>
      <c r="J204">
        <f t="shared" si="25"/>
        <v>-2.0263424518744432E-3</v>
      </c>
      <c r="K204">
        <f t="shared" si="26"/>
        <v>-4.7347134211435798E-2</v>
      </c>
      <c r="L204">
        <f t="shared" si="27"/>
        <v>-1.8412520513948515E-3</v>
      </c>
      <c r="M204">
        <f t="shared" si="28"/>
        <v>1.0278090023136051E-2</v>
      </c>
      <c r="N204">
        <f t="shared" si="29"/>
        <v>2.2734203886993869E-3</v>
      </c>
      <c r="O204">
        <f t="shared" si="30"/>
        <v>1.613377334576279E-2</v>
      </c>
      <c r="P204">
        <f t="shared" si="31"/>
        <v>-3.0273437500000083E-2</v>
      </c>
      <c r="Q204">
        <f t="shared" si="32"/>
        <v>2.0550760124733742E-3</v>
      </c>
    </row>
    <row r="205" spans="1:17" x14ac:dyDescent="0.25">
      <c r="A205" s="139">
        <v>43819</v>
      </c>
      <c r="B205" s="148">
        <v>144.25</v>
      </c>
      <c r="C205" s="148">
        <v>135.10000600000001</v>
      </c>
      <c r="D205" s="148">
        <v>3711.75</v>
      </c>
      <c r="E205" s="148">
        <v>1296.6999510000001</v>
      </c>
      <c r="F205" s="148">
        <v>1799.25</v>
      </c>
      <c r="G205" s="148">
        <v>1599.099976</v>
      </c>
      <c r="H205" s="148">
        <v>51.4</v>
      </c>
      <c r="I205" s="125">
        <v>1943.099976</v>
      </c>
      <c r="J205">
        <f t="shared" si="25"/>
        <v>-2.3688663282571912E-2</v>
      </c>
      <c r="K205">
        <f t="shared" si="26"/>
        <v>-4.7585475604421189E-2</v>
      </c>
      <c r="L205">
        <f t="shared" si="27"/>
        <v>-7.6994024942856482E-3</v>
      </c>
      <c r="M205">
        <f t="shared" si="28"/>
        <v>-4.3765915962544356E-3</v>
      </c>
      <c r="N205">
        <f t="shared" si="29"/>
        <v>-4.5918508478326771E-3</v>
      </c>
      <c r="O205">
        <f t="shared" si="30"/>
        <v>1.7627562413731986E-2</v>
      </c>
      <c r="P205">
        <f t="shared" si="31"/>
        <v>3.5246727089627394E-2</v>
      </c>
      <c r="Q205">
        <f t="shared" si="32"/>
        <v>-3.7428465495138144E-3</v>
      </c>
    </row>
    <row r="206" spans="1:17" x14ac:dyDescent="0.25">
      <c r="A206" s="139">
        <v>43818</v>
      </c>
      <c r="B206" s="148">
        <v>149.35</v>
      </c>
      <c r="C206" s="148">
        <v>134.25</v>
      </c>
      <c r="D206" s="148">
        <v>3657.5</v>
      </c>
      <c r="E206" s="148">
        <v>1288.8000489999999</v>
      </c>
      <c r="F206" s="148">
        <v>1803.1</v>
      </c>
      <c r="G206" s="148">
        <v>1609.9499510000001</v>
      </c>
      <c r="H206" s="148">
        <v>49.9</v>
      </c>
      <c r="I206" s="125">
        <v>1951.099976</v>
      </c>
      <c r="J206">
        <f t="shared" si="25"/>
        <v>3.5355285961871714E-2</v>
      </c>
      <c r="K206">
        <f t="shared" si="26"/>
        <v>-6.2916799574383999E-3</v>
      </c>
      <c r="L206">
        <f t="shared" si="27"/>
        <v>-1.4615747289014616E-2</v>
      </c>
      <c r="M206">
        <f t="shared" si="28"/>
        <v>-6.0923130242333994E-3</v>
      </c>
      <c r="N206">
        <f t="shared" si="29"/>
        <v>2.1397804640822058E-3</v>
      </c>
      <c r="O206">
        <f t="shared" si="30"/>
        <v>6.7850510680015708E-3</v>
      </c>
      <c r="P206">
        <f t="shared" si="31"/>
        <v>-2.9182879377431907E-2</v>
      </c>
      <c r="Q206">
        <f t="shared" si="32"/>
        <v>4.117132468123709E-3</v>
      </c>
    </row>
    <row r="207" spans="1:17" x14ac:dyDescent="0.25">
      <c r="A207" s="139">
        <v>43817</v>
      </c>
      <c r="B207" s="148">
        <v>152.80000000000001</v>
      </c>
      <c r="C207" s="148">
        <v>135.10000600000001</v>
      </c>
      <c r="D207" s="148">
        <v>3622.3</v>
      </c>
      <c r="E207" s="148">
        <v>1292.349976</v>
      </c>
      <c r="F207" s="148">
        <v>1778.45</v>
      </c>
      <c r="G207" s="148">
        <v>1575.849976</v>
      </c>
      <c r="H207" s="148">
        <v>46.75</v>
      </c>
      <c r="I207" s="125">
        <v>1928.5500489999999</v>
      </c>
      <c r="J207">
        <f t="shared" si="25"/>
        <v>2.3100100435219397E-2</v>
      </c>
      <c r="K207">
        <f t="shared" si="26"/>
        <v>6.3315158286778965E-3</v>
      </c>
      <c r="L207">
        <f t="shared" si="27"/>
        <v>-9.6240601503758908E-3</v>
      </c>
      <c r="M207">
        <f t="shared" si="28"/>
        <v>2.7544435638053155E-3</v>
      </c>
      <c r="N207">
        <f t="shared" si="29"/>
        <v>-1.3670900116466012E-2</v>
      </c>
      <c r="O207">
        <f t="shared" si="30"/>
        <v>-2.118076712808328E-2</v>
      </c>
      <c r="P207">
        <f t="shared" si="31"/>
        <v>-6.312625250501E-2</v>
      </c>
      <c r="Q207">
        <f t="shared" si="32"/>
        <v>-1.155754562932762E-2</v>
      </c>
    </row>
    <row r="208" spans="1:17" x14ac:dyDescent="0.25">
      <c r="A208" s="139">
        <v>43816</v>
      </c>
      <c r="B208" s="148">
        <v>152.35</v>
      </c>
      <c r="C208" s="148">
        <v>135.550003</v>
      </c>
      <c r="D208" s="148">
        <v>3548.45</v>
      </c>
      <c r="E208" s="148">
        <v>1271.099976</v>
      </c>
      <c r="F208" s="148">
        <v>1745.4</v>
      </c>
      <c r="G208" s="148">
        <v>1562.6999510000001</v>
      </c>
      <c r="H208" s="148">
        <v>47.6</v>
      </c>
      <c r="I208" s="125">
        <v>1961.349976</v>
      </c>
      <c r="J208">
        <f t="shared" si="25"/>
        <v>-2.9450261780105827E-3</v>
      </c>
      <c r="K208">
        <f t="shared" si="26"/>
        <v>3.3308436714650936E-3</v>
      </c>
      <c r="L208">
        <f t="shared" si="27"/>
        <v>-2.0387599039284533E-2</v>
      </c>
      <c r="M208">
        <f t="shared" si="28"/>
        <v>-1.6442914376623936E-2</v>
      </c>
      <c r="N208">
        <f t="shared" si="29"/>
        <v>-1.8583598076977115E-2</v>
      </c>
      <c r="O208">
        <f t="shared" si="30"/>
        <v>-8.344718850317713E-3</v>
      </c>
      <c r="P208">
        <f t="shared" si="31"/>
        <v>1.8181818181818212E-2</v>
      </c>
      <c r="Q208">
        <f t="shared" si="32"/>
        <v>1.7007558096305348E-2</v>
      </c>
    </row>
    <row r="209" spans="1:17" x14ac:dyDescent="0.25">
      <c r="A209" s="139">
        <v>43815</v>
      </c>
      <c r="B209" s="148">
        <v>147.15</v>
      </c>
      <c r="C209" s="148">
        <v>134.39999399999999</v>
      </c>
      <c r="D209" s="148">
        <v>3565</v>
      </c>
      <c r="E209" s="148">
        <v>1257.349976</v>
      </c>
      <c r="F209" s="148">
        <v>1731.45</v>
      </c>
      <c r="G209" s="148">
        <v>1566.599976</v>
      </c>
      <c r="H209" s="148">
        <v>46.8</v>
      </c>
      <c r="I209" s="125">
        <v>1974.75</v>
      </c>
      <c r="J209">
        <f t="shared" si="25"/>
        <v>-3.4131933048900484E-2</v>
      </c>
      <c r="K209">
        <f t="shared" si="26"/>
        <v>-8.4840204688155663E-3</v>
      </c>
      <c r="L209">
        <f t="shared" si="27"/>
        <v>4.6640082289450841E-3</v>
      </c>
      <c r="M209">
        <f t="shared" si="28"/>
        <v>-1.0817402454266115E-2</v>
      </c>
      <c r="N209">
        <f t="shared" si="29"/>
        <v>-7.9924372636645154E-3</v>
      </c>
      <c r="O209">
        <f t="shared" si="30"/>
        <v>2.4956966290964667E-3</v>
      </c>
      <c r="P209">
        <f t="shared" si="31"/>
        <v>-1.680672268907572E-2</v>
      </c>
      <c r="Q209">
        <f t="shared" si="32"/>
        <v>6.8320412797150034E-3</v>
      </c>
    </row>
    <row r="210" spans="1:17" x14ac:dyDescent="0.25">
      <c r="A210" s="139">
        <v>43812</v>
      </c>
      <c r="B210" s="148">
        <v>149.4</v>
      </c>
      <c r="C210" s="148">
        <v>132.64999399999999</v>
      </c>
      <c r="D210" s="148">
        <v>3548.45</v>
      </c>
      <c r="E210" s="148">
        <v>1263.849976</v>
      </c>
      <c r="F210" s="148">
        <v>1743.95</v>
      </c>
      <c r="G210" s="148">
        <v>1582.900024</v>
      </c>
      <c r="H210" s="148">
        <v>46.65</v>
      </c>
      <c r="I210" s="125">
        <v>2006.1999510000001</v>
      </c>
      <c r="J210">
        <f t="shared" si="25"/>
        <v>1.5290519877675841E-2</v>
      </c>
      <c r="K210">
        <f t="shared" si="26"/>
        <v>-1.3020833914620562E-2</v>
      </c>
      <c r="L210">
        <f t="shared" si="27"/>
        <v>-4.6423562412342724E-3</v>
      </c>
      <c r="M210">
        <f t="shared" si="28"/>
        <v>5.1696028345889914E-3</v>
      </c>
      <c r="N210">
        <f t="shared" si="29"/>
        <v>7.2193825984001843E-3</v>
      </c>
      <c r="O210">
        <f t="shared" si="30"/>
        <v>1.0404728871258493E-2</v>
      </c>
      <c r="P210">
        <f t="shared" si="31"/>
        <v>-3.2051282051281751E-3</v>
      </c>
      <c r="Q210">
        <f t="shared" si="32"/>
        <v>1.5926041777440211E-2</v>
      </c>
    </row>
    <row r="211" spans="1:17" x14ac:dyDescent="0.25">
      <c r="A211" s="139">
        <v>43811</v>
      </c>
      <c r="B211" s="148">
        <v>144</v>
      </c>
      <c r="C211" s="148">
        <v>131.89999399999999</v>
      </c>
      <c r="D211" s="148">
        <v>3412.8</v>
      </c>
      <c r="E211" s="148">
        <v>1263.599976</v>
      </c>
      <c r="F211" s="148">
        <v>1750.65</v>
      </c>
      <c r="G211" s="148">
        <v>1568.1999510000001</v>
      </c>
      <c r="H211" s="148">
        <v>45.35</v>
      </c>
      <c r="I211" s="125">
        <v>2007.349976</v>
      </c>
      <c r="J211">
        <f t="shared" si="25"/>
        <v>-3.6144578313253052E-2</v>
      </c>
      <c r="K211">
        <f t="shared" si="26"/>
        <v>-5.6539768859695545E-3</v>
      </c>
      <c r="L211">
        <f t="shared" si="27"/>
        <v>-3.8227958686186829E-2</v>
      </c>
      <c r="M211">
        <f t="shared" si="28"/>
        <v>-1.9780828796724209E-4</v>
      </c>
      <c r="N211">
        <f t="shared" si="29"/>
        <v>3.8418532641417732E-3</v>
      </c>
      <c r="O211">
        <f t="shared" si="30"/>
        <v>-9.2867981408281119E-3</v>
      </c>
      <c r="P211">
        <f t="shared" si="31"/>
        <v>-2.7867095391211086E-2</v>
      </c>
      <c r="Q211">
        <f t="shared" si="32"/>
        <v>5.7323548404369094E-4</v>
      </c>
    </row>
    <row r="212" spans="1:17" x14ac:dyDescent="0.25">
      <c r="A212" s="139">
        <v>43810</v>
      </c>
      <c r="B212" s="148">
        <v>138.5</v>
      </c>
      <c r="C212" s="148">
        <v>132.550003</v>
      </c>
      <c r="D212" s="148">
        <v>3443.35</v>
      </c>
      <c r="E212" s="148">
        <v>1248.75</v>
      </c>
      <c r="F212" s="148">
        <v>1738.2</v>
      </c>
      <c r="G212" s="148">
        <v>1562.400024</v>
      </c>
      <c r="H212" s="148">
        <v>42.8</v>
      </c>
      <c r="I212" s="125">
        <v>2010.4499510000001</v>
      </c>
      <c r="J212">
        <f t="shared" si="25"/>
        <v>-3.8194444444444448E-2</v>
      </c>
      <c r="K212">
        <f t="shared" si="26"/>
        <v>4.9280441968785182E-3</v>
      </c>
      <c r="L212">
        <f t="shared" si="27"/>
        <v>8.9515939990622729E-3</v>
      </c>
      <c r="M212">
        <f t="shared" si="28"/>
        <v>-1.175211798199652E-2</v>
      </c>
      <c r="N212">
        <f t="shared" si="29"/>
        <v>-7.1116442464227827E-3</v>
      </c>
      <c r="O212">
        <f t="shared" si="30"/>
        <v>-3.6984614087645926E-3</v>
      </c>
      <c r="P212">
        <f t="shared" si="31"/>
        <v>-5.6229327453142318E-2</v>
      </c>
      <c r="Q212">
        <f t="shared" si="32"/>
        <v>1.5443121713022531E-3</v>
      </c>
    </row>
    <row r="213" spans="1:17" x14ac:dyDescent="0.25">
      <c r="A213" s="139">
        <v>43809</v>
      </c>
      <c r="B213" s="148">
        <v>140.85</v>
      </c>
      <c r="C213" s="148">
        <v>126.900002</v>
      </c>
      <c r="D213" s="148">
        <v>3453.65</v>
      </c>
      <c r="E213" s="148">
        <v>1249.5</v>
      </c>
      <c r="F213" s="148">
        <v>1713.15</v>
      </c>
      <c r="G213" s="148">
        <v>1561.9499510000001</v>
      </c>
      <c r="H213" s="148">
        <v>50.55</v>
      </c>
      <c r="I213" s="125">
        <v>2025.349976</v>
      </c>
      <c r="J213">
        <f t="shared" si="25"/>
        <v>1.6967509025270718E-2</v>
      </c>
      <c r="K213">
        <f t="shared" si="26"/>
        <v>-4.2625430947745832E-2</v>
      </c>
      <c r="L213">
        <f t="shared" si="27"/>
        <v>2.9912730335284483E-3</v>
      </c>
      <c r="M213">
        <f t="shared" si="28"/>
        <v>6.0060060060060057E-4</v>
      </c>
      <c r="N213">
        <f t="shared" si="29"/>
        <v>-1.441146013117015E-2</v>
      </c>
      <c r="O213">
        <f t="shared" si="30"/>
        <v>-2.8806515174501483E-4</v>
      </c>
      <c r="P213">
        <f t="shared" si="31"/>
        <v>0.18107476635514019</v>
      </c>
      <c r="Q213">
        <f t="shared" si="32"/>
        <v>7.4112886981288068E-3</v>
      </c>
    </row>
    <row r="214" spans="1:17" x14ac:dyDescent="0.25">
      <c r="A214" s="139">
        <v>43808</v>
      </c>
      <c r="B214" s="148">
        <v>142.6</v>
      </c>
      <c r="C214" s="148">
        <v>124.650002</v>
      </c>
      <c r="D214" s="148">
        <v>3504.2</v>
      </c>
      <c r="E214" s="148">
        <v>1242.9499510000001</v>
      </c>
      <c r="F214" s="148">
        <v>1726.35</v>
      </c>
      <c r="G214" s="148">
        <v>1572.599976</v>
      </c>
      <c r="H214" s="148">
        <v>56.25</v>
      </c>
      <c r="I214" s="125">
        <v>2008.150024</v>
      </c>
      <c r="J214">
        <f t="shared" si="25"/>
        <v>1.2424565140220093E-2</v>
      </c>
      <c r="K214">
        <f t="shared" si="26"/>
        <v>-1.7730496174460264E-2</v>
      </c>
      <c r="L214">
        <f t="shared" si="27"/>
        <v>1.4636688720628821E-2</v>
      </c>
      <c r="M214">
        <f t="shared" si="28"/>
        <v>-5.2421360544217246E-3</v>
      </c>
      <c r="N214">
        <f t="shared" si="29"/>
        <v>7.7051046318184734E-3</v>
      </c>
      <c r="O214">
        <f t="shared" si="30"/>
        <v>6.8184162963617996E-3</v>
      </c>
      <c r="P214">
        <f t="shared" si="31"/>
        <v>0.11275964391691401</v>
      </c>
      <c r="Q214">
        <f t="shared" si="32"/>
        <v>-8.4923357463233505E-3</v>
      </c>
    </row>
    <row r="215" spans="1:17" x14ac:dyDescent="0.25">
      <c r="A215" s="139">
        <v>43805</v>
      </c>
      <c r="B215" s="148">
        <v>141.94999999999999</v>
      </c>
      <c r="C215" s="148">
        <v>126.400002</v>
      </c>
      <c r="D215" s="148">
        <v>3450.35</v>
      </c>
      <c r="E215" s="148">
        <v>1246.0500489999999</v>
      </c>
      <c r="F215" s="148">
        <v>1716.65</v>
      </c>
      <c r="G215" s="148">
        <v>1554.900024</v>
      </c>
      <c r="H215" s="148">
        <v>56</v>
      </c>
      <c r="I215" s="125">
        <v>2026.0500489999999</v>
      </c>
      <c r="J215">
        <f t="shared" si="25"/>
        <v>-4.55820476858349E-3</v>
      </c>
      <c r="K215">
        <f t="shared" si="26"/>
        <v>1.4039309842931251E-2</v>
      </c>
      <c r="L215">
        <f t="shared" si="27"/>
        <v>-1.5367273557445327E-2</v>
      </c>
      <c r="M215">
        <f t="shared" si="28"/>
        <v>2.4941454782678443E-3</v>
      </c>
      <c r="N215">
        <f t="shared" si="29"/>
        <v>-5.6187910910301033E-3</v>
      </c>
      <c r="O215">
        <f t="shared" si="30"/>
        <v>-1.1255215738347398E-2</v>
      </c>
      <c r="P215">
        <f t="shared" si="31"/>
        <v>-4.4444444444444444E-3</v>
      </c>
      <c r="Q215">
        <f t="shared" si="32"/>
        <v>8.9136891099127931E-3</v>
      </c>
    </row>
    <row r="216" spans="1:17" x14ac:dyDescent="0.25">
      <c r="A216" s="139">
        <v>43804</v>
      </c>
      <c r="B216" s="148">
        <v>142.5</v>
      </c>
      <c r="C216" s="148">
        <v>129.949997</v>
      </c>
      <c r="D216" s="148">
        <v>3511</v>
      </c>
      <c r="E216" s="148">
        <v>1245.599976</v>
      </c>
      <c r="F216" s="148">
        <v>1715.85</v>
      </c>
      <c r="G216" s="148">
        <v>1550.849976</v>
      </c>
      <c r="H216" s="148">
        <v>62.1</v>
      </c>
      <c r="I216" s="125">
        <v>2037.4499510000001</v>
      </c>
      <c r="J216">
        <f t="shared" si="25"/>
        <v>3.8746037337091328E-3</v>
      </c>
      <c r="K216">
        <f t="shared" si="26"/>
        <v>2.8085403036623335E-2</v>
      </c>
      <c r="L216">
        <f t="shared" si="27"/>
        <v>1.7577926876983521E-2</v>
      </c>
      <c r="M216">
        <f t="shared" si="28"/>
        <v>-3.6119977713670062E-4</v>
      </c>
      <c r="N216">
        <f t="shared" si="29"/>
        <v>-4.6602394198012518E-4</v>
      </c>
      <c r="O216">
        <f t="shared" si="30"/>
        <v>-2.6046999405024518E-3</v>
      </c>
      <c r="P216">
        <f t="shared" si="31"/>
        <v>0.10892857142857146</v>
      </c>
      <c r="Q216">
        <f t="shared" si="32"/>
        <v>5.626663569158509E-3</v>
      </c>
    </row>
    <row r="217" spans="1:17" x14ac:dyDescent="0.25">
      <c r="A217" s="139">
        <v>43803</v>
      </c>
      <c r="B217" s="148">
        <v>144.19999999999999</v>
      </c>
      <c r="C217" s="148">
        <v>128.550003</v>
      </c>
      <c r="D217" s="148">
        <v>3483.35</v>
      </c>
      <c r="E217" s="148">
        <v>1251.650024</v>
      </c>
      <c r="F217" s="148">
        <v>1720.3</v>
      </c>
      <c r="G217" s="148">
        <v>1552.6999510000001</v>
      </c>
      <c r="H217" s="148">
        <v>63</v>
      </c>
      <c r="I217" s="125">
        <v>2048</v>
      </c>
      <c r="J217">
        <f t="shared" si="25"/>
        <v>1.1929824561403429E-2</v>
      </c>
      <c r="K217">
        <f t="shared" si="26"/>
        <v>-1.0773328451865932E-2</v>
      </c>
      <c r="L217">
        <f t="shared" si="27"/>
        <v>-7.8752492167473917E-3</v>
      </c>
      <c r="M217">
        <f t="shared" si="28"/>
        <v>4.8571356106063869E-3</v>
      </c>
      <c r="N217">
        <f t="shared" si="29"/>
        <v>2.5934667948830292E-3</v>
      </c>
      <c r="O217">
        <f t="shared" si="30"/>
        <v>1.1928781175672442E-3</v>
      </c>
      <c r="P217">
        <f t="shared" si="31"/>
        <v>1.4492753623188383E-2</v>
      </c>
      <c r="Q217">
        <f t="shared" si="32"/>
        <v>5.1780653531253024E-3</v>
      </c>
    </row>
    <row r="218" spans="1:17" x14ac:dyDescent="0.25">
      <c r="A218" s="139">
        <v>43802</v>
      </c>
      <c r="B218" s="148">
        <v>139.69999999999999</v>
      </c>
      <c r="C218" s="148">
        <v>124.75</v>
      </c>
      <c r="D218" s="148">
        <v>3289.35</v>
      </c>
      <c r="E218" s="148">
        <v>1255.400024</v>
      </c>
      <c r="F218" s="148">
        <v>1736.45</v>
      </c>
      <c r="G218" s="148">
        <v>1578.900024</v>
      </c>
      <c r="H218" s="148">
        <v>59.5</v>
      </c>
      <c r="I218" s="125">
        <v>2028.4499510000001</v>
      </c>
      <c r="J218">
        <f t="shared" si="25"/>
        <v>-3.1206657420249657E-2</v>
      </c>
      <c r="K218">
        <f t="shared" si="26"/>
        <v>-2.9560504949968796E-2</v>
      </c>
      <c r="L218">
        <f t="shared" si="27"/>
        <v>-5.569351342816542E-2</v>
      </c>
      <c r="M218">
        <f t="shared" si="28"/>
        <v>2.9960451628609562E-3</v>
      </c>
      <c r="N218">
        <f t="shared" si="29"/>
        <v>9.3878974597454458E-3</v>
      </c>
      <c r="O218">
        <f t="shared" si="30"/>
        <v>1.6873880225941974E-2</v>
      </c>
      <c r="P218">
        <f t="shared" si="31"/>
        <v>-5.5555555555555552E-2</v>
      </c>
      <c r="Q218">
        <f t="shared" si="32"/>
        <v>-9.5459223632812229E-3</v>
      </c>
    </row>
    <row r="219" spans="1:17" x14ac:dyDescent="0.25">
      <c r="A219" s="139">
        <v>43801</v>
      </c>
      <c r="B219" s="148">
        <v>144.69999999999999</v>
      </c>
      <c r="C219" s="148">
        <v>131.300003</v>
      </c>
      <c r="D219" s="148">
        <v>3272.5</v>
      </c>
      <c r="E219" s="148">
        <v>1265.75</v>
      </c>
      <c r="F219" s="148">
        <v>1738.25</v>
      </c>
      <c r="G219" s="148">
        <v>1586.5</v>
      </c>
      <c r="H219" s="148">
        <v>64.05</v>
      </c>
      <c r="I219" s="125">
        <v>2043.1999510000001</v>
      </c>
      <c r="J219">
        <f t="shared" si="25"/>
        <v>3.579098067287044E-2</v>
      </c>
      <c r="K219">
        <f t="shared" si="26"/>
        <v>5.2505034068136301E-2</v>
      </c>
      <c r="L219">
        <f t="shared" si="27"/>
        <v>-5.1225926094820894E-3</v>
      </c>
      <c r="M219">
        <f t="shared" si="28"/>
        <v>8.2443649849730846E-3</v>
      </c>
      <c r="N219">
        <f t="shared" si="29"/>
        <v>1.0365976561374957E-3</v>
      </c>
      <c r="O219">
        <f t="shared" si="30"/>
        <v>4.8134624640426057E-3</v>
      </c>
      <c r="P219">
        <f t="shared" si="31"/>
        <v>7.6470588235294068E-2</v>
      </c>
      <c r="Q219">
        <f t="shared" si="32"/>
        <v>7.2715622057761085E-3</v>
      </c>
    </row>
    <row r="220" spans="1:17" x14ac:dyDescent="0.25">
      <c r="A220" s="139">
        <v>43798</v>
      </c>
      <c r="B220" s="148">
        <v>144.6</v>
      </c>
      <c r="C220" s="148">
        <v>137.10000600000001</v>
      </c>
      <c r="D220" s="148">
        <v>3307.45</v>
      </c>
      <c r="E220" s="148">
        <v>1274.9499510000001</v>
      </c>
      <c r="F220" s="148">
        <v>1706.15</v>
      </c>
      <c r="G220" s="148">
        <v>1551.150024</v>
      </c>
      <c r="H220" s="148">
        <v>68.3</v>
      </c>
      <c r="I220" s="125">
        <v>2035.3000489999999</v>
      </c>
      <c r="J220">
        <f t="shared" si="25"/>
        <v>-6.9108500345538575E-4</v>
      </c>
      <c r="K220">
        <f t="shared" si="26"/>
        <v>4.4173669973183498E-2</v>
      </c>
      <c r="L220">
        <f t="shared" si="27"/>
        <v>1.0679908326967094E-2</v>
      </c>
      <c r="M220">
        <f t="shared" si="28"/>
        <v>7.2683792218052974E-3</v>
      </c>
      <c r="N220">
        <f t="shared" si="29"/>
        <v>-1.8466848842226324E-2</v>
      </c>
      <c r="O220">
        <f t="shared" si="30"/>
        <v>-2.2281737157264399E-2</v>
      </c>
      <c r="P220">
        <f t="shared" si="31"/>
        <v>6.6354410616705703E-2</v>
      </c>
      <c r="Q220">
        <f t="shared" si="32"/>
        <v>-3.8664360754970041E-3</v>
      </c>
    </row>
    <row r="221" spans="1:17" x14ac:dyDescent="0.25">
      <c r="A221" s="139">
        <v>43797</v>
      </c>
      <c r="B221" s="148">
        <v>147.4</v>
      </c>
      <c r="C221" s="148">
        <v>132.14999399999999</v>
      </c>
      <c r="D221" s="148">
        <v>3339.15</v>
      </c>
      <c r="E221" s="148">
        <v>1265.3000489999999</v>
      </c>
      <c r="F221" s="148">
        <v>1714.6</v>
      </c>
      <c r="G221" s="148">
        <v>1580.3000489999999</v>
      </c>
      <c r="H221" s="148">
        <v>70.05</v>
      </c>
      <c r="I221" s="125">
        <v>2087.1499020000001</v>
      </c>
      <c r="J221">
        <f t="shared" si="25"/>
        <v>1.9363762102351394E-2</v>
      </c>
      <c r="K221">
        <f t="shared" si="26"/>
        <v>-3.6105118770016792E-2</v>
      </c>
      <c r="L221">
        <f t="shared" si="27"/>
        <v>9.5844230449440727E-3</v>
      </c>
      <c r="M221">
        <f t="shared" si="28"/>
        <v>-7.5688476966733189E-3</v>
      </c>
      <c r="N221">
        <f t="shared" si="29"/>
        <v>4.9526712188259049E-3</v>
      </c>
      <c r="O221">
        <f t="shared" si="30"/>
        <v>1.8792524610114641E-2</v>
      </c>
      <c r="P221">
        <f t="shared" si="31"/>
        <v>2.5622254758418742E-2</v>
      </c>
      <c r="Q221">
        <f t="shared" si="32"/>
        <v>2.5475287059259617E-2</v>
      </c>
    </row>
    <row r="222" spans="1:17" x14ac:dyDescent="0.25">
      <c r="A222" s="139">
        <v>43796</v>
      </c>
      <c r="B222" s="148">
        <v>146.94999999999999</v>
      </c>
      <c r="C222" s="148">
        <v>125.900002</v>
      </c>
      <c r="D222" s="148">
        <v>3257.65</v>
      </c>
      <c r="E222" s="148">
        <v>1278.400024</v>
      </c>
      <c r="F222" s="148">
        <v>1715.35</v>
      </c>
      <c r="G222" s="148">
        <v>1569.849976</v>
      </c>
      <c r="H222" s="148">
        <v>68.25</v>
      </c>
      <c r="I222" s="125">
        <v>2093.25</v>
      </c>
      <c r="J222">
        <f t="shared" si="25"/>
        <v>-3.0529172320218254E-3</v>
      </c>
      <c r="K222">
        <f t="shared" si="26"/>
        <v>-4.7294682434870124E-2</v>
      </c>
      <c r="L222">
        <f t="shared" si="27"/>
        <v>-2.4407409071170807E-2</v>
      </c>
      <c r="M222">
        <f t="shared" si="28"/>
        <v>1.0353255743847748E-2</v>
      </c>
      <c r="N222">
        <f t="shared" si="29"/>
        <v>4.3741980636883242E-4</v>
      </c>
      <c r="O222">
        <f t="shared" si="30"/>
        <v>-6.6127144693899674E-3</v>
      </c>
      <c r="P222">
        <f t="shared" si="31"/>
        <v>-2.5695931477516021E-2</v>
      </c>
      <c r="Q222">
        <f t="shared" si="32"/>
        <v>2.9226928042660008E-3</v>
      </c>
    </row>
    <row r="223" spans="1:17" x14ac:dyDescent="0.25">
      <c r="A223" s="139">
        <v>43795</v>
      </c>
      <c r="B223" s="148">
        <v>145.1</v>
      </c>
      <c r="C223" s="148">
        <v>115.150002</v>
      </c>
      <c r="D223" s="148">
        <v>3222.05</v>
      </c>
      <c r="E223" s="148">
        <v>1275.0500489999999</v>
      </c>
      <c r="F223" s="148">
        <v>1710.3</v>
      </c>
      <c r="G223" s="148">
        <v>1560.25</v>
      </c>
      <c r="H223" s="148">
        <v>63.15</v>
      </c>
      <c r="I223" s="125">
        <v>2058.3500979999999</v>
      </c>
      <c r="J223">
        <f t="shared" si="25"/>
        <v>-1.2589316093909455E-2</v>
      </c>
      <c r="K223">
        <f t="shared" si="26"/>
        <v>-8.5385225013737492E-2</v>
      </c>
      <c r="L223">
        <f t="shared" si="27"/>
        <v>-1.0928123033475023E-2</v>
      </c>
      <c r="M223">
        <f t="shared" si="28"/>
        <v>-2.620443473959201E-3</v>
      </c>
      <c r="N223">
        <f t="shared" si="29"/>
        <v>-2.944005596525464E-3</v>
      </c>
      <c r="O223">
        <f t="shared" si="30"/>
        <v>-6.1152187449534795E-3</v>
      </c>
      <c r="P223">
        <f t="shared" si="31"/>
        <v>-7.4725274725274751E-2</v>
      </c>
      <c r="Q223">
        <f t="shared" si="32"/>
        <v>-1.6672591424817921E-2</v>
      </c>
    </row>
    <row r="224" spans="1:17" x14ac:dyDescent="0.25">
      <c r="A224" s="139">
        <v>43794</v>
      </c>
      <c r="B224" s="148">
        <v>146.15</v>
      </c>
      <c r="C224" s="148">
        <v>114.300003</v>
      </c>
      <c r="D224" s="148">
        <v>3190.3</v>
      </c>
      <c r="E224" s="148">
        <v>1271.099976</v>
      </c>
      <c r="F224" s="148">
        <v>1710.7</v>
      </c>
      <c r="G224" s="148">
        <v>1561.5500489999999</v>
      </c>
      <c r="H224" s="148">
        <v>63.75</v>
      </c>
      <c r="I224" s="125">
        <v>2062.3999020000001</v>
      </c>
      <c r="J224">
        <f t="shared" si="25"/>
        <v>7.2363886974501131E-3</v>
      </c>
      <c r="K224">
        <f t="shared" si="26"/>
        <v>-7.38166726215078E-3</v>
      </c>
      <c r="L224">
        <f t="shared" si="27"/>
        <v>-9.8539749538337391E-3</v>
      </c>
      <c r="M224">
        <f t="shared" si="28"/>
        <v>-3.0979748623185025E-3</v>
      </c>
      <c r="N224">
        <f t="shared" si="29"/>
        <v>2.3387709758527215E-4</v>
      </c>
      <c r="O224">
        <f t="shared" si="30"/>
        <v>8.3323121294660765E-4</v>
      </c>
      <c r="P224">
        <f t="shared" si="31"/>
        <v>9.50118764845608E-3</v>
      </c>
      <c r="Q224">
        <f t="shared" si="32"/>
        <v>1.9675000885103181E-3</v>
      </c>
    </row>
    <row r="225" spans="1:17" x14ac:dyDescent="0.25">
      <c r="A225" s="139">
        <v>43791</v>
      </c>
      <c r="B225" s="148">
        <v>142.25</v>
      </c>
      <c r="C225" s="148">
        <v>106.699997</v>
      </c>
      <c r="D225" s="148">
        <v>3177</v>
      </c>
      <c r="E225" s="148">
        <v>1264.75</v>
      </c>
      <c r="F225" s="148">
        <v>1682.75</v>
      </c>
      <c r="G225" s="148">
        <v>1546.5</v>
      </c>
      <c r="H225" s="148">
        <v>64.8</v>
      </c>
      <c r="I225" s="125">
        <v>2028.349976</v>
      </c>
      <c r="J225">
        <f t="shared" si="25"/>
        <v>-2.6684912760862167E-2</v>
      </c>
      <c r="K225">
        <f t="shared" si="26"/>
        <v>-6.6491739287181009E-2</v>
      </c>
      <c r="L225">
        <f t="shared" si="27"/>
        <v>-4.1688869385324836E-3</v>
      </c>
      <c r="M225">
        <f t="shared" si="28"/>
        <v>-4.9956542521404071E-3</v>
      </c>
      <c r="N225">
        <f t="shared" si="29"/>
        <v>-1.6338341029987751E-2</v>
      </c>
      <c r="O225">
        <f t="shared" si="30"/>
        <v>-9.6378908954201214E-3</v>
      </c>
      <c r="P225">
        <f t="shared" si="31"/>
        <v>1.6470588235294074E-2</v>
      </c>
      <c r="Q225">
        <f t="shared" si="32"/>
        <v>-1.6509856292652277E-2</v>
      </c>
    </row>
    <row r="226" spans="1:17" x14ac:dyDescent="0.25">
      <c r="A226" s="139">
        <v>43790</v>
      </c>
      <c r="B226" s="148">
        <v>139.05000000000001</v>
      </c>
      <c r="C226" s="148">
        <v>97</v>
      </c>
      <c r="D226" s="148">
        <v>3139.85</v>
      </c>
      <c r="E226" s="148">
        <v>1283.349976</v>
      </c>
      <c r="F226" s="148">
        <v>1720.35</v>
      </c>
      <c r="G226" s="148">
        <v>1537.599976</v>
      </c>
      <c r="H226" s="148">
        <v>64.25</v>
      </c>
      <c r="I226" s="125">
        <v>2048.6499020000001</v>
      </c>
      <c r="J226">
        <f t="shared" si="25"/>
        <v>-2.2495606326889201E-2</v>
      </c>
      <c r="K226">
        <f t="shared" si="26"/>
        <v>-9.0909065348895896E-2</v>
      </c>
      <c r="L226">
        <f t="shared" si="27"/>
        <v>-1.16934214667926E-2</v>
      </c>
      <c r="M226">
        <f t="shared" si="28"/>
        <v>1.4706444751927235E-2</v>
      </c>
      <c r="N226">
        <f t="shared" si="29"/>
        <v>2.2344376764225172E-2</v>
      </c>
      <c r="O226">
        <f t="shared" si="30"/>
        <v>-5.7549460071128549E-3</v>
      </c>
      <c r="P226">
        <f t="shared" si="31"/>
        <v>-8.4876543209876105E-3</v>
      </c>
      <c r="Q226">
        <f t="shared" si="32"/>
        <v>1.0008098326321642E-2</v>
      </c>
    </row>
    <row r="227" spans="1:17" x14ac:dyDescent="0.25">
      <c r="A227" s="139">
        <v>43789</v>
      </c>
      <c r="B227" s="148">
        <v>141.44999999999999</v>
      </c>
      <c r="C227" s="148">
        <v>98.75</v>
      </c>
      <c r="D227" s="148">
        <v>3103.55</v>
      </c>
      <c r="E227" s="148">
        <v>1273.349976</v>
      </c>
      <c r="F227" s="148">
        <v>1723.5</v>
      </c>
      <c r="G227" s="148">
        <v>1547.650024</v>
      </c>
      <c r="H227" s="148">
        <v>65.849999999999994</v>
      </c>
      <c r="I227" s="125">
        <v>2026.5</v>
      </c>
      <c r="J227">
        <f t="shared" si="25"/>
        <v>1.7259978425026804E-2</v>
      </c>
      <c r="K227">
        <f t="shared" si="26"/>
        <v>1.804123711340206E-2</v>
      </c>
      <c r="L227">
        <f t="shared" si="27"/>
        <v>-1.1561061834163966E-2</v>
      </c>
      <c r="M227">
        <f t="shared" si="28"/>
        <v>-7.792106741738857E-3</v>
      </c>
      <c r="N227">
        <f t="shared" si="29"/>
        <v>1.8310227569971757E-3</v>
      </c>
      <c r="O227">
        <f t="shared" si="30"/>
        <v>6.5361915692434044E-3</v>
      </c>
      <c r="P227">
        <f t="shared" si="31"/>
        <v>2.4902723735408472E-2</v>
      </c>
      <c r="Q227">
        <f t="shared" si="32"/>
        <v>-1.0811950825944544E-2</v>
      </c>
    </row>
    <row r="228" spans="1:17" x14ac:dyDescent="0.25">
      <c r="A228" s="139">
        <v>43788</v>
      </c>
      <c r="B228" s="148">
        <v>141.69999999999999</v>
      </c>
      <c r="C228" s="148">
        <v>96.199996999999996</v>
      </c>
      <c r="D228" s="148">
        <v>3232.45</v>
      </c>
      <c r="E228" s="148">
        <v>1271.900024</v>
      </c>
      <c r="F228" s="148">
        <v>1721.35</v>
      </c>
      <c r="G228" s="148">
        <v>1509.75</v>
      </c>
      <c r="H228" s="148">
        <v>64.150000000000006</v>
      </c>
      <c r="I228" s="125">
        <v>2037.75</v>
      </c>
      <c r="J228">
        <f t="shared" si="25"/>
        <v>1.7674089784376107E-3</v>
      </c>
      <c r="K228">
        <f t="shared" si="26"/>
        <v>-2.5822815189873456E-2</v>
      </c>
      <c r="L228">
        <f t="shared" si="27"/>
        <v>4.1533083082276628E-2</v>
      </c>
      <c r="M228">
        <f t="shared" si="28"/>
        <v>-1.1386908762936509E-3</v>
      </c>
      <c r="N228">
        <f t="shared" si="29"/>
        <v>-1.2474615607775403E-3</v>
      </c>
      <c r="O228">
        <f t="shared" si="30"/>
        <v>-2.4488756122036562E-2</v>
      </c>
      <c r="P228">
        <f t="shared" si="31"/>
        <v>-2.5816249050873027E-2</v>
      </c>
      <c r="Q228">
        <f t="shared" si="32"/>
        <v>5.5514433752775726E-3</v>
      </c>
    </row>
    <row r="229" spans="1:17" x14ac:dyDescent="0.25">
      <c r="A229" s="139">
        <v>43787</v>
      </c>
      <c r="B229" s="148">
        <v>143.4</v>
      </c>
      <c r="C229" s="148">
        <v>94.050003000000004</v>
      </c>
      <c r="D229" s="148">
        <v>3344.9</v>
      </c>
      <c r="E229" s="148">
        <v>1262.0500489999999</v>
      </c>
      <c r="F229" s="148">
        <v>1739</v>
      </c>
      <c r="G229" s="148">
        <v>1459.1999510000001</v>
      </c>
      <c r="H229" s="148">
        <v>65.849999999999994</v>
      </c>
      <c r="I229" s="125">
        <v>2056.1999510000001</v>
      </c>
      <c r="J229">
        <f t="shared" si="25"/>
        <v>1.1997177134791936E-2</v>
      </c>
      <c r="K229">
        <f t="shared" si="26"/>
        <v>-2.2349210676170732E-2</v>
      </c>
      <c r="L229">
        <f t="shared" si="27"/>
        <v>3.4787854413834793E-2</v>
      </c>
      <c r="M229">
        <f t="shared" si="28"/>
        <v>-7.7442997202114101E-3</v>
      </c>
      <c r="N229">
        <f t="shared" si="29"/>
        <v>1.0253580038922992E-2</v>
      </c>
      <c r="O229">
        <f t="shared" si="30"/>
        <v>-3.3482397085610162E-2</v>
      </c>
      <c r="P229">
        <f t="shared" si="31"/>
        <v>2.6500389711613226E-2</v>
      </c>
      <c r="Q229">
        <f t="shared" si="32"/>
        <v>9.0540797448166142E-3</v>
      </c>
    </row>
    <row r="230" spans="1:17" x14ac:dyDescent="0.25">
      <c r="A230" s="139">
        <v>43784</v>
      </c>
      <c r="B230" s="148">
        <v>142.1</v>
      </c>
      <c r="C230" s="148">
        <v>95.5</v>
      </c>
      <c r="D230" s="148">
        <v>3281.1</v>
      </c>
      <c r="E230" s="148">
        <v>1277.900024</v>
      </c>
      <c r="F230" s="148">
        <v>1760.7</v>
      </c>
      <c r="G230" s="148">
        <v>1470.849976</v>
      </c>
      <c r="H230" s="148">
        <v>68.7</v>
      </c>
      <c r="I230" s="125">
        <v>2057.6999510000001</v>
      </c>
      <c r="J230">
        <f t="shared" si="25"/>
        <v>-9.0655509065551698E-3</v>
      </c>
      <c r="K230">
        <f t="shared" si="26"/>
        <v>1.5417298817098348E-2</v>
      </c>
      <c r="L230">
        <f t="shared" si="27"/>
        <v>-1.9073813865885431E-2</v>
      </c>
      <c r="M230">
        <f t="shared" si="28"/>
        <v>1.2558911599868007E-2</v>
      </c>
      <c r="N230">
        <f t="shared" si="29"/>
        <v>1.2478435882691229E-2</v>
      </c>
      <c r="O230">
        <f t="shared" si="30"/>
        <v>7.983844155159181E-3</v>
      </c>
      <c r="P230">
        <f t="shared" si="31"/>
        <v>4.3280182232346372E-2</v>
      </c>
      <c r="Q230">
        <f t="shared" si="32"/>
        <v>7.2950103868570711E-4</v>
      </c>
    </row>
    <row r="231" spans="1:17" x14ac:dyDescent="0.25">
      <c r="A231" s="139">
        <v>43783</v>
      </c>
      <c r="B231" s="148">
        <v>144</v>
      </c>
      <c r="C231" s="148">
        <v>95.050003000000004</v>
      </c>
      <c r="D231" s="148">
        <v>3263.15</v>
      </c>
      <c r="E231" s="148">
        <v>1273.900024</v>
      </c>
      <c r="F231" s="148">
        <v>1771.85</v>
      </c>
      <c r="G231" s="148">
        <v>1462.75</v>
      </c>
      <c r="H231" s="148">
        <v>68.75</v>
      </c>
      <c r="I231" s="125">
        <v>2069.0500489999999</v>
      </c>
      <c r="J231">
        <f t="shared" si="25"/>
        <v>1.3370865587614397E-2</v>
      </c>
      <c r="K231">
        <f t="shared" si="26"/>
        <v>-4.7120104712041486E-3</v>
      </c>
      <c r="L231">
        <f t="shared" si="27"/>
        <v>-5.4707262808204012E-3</v>
      </c>
      <c r="M231">
        <f t="shared" si="28"/>
        <v>-3.1301353195686298E-3</v>
      </c>
      <c r="N231">
        <f t="shared" si="29"/>
        <v>6.332708581813974E-3</v>
      </c>
      <c r="O231">
        <f t="shared" si="30"/>
        <v>-5.5070035232471391E-3</v>
      </c>
      <c r="P231">
        <f t="shared" si="31"/>
        <v>7.2780203784566459E-4</v>
      </c>
      <c r="Q231">
        <f t="shared" si="32"/>
        <v>5.5159149877434628E-3</v>
      </c>
    </row>
    <row r="232" spans="1:17" x14ac:dyDescent="0.25">
      <c r="A232" s="139">
        <v>43782</v>
      </c>
      <c r="B232" s="148">
        <v>148.4</v>
      </c>
      <c r="C232" s="148">
        <v>96</v>
      </c>
      <c r="D232" s="148">
        <v>2999.7</v>
      </c>
      <c r="E232" s="148">
        <v>1257.5500489999999</v>
      </c>
      <c r="F232" s="148">
        <v>1770.45</v>
      </c>
      <c r="G232" s="148">
        <v>1472.3000489999999</v>
      </c>
      <c r="H232" s="148">
        <v>68.2</v>
      </c>
      <c r="I232" s="125">
        <v>2091</v>
      </c>
      <c r="J232">
        <f t="shared" si="25"/>
        <v>3.0555555555555596E-2</v>
      </c>
      <c r="K232">
        <f t="shared" si="26"/>
        <v>9.9947077329392217E-3</v>
      </c>
      <c r="L232">
        <f t="shared" si="27"/>
        <v>-8.073487274565995E-2</v>
      </c>
      <c r="M232">
        <f t="shared" si="28"/>
        <v>-1.2834582535497375E-2</v>
      </c>
      <c r="N232">
        <f t="shared" si="29"/>
        <v>-7.9013460507371602E-4</v>
      </c>
      <c r="O232">
        <f t="shared" si="30"/>
        <v>6.5288319945308116E-3</v>
      </c>
      <c r="P232">
        <f t="shared" si="31"/>
        <v>-7.9999999999999585E-3</v>
      </c>
      <c r="Q232">
        <f t="shared" si="32"/>
        <v>1.0608709543110747E-2</v>
      </c>
    </row>
    <row r="233" spans="1:17" x14ac:dyDescent="0.25">
      <c r="A233" s="139">
        <v>43780</v>
      </c>
      <c r="B233" s="148">
        <v>152.69999999999999</v>
      </c>
      <c r="C233" s="148">
        <v>93.849997999999999</v>
      </c>
      <c r="D233" s="148">
        <v>2989.4</v>
      </c>
      <c r="E233" s="148">
        <v>1264.75</v>
      </c>
      <c r="F233" s="148">
        <v>1773.95</v>
      </c>
      <c r="G233" s="148">
        <v>1427.8000489999999</v>
      </c>
      <c r="H233" s="148">
        <v>73</v>
      </c>
      <c r="I233" s="125">
        <v>2081.3500979999999</v>
      </c>
      <c r="J233">
        <f t="shared" si="25"/>
        <v>2.8975741239892067E-2</v>
      </c>
      <c r="K233">
        <f t="shared" si="26"/>
        <v>-2.2395854166666673E-2</v>
      </c>
      <c r="L233">
        <f t="shared" si="27"/>
        <v>-3.4336767010033431E-3</v>
      </c>
      <c r="M233">
        <f t="shared" si="28"/>
        <v>5.7253792846856753E-3</v>
      </c>
      <c r="N233">
        <f t="shared" si="29"/>
        <v>1.9768985286226664E-3</v>
      </c>
      <c r="O233">
        <f t="shared" si="30"/>
        <v>-3.0224817305565411E-2</v>
      </c>
      <c r="P233">
        <f t="shared" si="31"/>
        <v>7.0381231671554204E-2</v>
      </c>
      <c r="Q233">
        <f t="shared" si="32"/>
        <v>-4.6149698708752322E-3</v>
      </c>
    </row>
    <row r="234" spans="1:17" x14ac:dyDescent="0.25">
      <c r="A234" s="139">
        <v>43777</v>
      </c>
      <c r="B234" s="148">
        <v>155.5</v>
      </c>
      <c r="C234" s="148">
        <v>86.699996999999996</v>
      </c>
      <c r="D234" s="148">
        <v>2729.1</v>
      </c>
      <c r="E234" s="148">
        <v>1255.599976</v>
      </c>
      <c r="F234" s="148">
        <v>1794.85</v>
      </c>
      <c r="G234" s="148">
        <v>1445.5</v>
      </c>
      <c r="H234" s="148">
        <v>68.95</v>
      </c>
      <c r="I234" s="125">
        <v>2086.3999020000001</v>
      </c>
      <c r="J234">
        <f t="shared" si="25"/>
        <v>1.8336607727570474E-2</v>
      </c>
      <c r="K234">
        <f t="shared" si="26"/>
        <v>-7.6185414516471303E-2</v>
      </c>
      <c r="L234">
        <f t="shared" si="27"/>
        <v>-8.7074329296848926E-2</v>
      </c>
      <c r="M234">
        <f t="shared" si="28"/>
        <v>-7.234650326151437E-3</v>
      </c>
      <c r="N234">
        <f t="shared" si="29"/>
        <v>1.1781617294737656E-2</v>
      </c>
      <c r="O234">
        <f t="shared" si="30"/>
        <v>1.239665947090891E-2</v>
      </c>
      <c r="P234">
        <f t="shared" si="31"/>
        <v>-5.547945205479448E-2</v>
      </c>
      <c r="Q234">
        <f t="shared" si="32"/>
        <v>2.4262155630869853E-3</v>
      </c>
    </row>
    <row r="235" spans="1:17" x14ac:dyDescent="0.25">
      <c r="A235" s="139">
        <v>43776</v>
      </c>
      <c r="B235" s="148">
        <v>160.94999999999999</v>
      </c>
      <c r="C235" s="148">
        <v>88.699996999999996</v>
      </c>
      <c r="D235" s="148">
        <v>2747</v>
      </c>
      <c r="E235" s="148">
        <v>1263.6999510000001</v>
      </c>
      <c r="F235" s="148">
        <v>1826.95</v>
      </c>
      <c r="G235" s="148">
        <v>1458.599976</v>
      </c>
      <c r="H235" s="148">
        <v>66.45</v>
      </c>
      <c r="I235" s="125">
        <v>2138.25</v>
      </c>
      <c r="J235">
        <f t="shared" si="25"/>
        <v>3.5048231511253948E-2</v>
      </c>
      <c r="K235">
        <f t="shared" si="26"/>
        <v>2.3068051547914126E-2</v>
      </c>
      <c r="L235">
        <f t="shared" si="27"/>
        <v>6.5589388443076805E-3</v>
      </c>
      <c r="M235">
        <f t="shared" si="28"/>
        <v>6.4510792886476494E-3</v>
      </c>
      <c r="N235">
        <f t="shared" si="29"/>
        <v>1.7884502883249373E-2</v>
      </c>
      <c r="O235">
        <f t="shared" si="30"/>
        <v>9.0625914908336012E-3</v>
      </c>
      <c r="P235">
        <f t="shared" si="31"/>
        <v>-3.6258158085569252E-2</v>
      </c>
      <c r="Q235">
        <f t="shared" si="32"/>
        <v>2.4851466849810027E-2</v>
      </c>
    </row>
    <row r="236" spans="1:17" x14ac:dyDescent="0.25">
      <c r="A236" s="139">
        <v>43775</v>
      </c>
      <c r="B236" s="148">
        <v>157.94999999999999</v>
      </c>
      <c r="C236" s="148">
        <v>90.300003000000004</v>
      </c>
      <c r="D236" s="148">
        <v>2811.35</v>
      </c>
      <c r="E236" s="148">
        <v>1256.650024</v>
      </c>
      <c r="F236" s="148">
        <v>1797.6</v>
      </c>
      <c r="G236" s="148">
        <v>1434.900024</v>
      </c>
      <c r="H236" s="148">
        <v>68.7</v>
      </c>
      <c r="I236" s="125">
        <v>2179.4499510000001</v>
      </c>
      <c r="J236">
        <f t="shared" si="25"/>
        <v>-1.8639328984156572E-2</v>
      </c>
      <c r="K236">
        <f t="shared" si="26"/>
        <v>1.8038399708175949E-2</v>
      </c>
      <c r="L236">
        <f t="shared" si="27"/>
        <v>2.3425555151073866E-2</v>
      </c>
      <c r="M236">
        <f t="shared" si="28"/>
        <v>-5.5787981905208008E-3</v>
      </c>
      <c r="N236">
        <f t="shared" si="29"/>
        <v>-1.6065026410137188E-2</v>
      </c>
      <c r="O236">
        <f t="shared" si="30"/>
        <v>-1.6248424784013529E-2</v>
      </c>
      <c r="P236">
        <f t="shared" si="31"/>
        <v>3.3860045146726858E-2</v>
      </c>
      <c r="Q236">
        <f t="shared" si="32"/>
        <v>1.9268070150824299E-2</v>
      </c>
    </row>
    <row r="237" spans="1:17" x14ac:dyDescent="0.25">
      <c r="A237" s="139">
        <v>43774</v>
      </c>
      <c r="B237" s="148">
        <v>157.5</v>
      </c>
      <c r="C237" s="148">
        <v>90.699996999999996</v>
      </c>
      <c r="D237" s="148">
        <v>2952.5</v>
      </c>
      <c r="E237" s="148">
        <v>1239.5</v>
      </c>
      <c r="F237" s="148">
        <v>1793.85</v>
      </c>
      <c r="G237" s="148">
        <v>1447.3000489999999</v>
      </c>
      <c r="H237" s="148">
        <v>68.3</v>
      </c>
      <c r="I237" s="125">
        <v>2172.1499020000001</v>
      </c>
      <c r="J237">
        <f t="shared" si="25"/>
        <v>-2.8490028490027772E-3</v>
      </c>
      <c r="K237">
        <f t="shared" si="26"/>
        <v>4.4296122559374929E-3</v>
      </c>
      <c r="L237">
        <f t="shared" si="27"/>
        <v>5.020719583118434E-2</v>
      </c>
      <c r="M237">
        <f t="shared" si="28"/>
        <v>-1.3647414691809237E-2</v>
      </c>
      <c r="N237">
        <f t="shared" si="29"/>
        <v>-2.0861148197596799E-3</v>
      </c>
      <c r="O237">
        <f t="shared" si="30"/>
        <v>8.6417344711117762E-3</v>
      </c>
      <c r="P237">
        <f t="shared" si="31"/>
        <v>-5.8224163027657304E-3</v>
      </c>
      <c r="Q237">
        <f t="shared" si="32"/>
        <v>-3.3494914607469892E-3</v>
      </c>
    </row>
    <row r="238" spans="1:17" x14ac:dyDescent="0.25">
      <c r="A238" s="139">
        <v>43773</v>
      </c>
      <c r="B238" s="148">
        <v>157.6</v>
      </c>
      <c r="C238" s="148">
        <v>92.650002000000001</v>
      </c>
      <c r="D238" s="148">
        <v>3015.25</v>
      </c>
      <c r="E238" s="148">
        <v>1236.849976</v>
      </c>
      <c r="F238" s="148">
        <v>1785.9</v>
      </c>
      <c r="G238" s="148">
        <v>1457.650024</v>
      </c>
      <c r="H238" s="148">
        <v>66.150000000000006</v>
      </c>
      <c r="I238" s="125">
        <v>2158.1499020000001</v>
      </c>
      <c r="J238">
        <f t="shared" si="25"/>
        <v>6.3492063492059882E-4</v>
      </c>
      <c r="K238">
        <f t="shared" si="26"/>
        <v>2.1499504569994689E-2</v>
      </c>
      <c r="L238">
        <f t="shared" si="27"/>
        <v>2.1253175275190515E-2</v>
      </c>
      <c r="M238">
        <f t="shared" si="28"/>
        <v>-2.1379782170230176E-3</v>
      </c>
      <c r="N238">
        <f t="shared" si="29"/>
        <v>-4.4318086796553881E-3</v>
      </c>
      <c r="O238">
        <f t="shared" si="30"/>
        <v>7.1512296342084117E-3</v>
      </c>
      <c r="P238">
        <f t="shared" si="31"/>
        <v>-3.1478770131771472E-2</v>
      </c>
      <c r="Q238">
        <f t="shared" si="32"/>
        <v>-6.4452273699478774E-3</v>
      </c>
    </row>
    <row r="239" spans="1:17" x14ac:dyDescent="0.25">
      <c r="A239" s="139">
        <v>43770</v>
      </c>
      <c r="B239" s="148">
        <v>153.05000000000001</v>
      </c>
      <c r="C239" s="148">
        <v>89.949996999999996</v>
      </c>
      <c r="D239" s="148">
        <v>3013.35</v>
      </c>
      <c r="E239" s="148">
        <v>1240.0500489999999</v>
      </c>
      <c r="F239" s="148">
        <v>1766.35</v>
      </c>
      <c r="G239" s="148">
        <v>1456.900024</v>
      </c>
      <c r="H239" s="148">
        <v>66.599999999999994</v>
      </c>
      <c r="I239" s="125">
        <v>2179.3500979999999</v>
      </c>
      <c r="J239">
        <f t="shared" si="25"/>
        <v>-2.887055837563441E-2</v>
      </c>
      <c r="K239">
        <f t="shared" si="26"/>
        <v>-2.91419853396226E-2</v>
      </c>
      <c r="L239">
        <f t="shared" si="27"/>
        <v>-6.3013017162759008E-4</v>
      </c>
      <c r="M239">
        <f t="shared" si="28"/>
        <v>2.5872765995024567E-3</v>
      </c>
      <c r="N239">
        <f t="shared" si="29"/>
        <v>-1.0946861526401355E-2</v>
      </c>
      <c r="O239">
        <f t="shared" si="30"/>
        <v>-5.145267983750261E-4</v>
      </c>
      <c r="P239">
        <f t="shared" si="31"/>
        <v>6.8027210884352013E-3</v>
      </c>
      <c r="Q239">
        <f t="shared" si="32"/>
        <v>9.8233194924750768E-3</v>
      </c>
    </row>
    <row r="240" spans="1:17" x14ac:dyDescent="0.25">
      <c r="A240" s="139">
        <v>43769</v>
      </c>
      <c r="B240" s="148">
        <v>148.35</v>
      </c>
      <c r="C240" s="148">
        <v>89.699996999999996</v>
      </c>
      <c r="D240" s="148">
        <v>3019.95</v>
      </c>
      <c r="E240" s="148">
        <v>1230.349976</v>
      </c>
      <c r="F240" s="148">
        <v>1809.6</v>
      </c>
      <c r="G240" s="148">
        <v>1464.349976</v>
      </c>
      <c r="H240" s="148">
        <v>70.400000000000006</v>
      </c>
      <c r="I240" s="125">
        <v>2175.3500979999999</v>
      </c>
      <c r="J240">
        <f t="shared" si="25"/>
        <v>-3.0708918654034738E-2</v>
      </c>
      <c r="K240">
        <f t="shared" si="26"/>
        <v>-2.7793219381652677E-3</v>
      </c>
      <c r="L240">
        <f t="shared" si="27"/>
        <v>2.1902533724923786E-3</v>
      </c>
      <c r="M240">
        <f t="shared" si="28"/>
        <v>-7.8223237907391711E-3</v>
      </c>
      <c r="N240">
        <f t="shared" si="29"/>
        <v>2.4485520989611348E-2</v>
      </c>
      <c r="O240">
        <f t="shared" si="30"/>
        <v>5.1135643333615173E-3</v>
      </c>
      <c r="P240">
        <f t="shared" si="31"/>
        <v>5.7057057057057235E-2</v>
      </c>
      <c r="Q240">
        <f t="shared" si="32"/>
        <v>-1.835409557955291E-3</v>
      </c>
    </row>
    <row r="241" spans="1:17" x14ac:dyDescent="0.25">
      <c r="A241" s="139">
        <v>43768</v>
      </c>
      <c r="B241" s="148">
        <v>150.1</v>
      </c>
      <c r="C241" s="148">
        <v>89.900002000000001</v>
      </c>
      <c r="D241" s="148">
        <v>2971.55</v>
      </c>
      <c r="E241" s="148">
        <v>1248.349976</v>
      </c>
      <c r="F241" s="148">
        <v>1821.3</v>
      </c>
      <c r="G241" s="148">
        <v>1479.099976</v>
      </c>
      <c r="H241" s="148">
        <v>56.8</v>
      </c>
      <c r="I241" s="125">
        <v>2169.3999020000001</v>
      </c>
      <c r="J241">
        <f t="shared" si="25"/>
        <v>1.1796427367711493E-2</v>
      </c>
      <c r="K241">
        <f t="shared" si="26"/>
        <v>2.2297102194998339E-3</v>
      </c>
      <c r="L241">
        <f t="shared" si="27"/>
        <v>-1.6026755409857658E-2</v>
      </c>
      <c r="M241">
        <f t="shared" si="28"/>
        <v>1.4629983623456421E-2</v>
      </c>
      <c r="N241">
        <f t="shared" si="29"/>
        <v>6.4655172413793354E-3</v>
      </c>
      <c r="O241">
        <f t="shared" si="30"/>
        <v>1.0072728679445139E-2</v>
      </c>
      <c r="P241">
        <f t="shared" si="31"/>
        <v>-0.19318181818181829</v>
      </c>
      <c r="Q241">
        <f t="shared" si="32"/>
        <v>-2.735282015281284E-3</v>
      </c>
    </row>
    <row r="242" spans="1:17" x14ac:dyDescent="0.25">
      <c r="A242" s="139">
        <v>43767</v>
      </c>
      <c r="B242" s="148">
        <v>149.5</v>
      </c>
      <c r="C242" s="148">
        <v>89.5</v>
      </c>
      <c r="D242" s="148">
        <v>3010.8</v>
      </c>
      <c r="E242" s="148">
        <v>1242.5</v>
      </c>
      <c r="F242" s="148">
        <v>1814.25</v>
      </c>
      <c r="G242" s="148">
        <v>1467.0500489999999</v>
      </c>
      <c r="H242" s="148">
        <v>58.15</v>
      </c>
      <c r="I242" s="125">
        <v>2160.1999510000001</v>
      </c>
      <c r="J242">
        <f t="shared" si="25"/>
        <v>-3.9973351099266774E-3</v>
      </c>
      <c r="K242">
        <f t="shared" si="26"/>
        <v>-4.4494103570765289E-3</v>
      </c>
      <c r="L242">
        <f t="shared" si="27"/>
        <v>1.3208594841076206E-2</v>
      </c>
      <c r="M242">
        <f t="shared" si="28"/>
        <v>-4.6861666299258774E-3</v>
      </c>
      <c r="N242">
        <f t="shared" si="29"/>
        <v>-3.8708614725745097E-3</v>
      </c>
      <c r="O242">
        <f t="shared" si="30"/>
        <v>-8.1467968328869916E-3</v>
      </c>
      <c r="P242">
        <f t="shared" si="31"/>
        <v>2.3767605633802844E-2</v>
      </c>
      <c r="Q242">
        <f t="shared" si="32"/>
        <v>-4.2407815135966824E-3</v>
      </c>
    </row>
    <row r="243" spans="1:17" x14ac:dyDescent="0.25">
      <c r="A243" s="139">
        <v>43765</v>
      </c>
      <c r="B243" s="148">
        <v>144.65</v>
      </c>
      <c r="C243" s="148">
        <v>88.949996999999996</v>
      </c>
      <c r="D243" s="148">
        <v>3038.85</v>
      </c>
      <c r="E243" s="148">
        <v>1229</v>
      </c>
      <c r="F243" s="148">
        <v>1792.6</v>
      </c>
      <c r="G243" s="148">
        <v>1431.1999510000001</v>
      </c>
      <c r="H243" s="148">
        <v>54.75</v>
      </c>
      <c r="I243" s="125">
        <v>2145.1000979999999</v>
      </c>
      <c r="J243">
        <f t="shared" si="25"/>
        <v>-3.2441471571906313E-2</v>
      </c>
      <c r="K243">
        <f t="shared" si="26"/>
        <v>-6.1452849162011601E-3</v>
      </c>
      <c r="L243">
        <f t="shared" si="27"/>
        <v>9.3164607413311167E-3</v>
      </c>
      <c r="M243">
        <f t="shared" si="28"/>
        <v>-1.0865191146881288E-2</v>
      </c>
      <c r="N243">
        <f t="shared" si="29"/>
        <v>-1.1933305773735754E-2</v>
      </c>
      <c r="O243">
        <f t="shared" si="30"/>
        <v>-2.4436860913120688E-2</v>
      </c>
      <c r="P243">
        <f t="shared" si="31"/>
        <v>-5.8469475494410984E-2</v>
      </c>
      <c r="Q243">
        <f t="shared" si="32"/>
        <v>-6.9900256191609209E-3</v>
      </c>
    </row>
    <row r="244" spans="1:17" x14ac:dyDescent="0.25">
      <c r="A244" s="139">
        <v>43763</v>
      </c>
      <c r="B244" s="148">
        <v>142.19999999999999</v>
      </c>
      <c r="C244" s="148">
        <v>88.949996999999996</v>
      </c>
      <c r="D244" s="148">
        <v>2981.8</v>
      </c>
      <c r="E244" s="148">
        <v>1229</v>
      </c>
      <c r="F244" s="148">
        <v>1796.3</v>
      </c>
      <c r="G244" s="148">
        <v>1431.1999510000001</v>
      </c>
      <c r="H244" s="148">
        <v>52.15</v>
      </c>
      <c r="I244" s="125">
        <v>2145.1000979999999</v>
      </c>
      <c r="J244">
        <f t="shared" si="25"/>
        <v>-1.6937435188385877E-2</v>
      </c>
      <c r="K244">
        <f t="shared" si="26"/>
        <v>0</v>
      </c>
      <c r="L244">
        <f t="shared" si="27"/>
        <v>-1.8773549204468706E-2</v>
      </c>
      <c r="M244">
        <f t="shared" si="28"/>
        <v>0</v>
      </c>
      <c r="N244">
        <f t="shared" si="29"/>
        <v>2.0640410576816051E-3</v>
      </c>
      <c r="O244">
        <f t="shared" si="30"/>
        <v>0</v>
      </c>
      <c r="P244">
        <f t="shared" si="31"/>
        <v>-4.7488584474885874E-2</v>
      </c>
      <c r="Q244">
        <f t="shared" si="32"/>
        <v>0</v>
      </c>
    </row>
    <row r="245" spans="1:17" x14ac:dyDescent="0.25">
      <c r="A245" s="139">
        <v>43762</v>
      </c>
      <c r="B245" s="148">
        <v>145.69999999999999</v>
      </c>
      <c r="C245" s="148">
        <v>86.150002000000001</v>
      </c>
      <c r="D245" s="148">
        <v>3016.7</v>
      </c>
      <c r="E245" s="148">
        <v>1236.099976</v>
      </c>
      <c r="F245" s="148">
        <v>1790.5</v>
      </c>
      <c r="G245" s="148">
        <v>1436.4499510000001</v>
      </c>
      <c r="H245" s="148">
        <v>48.3</v>
      </c>
      <c r="I245" s="125">
        <v>2133.3500979999999</v>
      </c>
      <c r="J245">
        <f t="shared" si="25"/>
        <v>2.4613220815752464E-2</v>
      </c>
      <c r="K245">
        <f t="shared" si="26"/>
        <v>-3.1478303478751052E-2</v>
      </c>
      <c r="L245">
        <f t="shared" si="27"/>
        <v>1.1704339660607565E-2</v>
      </c>
      <c r="M245">
        <f t="shared" si="28"/>
        <v>5.7770349877949304E-3</v>
      </c>
      <c r="N245">
        <f t="shared" si="29"/>
        <v>-3.2288593219395173E-3</v>
      </c>
      <c r="O245">
        <f t="shared" si="30"/>
        <v>3.6682505448185276E-3</v>
      </c>
      <c r="P245">
        <f t="shared" si="31"/>
        <v>-7.382550335570473E-2</v>
      </c>
      <c r="Q245">
        <f t="shared" si="32"/>
        <v>-5.4775998616359211E-3</v>
      </c>
    </row>
    <row r="246" spans="1:17" x14ac:dyDescent="0.25">
      <c r="A246" s="139">
        <v>43761</v>
      </c>
      <c r="B246" s="148">
        <v>146.25</v>
      </c>
      <c r="C246" s="148">
        <v>86.650002000000001</v>
      </c>
      <c r="D246" s="148">
        <v>2986.35</v>
      </c>
      <c r="E246" s="148">
        <v>1241.599976</v>
      </c>
      <c r="F246" s="148">
        <v>1767.4</v>
      </c>
      <c r="G246" s="148">
        <v>1392.400024</v>
      </c>
      <c r="H246" s="148">
        <v>51.2</v>
      </c>
      <c r="I246" s="125">
        <v>2133.25</v>
      </c>
      <c r="J246">
        <f t="shared" si="25"/>
        <v>3.7748798901853908E-3</v>
      </c>
      <c r="K246">
        <f t="shared" si="26"/>
        <v>5.803830393410786E-3</v>
      </c>
      <c r="L246">
        <f t="shared" si="27"/>
        <v>-1.0060662313123582E-2</v>
      </c>
      <c r="M246">
        <f t="shared" si="28"/>
        <v>4.449478283947479E-3</v>
      </c>
      <c r="N246">
        <f t="shared" si="29"/>
        <v>-1.2901424183189002E-2</v>
      </c>
      <c r="O246">
        <f t="shared" si="30"/>
        <v>-3.066582791090925E-2</v>
      </c>
      <c r="P246">
        <f t="shared" si="31"/>
        <v>6.0041407867494942E-2</v>
      </c>
      <c r="Q246">
        <f t="shared" si="32"/>
        <v>-4.6920568777590766E-5</v>
      </c>
    </row>
    <row r="247" spans="1:17" x14ac:dyDescent="0.25">
      <c r="A247" s="139">
        <v>43760</v>
      </c>
      <c r="B247" s="148">
        <v>149.15</v>
      </c>
      <c r="C247" s="148">
        <v>86.599997999999999</v>
      </c>
      <c r="D247" s="148">
        <v>2991.35</v>
      </c>
      <c r="E247" s="148">
        <v>1239.3000489999999</v>
      </c>
      <c r="F247" s="148">
        <v>1780.2</v>
      </c>
      <c r="G247" s="148">
        <v>1414.150024</v>
      </c>
      <c r="H247" s="148">
        <v>51.8</v>
      </c>
      <c r="I247" s="125">
        <v>2127.3500979999999</v>
      </c>
      <c r="J247">
        <f t="shared" si="25"/>
        <v>1.9829059829059869E-2</v>
      </c>
      <c r="K247">
        <f t="shared" si="26"/>
        <v>-5.7708019441247407E-4</v>
      </c>
      <c r="L247">
        <f t="shared" si="27"/>
        <v>1.6742846618782127E-3</v>
      </c>
      <c r="M247">
        <f t="shared" si="28"/>
        <v>-1.8523896943116768E-3</v>
      </c>
      <c r="N247">
        <f t="shared" si="29"/>
        <v>7.2422767907660713E-3</v>
      </c>
      <c r="O247">
        <f t="shared" si="30"/>
        <v>1.5620511078072202E-2</v>
      </c>
      <c r="P247">
        <f t="shared" si="31"/>
        <v>1.1718749999999889E-2</v>
      </c>
      <c r="Q247">
        <f t="shared" si="32"/>
        <v>-2.7656870971522847E-3</v>
      </c>
    </row>
    <row r="248" spans="1:17" x14ac:dyDescent="0.25">
      <c r="A248" s="139">
        <v>43756</v>
      </c>
      <c r="B248" s="148">
        <v>150.25</v>
      </c>
      <c r="C248" s="148">
        <v>89.599997999999999</v>
      </c>
      <c r="D248" s="148">
        <v>3085.2</v>
      </c>
      <c r="E248" s="148">
        <v>1229</v>
      </c>
      <c r="F248" s="148">
        <v>1816.75</v>
      </c>
      <c r="G248" s="148">
        <v>1416.349976</v>
      </c>
      <c r="H248" s="148">
        <v>51.4</v>
      </c>
      <c r="I248" s="125">
        <v>2106.8500979999999</v>
      </c>
      <c r="J248">
        <f t="shared" si="25"/>
        <v>7.3751257123700585E-3</v>
      </c>
      <c r="K248">
        <f t="shared" si="26"/>
        <v>3.4642033132610467E-2</v>
      </c>
      <c r="L248">
        <f t="shared" si="27"/>
        <v>3.1373794440637141E-2</v>
      </c>
      <c r="M248">
        <f t="shared" si="28"/>
        <v>-8.3111825972339206E-3</v>
      </c>
      <c r="N248">
        <f t="shared" si="29"/>
        <v>2.0531400966183548E-2</v>
      </c>
      <c r="O248">
        <f t="shared" si="30"/>
        <v>1.555670871310567E-3</v>
      </c>
      <c r="P248">
        <f t="shared" si="31"/>
        <v>-7.7220077220076953E-3</v>
      </c>
      <c r="Q248">
        <f t="shared" si="32"/>
        <v>-9.6364016525877921E-3</v>
      </c>
    </row>
    <row r="249" spans="1:17" x14ac:dyDescent="0.25">
      <c r="A249" s="139">
        <v>43755</v>
      </c>
      <c r="B249" s="148">
        <v>148.30000000000001</v>
      </c>
      <c r="C249" s="148">
        <v>88.849997999999999</v>
      </c>
      <c r="D249" s="148">
        <v>3026.85</v>
      </c>
      <c r="E249" s="148">
        <v>1220</v>
      </c>
      <c r="F249" s="148">
        <v>1812.3</v>
      </c>
      <c r="G249" s="148">
        <v>1396.5</v>
      </c>
      <c r="H249" s="148">
        <v>47.4</v>
      </c>
      <c r="I249" s="125">
        <v>2103.8500979999999</v>
      </c>
      <c r="J249">
        <f t="shared" si="25"/>
        <v>-1.2978369384359326E-2</v>
      </c>
      <c r="K249">
        <f t="shared" si="26"/>
        <v>-8.3705359011280334E-3</v>
      </c>
      <c r="L249">
        <f t="shared" si="27"/>
        <v>-1.8912874367950184E-2</v>
      </c>
      <c r="M249">
        <f t="shared" si="28"/>
        <v>-7.3230268510984537E-3</v>
      </c>
      <c r="N249">
        <f t="shared" si="29"/>
        <v>-2.4494289252786818E-3</v>
      </c>
      <c r="O249">
        <f t="shared" si="30"/>
        <v>-1.4014880740182235E-2</v>
      </c>
      <c r="P249">
        <f t="shared" si="31"/>
        <v>-7.7821011673151752E-2</v>
      </c>
      <c r="Q249">
        <f t="shared" si="32"/>
        <v>-1.4239266490045275E-3</v>
      </c>
    </row>
    <row r="250" spans="1:17" x14ac:dyDescent="0.25">
      <c r="A250" s="139">
        <v>43754</v>
      </c>
      <c r="B250" s="148">
        <v>149.9</v>
      </c>
      <c r="C250" s="148">
        <v>80.25</v>
      </c>
      <c r="D250" s="148">
        <v>3018.25</v>
      </c>
      <c r="E250" s="148">
        <v>1221.099976</v>
      </c>
      <c r="F250" s="148">
        <v>1765.7</v>
      </c>
      <c r="G250" s="148">
        <v>1372.349976</v>
      </c>
      <c r="H250" s="148">
        <v>41.05</v>
      </c>
      <c r="I250" s="125">
        <v>2071</v>
      </c>
      <c r="J250">
        <f t="shared" si="25"/>
        <v>1.0788941335131452E-2</v>
      </c>
      <c r="K250">
        <f t="shared" si="26"/>
        <v>-9.6792326320592592E-2</v>
      </c>
      <c r="L250">
        <f t="shared" si="27"/>
        <v>-2.8412375902340417E-3</v>
      </c>
      <c r="M250">
        <f t="shared" si="28"/>
        <v>9.0161967213112267E-4</v>
      </c>
      <c r="N250">
        <f t="shared" si="29"/>
        <v>-2.5713182144236554E-2</v>
      </c>
      <c r="O250">
        <f t="shared" si="30"/>
        <v>-1.7293250268528487E-2</v>
      </c>
      <c r="P250">
        <f t="shared" si="31"/>
        <v>-0.13396624472573843</v>
      </c>
      <c r="Q250">
        <f t="shared" si="32"/>
        <v>-1.5614276906528866E-2</v>
      </c>
    </row>
    <row r="251" spans="1:17" x14ac:dyDescent="0.25">
      <c r="A251" s="139">
        <v>43753</v>
      </c>
      <c r="B251" s="148">
        <v>153.5</v>
      </c>
      <c r="C251" s="148">
        <v>79.949996999999996</v>
      </c>
      <c r="D251" s="148">
        <v>3052.85</v>
      </c>
      <c r="E251" s="148">
        <v>1223.0500489999999</v>
      </c>
      <c r="F251" s="148">
        <v>1803.1</v>
      </c>
      <c r="G251" s="148">
        <v>1364.150024</v>
      </c>
      <c r="H251" s="148">
        <v>40.6</v>
      </c>
      <c r="I251" s="125">
        <v>2064.3999020000001</v>
      </c>
      <c r="J251">
        <f t="shared" si="25"/>
        <v>2.4016010673782482E-2</v>
      </c>
      <c r="K251">
        <f t="shared" si="26"/>
        <v>-3.7383551401869632E-3</v>
      </c>
      <c r="L251">
        <f t="shared" si="27"/>
        <v>1.1463596454899331E-2</v>
      </c>
      <c r="M251">
        <f t="shared" si="28"/>
        <v>1.5969806226578576E-3</v>
      </c>
      <c r="N251">
        <f t="shared" si="29"/>
        <v>2.1181401144022123E-2</v>
      </c>
      <c r="O251">
        <f t="shared" si="30"/>
        <v>-5.9751172393359957E-3</v>
      </c>
      <c r="P251">
        <f t="shared" si="31"/>
        <v>-1.0962241169305621E-2</v>
      </c>
      <c r="Q251">
        <f t="shared" si="32"/>
        <v>-3.1869135683244274E-3</v>
      </c>
    </row>
    <row r="252" spans="1:17" x14ac:dyDescent="0.25">
      <c r="A252" s="139">
        <v>43752</v>
      </c>
      <c r="B252" s="148">
        <v>147.80000000000001</v>
      </c>
      <c r="C252" s="148">
        <v>79.150002000000001</v>
      </c>
      <c r="D252" s="148">
        <v>3080.8</v>
      </c>
      <c r="E252" s="148">
        <v>1204.400024</v>
      </c>
      <c r="F252" s="148">
        <v>1798.7</v>
      </c>
      <c r="G252" s="148">
        <v>1358</v>
      </c>
      <c r="H252" s="148">
        <v>40.1</v>
      </c>
      <c r="I252" s="125">
        <v>2014.25</v>
      </c>
      <c r="J252">
        <f t="shared" si="25"/>
        <v>-3.7133550488599273E-2</v>
      </c>
      <c r="K252">
        <f t="shared" si="26"/>
        <v>-1.0006191745072807E-2</v>
      </c>
      <c r="L252">
        <f t="shared" si="27"/>
        <v>9.1553793995775342E-3</v>
      </c>
      <c r="M252">
        <f t="shared" si="28"/>
        <v>-1.5248783167335384E-2</v>
      </c>
      <c r="N252">
        <f t="shared" si="29"/>
        <v>-2.4402418057788608E-3</v>
      </c>
      <c r="O252">
        <f t="shared" si="30"/>
        <v>-4.5083193870178243E-3</v>
      </c>
      <c r="P252">
        <f t="shared" si="31"/>
        <v>-1.231527093596059E-2</v>
      </c>
      <c r="Q252">
        <f t="shared" si="32"/>
        <v>-2.4292726400255423E-2</v>
      </c>
    </row>
    <row r="253" spans="1:17" x14ac:dyDescent="0.25">
      <c r="A253" s="139">
        <v>43749</v>
      </c>
      <c r="B253" s="148">
        <v>147.05000000000001</v>
      </c>
      <c r="C253" s="148">
        <v>78.75</v>
      </c>
      <c r="D253" s="148">
        <v>3056.95</v>
      </c>
      <c r="E253" s="148">
        <v>1198.8000489999999</v>
      </c>
      <c r="F253" s="148">
        <v>1790.25</v>
      </c>
      <c r="G253" s="148">
        <v>1352.599976</v>
      </c>
      <c r="H253" s="148">
        <v>39.6</v>
      </c>
      <c r="I253" s="125">
        <v>2004.650024</v>
      </c>
      <c r="J253">
        <f t="shared" si="25"/>
        <v>-5.0744248985115014E-3</v>
      </c>
      <c r="K253">
        <f t="shared" si="26"/>
        <v>-5.0537206556229858E-3</v>
      </c>
      <c r="L253">
        <f t="shared" si="27"/>
        <v>-7.7414957153987152E-3</v>
      </c>
      <c r="M253">
        <f t="shared" si="28"/>
        <v>-4.6495972172116845E-3</v>
      </c>
      <c r="N253">
        <f t="shared" si="29"/>
        <v>-4.6978373269583838E-3</v>
      </c>
      <c r="O253">
        <f t="shared" si="30"/>
        <v>-3.9764536082474451E-3</v>
      </c>
      <c r="P253">
        <f t="shared" si="31"/>
        <v>-1.2468827930174562E-2</v>
      </c>
      <c r="Q253">
        <f t="shared" si="32"/>
        <v>-4.7660300359935312E-3</v>
      </c>
    </row>
    <row r="254" spans="1:17" x14ac:dyDescent="0.25">
      <c r="A254" s="139">
        <v>43748</v>
      </c>
      <c r="B254" s="148">
        <v>141.15</v>
      </c>
      <c r="C254" s="148">
        <v>73.800003000000004</v>
      </c>
      <c r="D254" s="148">
        <v>2991.9</v>
      </c>
      <c r="E254" s="148">
        <v>1200.5500489999999</v>
      </c>
      <c r="F254" s="148">
        <v>1778.6</v>
      </c>
      <c r="G254" s="148">
        <v>1362.75</v>
      </c>
      <c r="H254" s="148">
        <v>40.950000000000003</v>
      </c>
      <c r="I254" s="125">
        <v>1968.75</v>
      </c>
      <c r="J254">
        <f t="shared" si="25"/>
        <v>-4.0122407344440704E-2</v>
      </c>
      <c r="K254">
        <f t="shared" si="26"/>
        <v>-6.2857104761904717E-2</v>
      </c>
      <c r="L254">
        <f t="shared" si="27"/>
        <v>-2.1279379773957614E-2</v>
      </c>
      <c r="M254">
        <f t="shared" si="28"/>
        <v>1.4597930667919084E-3</v>
      </c>
      <c r="N254">
        <f t="shared" si="29"/>
        <v>-6.507471023600107E-3</v>
      </c>
      <c r="O254">
        <f t="shared" si="30"/>
        <v>7.5040841195460964E-3</v>
      </c>
      <c r="P254">
        <f t="shared" si="31"/>
        <v>3.4090909090909123E-2</v>
      </c>
      <c r="Q254">
        <f t="shared" si="32"/>
        <v>-1.7908374813657764E-2</v>
      </c>
    </row>
    <row r="255" spans="1:17" x14ac:dyDescent="0.25">
      <c r="A255" s="139">
        <v>43747</v>
      </c>
      <c r="B255" s="148">
        <v>145.69999999999999</v>
      </c>
      <c r="C255" s="148">
        <v>71.449996999999996</v>
      </c>
      <c r="D255" s="148">
        <v>3000.85</v>
      </c>
      <c r="E255" s="148">
        <v>1228.150024</v>
      </c>
      <c r="F255" s="148">
        <v>1773.45</v>
      </c>
      <c r="G255" s="148">
        <v>1324.75</v>
      </c>
      <c r="H255" s="148">
        <v>43.25</v>
      </c>
      <c r="I255" s="125">
        <v>1948</v>
      </c>
      <c r="J255">
        <f t="shared" si="25"/>
        <v>3.2235210768685671E-2</v>
      </c>
      <c r="K255">
        <f t="shared" si="26"/>
        <v>-3.1842898434570624E-2</v>
      </c>
      <c r="L255">
        <f t="shared" si="27"/>
        <v>2.9914101407131984E-3</v>
      </c>
      <c r="M255">
        <f t="shared" si="28"/>
        <v>2.2989441400622597E-2</v>
      </c>
      <c r="N255">
        <f t="shared" si="29"/>
        <v>-2.8955358146856313E-3</v>
      </c>
      <c r="O255">
        <f t="shared" si="30"/>
        <v>-2.7884791781324528E-2</v>
      </c>
      <c r="P255">
        <f t="shared" si="31"/>
        <v>5.6166056166056091E-2</v>
      </c>
      <c r="Q255">
        <f t="shared" si="32"/>
        <v>-1.053968253968254E-2</v>
      </c>
    </row>
    <row r="256" spans="1:17" x14ac:dyDescent="0.25">
      <c r="A256" s="139">
        <v>43745</v>
      </c>
      <c r="B256" s="148">
        <v>142.65</v>
      </c>
      <c r="C256" s="148">
        <v>68.050003000000004</v>
      </c>
      <c r="D256" s="148">
        <v>2984.2</v>
      </c>
      <c r="E256" s="148">
        <v>1186.900024</v>
      </c>
      <c r="F256" s="148">
        <v>1725.15</v>
      </c>
      <c r="G256" s="148">
        <v>1310.099976</v>
      </c>
      <c r="H256" s="148">
        <v>45.65</v>
      </c>
      <c r="I256" s="125">
        <v>1940.0500489999999</v>
      </c>
      <c r="J256">
        <f t="shared" si="25"/>
        <v>-2.0933424845572979E-2</v>
      </c>
      <c r="K256">
        <f t="shared" si="26"/>
        <v>-4.7585642305905104E-2</v>
      </c>
      <c r="L256">
        <f t="shared" si="27"/>
        <v>-5.5484279454154958E-3</v>
      </c>
      <c r="M256">
        <f t="shared" si="28"/>
        <v>-3.3587101896274521E-2</v>
      </c>
      <c r="N256">
        <f t="shared" si="29"/>
        <v>-2.7235050325636445E-2</v>
      </c>
      <c r="O256">
        <f t="shared" si="30"/>
        <v>-1.1058708435553901E-2</v>
      </c>
      <c r="P256">
        <f t="shared" si="31"/>
        <v>5.5491329479768751E-2</v>
      </c>
      <c r="Q256">
        <f t="shared" si="32"/>
        <v>-4.0810836755647102E-3</v>
      </c>
    </row>
    <row r="257" spans="1:17" x14ac:dyDescent="0.25">
      <c r="A257" s="139">
        <v>43742</v>
      </c>
      <c r="B257" s="148">
        <v>143.30000000000001</v>
      </c>
      <c r="C257" s="148">
        <v>65.150002000000001</v>
      </c>
      <c r="D257" s="148">
        <v>3001.65</v>
      </c>
      <c r="E257" s="148">
        <v>1189.6999510000001</v>
      </c>
      <c r="F257" s="148">
        <v>1724.4</v>
      </c>
      <c r="G257" s="148">
        <v>1308.099976</v>
      </c>
      <c r="H257" s="148">
        <v>42.15</v>
      </c>
      <c r="I257" s="125">
        <v>1944.1999510000001</v>
      </c>
      <c r="J257">
        <f t="shared" si="25"/>
        <v>4.5566070802664262E-3</v>
      </c>
      <c r="K257">
        <f t="shared" si="26"/>
        <v>-4.2615736548902182E-2</v>
      </c>
      <c r="L257">
        <f t="shared" si="27"/>
        <v>5.8474633067489689E-3</v>
      </c>
      <c r="M257">
        <f t="shared" si="28"/>
        <v>2.3590251439745739E-3</v>
      </c>
      <c r="N257">
        <f t="shared" si="29"/>
        <v>-4.3474480479958265E-4</v>
      </c>
      <c r="O257">
        <f t="shared" si="30"/>
        <v>-1.526601050788814E-3</v>
      </c>
      <c r="P257">
        <f t="shared" si="31"/>
        <v>-7.6670317634173063E-2</v>
      </c>
      <c r="Q257">
        <f t="shared" si="32"/>
        <v>2.1390695575813526E-3</v>
      </c>
    </row>
    <row r="258" spans="1:17" x14ac:dyDescent="0.25">
      <c r="A258" s="139">
        <v>43741</v>
      </c>
      <c r="B258" s="148">
        <v>144.4</v>
      </c>
      <c r="C258" s="148">
        <v>61.200001</v>
      </c>
      <c r="D258" s="148">
        <v>2922.85</v>
      </c>
      <c r="E258" s="148">
        <v>1223.5500489999999</v>
      </c>
      <c r="F258" s="148">
        <v>1748.95</v>
      </c>
      <c r="G258" s="148">
        <v>1311.0500489999999</v>
      </c>
      <c r="H258" s="148">
        <v>42.5</v>
      </c>
      <c r="I258" s="125">
        <v>1962.0500489999999</v>
      </c>
      <c r="J258">
        <f t="shared" si="25"/>
        <v>7.6762037683181733E-3</v>
      </c>
      <c r="K258">
        <f t="shared" si="26"/>
        <v>-6.0629330448830995E-2</v>
      </c>
      <c r="L258">
        <f t="shared" si="27"/>
        <v>-2.625222794129901E-2</v>
      </c>
      <c r="M258">
        <f t="shared" si="28"/>
        <v>2.8452634608875333E-2</v>
      </c>
      <c r="N258">
        <f t="shared" si="29"/>
        <v>1.4236836000927832E-2</v>
      </c>
      <c r="O258">
        <f t="shared" si="30"/>
        <v>2.2552351151483969E-3</v>
      </c>
      <c r="P258">
        <f t="shared" si="31"/>
        <v>8.3036773428232843E-3</v>
      </c>
      <c r="Q258">
        <f t="shared" si="32"/>
        <v>9.1812048399747583E-3</v>
      </c>
    </row>
    <row r="259" spans="1:17" x14ac:dyDescent="0.25">
      <c r="A259" s="139">
        <v>43739</v>
      </c>
      <c r="B259" s="148">
        <v>151.30000000000001</v>
      </c>
      <c r="C259" s="148">
        <v>56.5</v>
      </c>
      <c r="D259" s="148">
        <v>2902.9</v>
      </c>
      <c r="E259" s="148">
        <v>1248.8000489999999</v>
      </c>
      <c r="F259" s="148">
        <v>1766.1</v>
      </c>
      <c r="G259" s="148">
        <v>1304.900024</v>
      </c>
      <c r="H259" s="148">
        <v>32</v>
      </c>
      <c r="I259" s="125">
        <v>1990.3000489999999</v>
      </c>
      <c r="J259">
        <f t="shared" si="25"/>
        <v>4.7783933518005577E-2</v>
      </c>
      <c r="K259">
        <f t="shared" si="26"/>
        <v>-7.6797400705924834E-2</v>
      </c>
      <c r="L259">
        <f t="shared" si="27"/>
        <v>-6.8255298766614157E-3</v>
      </c>
      <c r="M259">
        <f t="shared" si="28"/>
        <v>2.063667115263219E-2</v>
      </c>
      <c r="N259">
        <f t="shared" si="29"/>
        <v>9.8058835301179925E-3</v>
      </c>
      <c r="O259">
        <f t="shared" si="30"/>
        <v>-4.6909155029518741E-3</v>
      </c>
      <c r="P259">
        <f t="shared" si="31"/>
        <v>-0.24705882352941178</v>
      </c>
      <c r="Q259">
        <f t="shared" si="32"/>
        <v>1.4398205598475027E-2</v>
      </c>
    </row>
    <row r="260" spans="1:17" x14ac:dyDescent="0.25">
      <c r="A260" s="139">
        <v>43738</v>
      </c>
      <c r="B260" s="148">
        <v>154.15</v>
      </c>
      <c r="C260" s="148">
        <v>58.25</v>
      </c>
      <c r="D260" s="148">
        <v>2904.05</v>
      </c>
      <c r="E260" s="148">
        <v>1227.4499510000001</v>
      </c>
      <c r="F260" s="148">
        <v>1762.15</v>
      </c>
      <c r="G260" s="148">
        <v>1332.25</v>
      </c>
      <c r="H260" s="148">
        <v>41.4</v>
      </c>
      <c r="I260" s="125">
        <v>1981.9499510000001</v>
      </c>
      <c r="J260">
        <f t="shared" ref="J260:J323" si="33">(B260-B259)/B259</f>
        <v>1.8836748182418997E-2</v>
      </c>
      <c r="K260">
        <f t="shared" ref="K260:K323" si="34">(C260-C259)/C259</f>
        <v>3.0973451327433628E-2</v>
      </c>
      <c r="L260">
        <f t="shared" ref="L260:L323" si="35">(D260-D259)/D259</f>
        <v>3.9615556856939299E-4</v>
      </c>
      <c r="M260">
        <f t="shared" ref="M260:M323" si="36">(E260-E259)/E259</f>
        <v>-1.709649036056363E-2</v>
      </c>
      <c r="N260">
        <f t="shared" ref="N260:N323" si="37">(F260-F259)/F259</f>
        <v>-2.2365664458410162E-3</v>
      </c>
      <c r="O260">
        <f t="shared" ref="O260:O323" si="38">(G260-G259)/G259</f>
        <v>2.0959441717352569E-2</v>
      </c>
      <c r="P260">
        <f t="shared" ref="P260:P323" si="39">(H260-H259)/H259</f>
        <v>0.29374999999999996</v>
      </c>
      <c r="Q260">
        <f t="shared" ref="Q260:Q323" si="40">(I260-I259)/I259</f>
        <v>-4.1953965705800421E-3</v>
      </c>
    </row>
    <row r="261" spans="1:17" x14ac:dyDescent="0.25">
      <c r="A261" s="139">
        <v>43735</v>
      </c>
      <c r="B261" s="148">
        <v>157.25</v>
      </c>
      <c r="C261" s="148">
        <v>57.349997999999999</v>
      </c>
      <c r="D261" s="148">
        <v>2857.2</v>
      </c>
      <c r="E261" s="148">
        <v>1244.1999510000001</v>
      </c>
      <c r="F261" s="148">
        <v>1776.3</v>
      </c>
      <c r="G261" s="148">
        <v>1309.0500489999999</v>
      </c>
      <c r="H261" s="148">
        <v>48.75</v>
      </c>
      <c r="I261" s="125">
        <v>2010.900024</v>
      </c>
      <c r="J261">
        <f t="shared" si="33"/>
        <v>2.011028219266944E-2</v>
      </c>
      <c r="K261">
        <f t="shared" si="34"/>
        <v>-1.5450678111587993E-2</v>
      </c>
      <c r="L261">
        <f t="shared" si="35"/>
        <v>-1.6132642344312376E-2</v>
      </c>
      <c r="M261">
        <f t="shared" si="36"/>
        <v>1.3646177578445313E-2</v>
      </c>
      <c r="N261">
        <f t="shared" si="37"/>
        <v>8.0299633969865575E-3</v>
      </c>
      <c r="O261">
        <f t="shared" si="38"/>
        <v>-1.7414112216175684E-2</v>
      </c>
      <c r="P261">
        <f t="shared" si="39"/>
        <v>0.17753623188405801</v>
      </c>
      <c r="Q261">
        <f t="shared" si="40"/>
        <v>1.4606863803696512E-2</v>
      </c>
    </row>
    <row r="262" spans="1:17" x14ac:dyDescent="0.25">
      <c r="A262" s="139">
        <v>43734</v>
      </c>
      <c r="B262" s="148">
        <v>166.1</v>
      </c>
      <c r="C262" s="148">
        <v>59.150002000000001</v>
      </c>
      <c r="D262" s="148">
        <v>2861.95</v>
      </c>
      <c r="E262" s="148">
        <v>1242.5</v>
      </c>
      <c r="F262" s="148">
        <v>1770.95</v>
      </c>
      <c r="G262" s="148">
        <v>1296.8000489999999</v>
      </c>
      <c r="H262" s="148">
        <v>51.05</v>
      </c>
      <c r="I262" s="125">
        <v>2034.400024</v>
      </c>
      <c r="J262">
        <f t="shared" si="33"/>
        <v>5.6279809220985653E-2</v>
      </c>
      <c r="K262">
        <f t="shared" si="34"/>
        <v>3.1386295776331175E-2</v>
      </c>
      <c r="L262">
        <f t="shared" si="35"/>
        <v>1.6624667506649868E-3</v>
      </c>
      <c r="M262">
        <f t="shared" si="36"/>
        <v>-1.36630048782252E-3</v>
      </c>
      <c r="N262">
        <f t="shared" si="37"/>
        <v>-3.0118786241062371E-3</v>
      </c>
      <c r="O262">
        <f t="shared" si="38"/>
        <v>-9.3579309739592696E-3</v>
      </c>
      <c r="P262">
        <f t="shared" si="39"/>
        <v>4.7179487179487119E-2</v>
      </c>
      <c r="Q262">
        <f t="shared" si="40"/>
        <v>1.1686309473135696E-2</v>
      </c>
    </row>
    <row r="263" spans="1:17" x14ac:dyDescent="0.25">
      <c r="A263" s="139">
        <v>43733</v>
      </c>
      <c r="B263" s="148">
        <v>156.19999999999999</v>
      </c>
      <c r="C263" s="148">
        <v>52.549999</v>
      </c>
      <c r="D263" s="148">
        <v>2823.35</v>
      </c>
      <c r="E263" s="148">
        <v>1239.6999510000001</v>
      </c>
      <c r="F263" s="148">
        <v>1751.8</v>
      </c>
      <c r="G263" s="148">
        <v>1279.5500489999999</v>
      </c>
      <c r="H263" s="148">
        <v>53.7</v>
      </c>
      <c r="I263" s="125">
        <v>2051.5</v>
      </c>
      <c r="J263">
        <f t="shared" si="33"/>
        <v>-5.960264900662255E-2</v>
      </c>
      <c r="K263">
        <f t="shared" si="34"/>
        <v>-0.11158077391104738</v>
      </c>
      <c r="L263">
        <f t="shared" si="35"/>
        <v>-1.3487307604954632E-2</v>
      </c>
      <c r="M263">
        <f t="shared" si="36"/>
        <v>-2.2535605633802369E-3</v>
      </c>
      <c r="N263">
        <f t="shared" si="37"/>
        <v>-1.0813405234478721E-2</v>
      </c>
      <c r="O263">
        <f t="shared" si="38"/>
        <v>-1.3301973587448562E-2</v>
      </c>
      <c r="P263">
        <f t="shared" si="39"/>
        <v>5.1909892262487871E-2</v>
      </c>
      <c r="Q263">
        <f t="shared" si="40"/>
        <v>8.4054147651740144E-3</v>
      </c>
    </row>
    <row r="264" spans="1:17" x14ac:dyDescent="0.25">
      <c r="A264" s="139">
        <v>43732</v>
      </c>
      <c r="B264" s="148">
        <v>159.94999999999999</v>
      </c>
      <c r="C264" s="148">
        <v>52.700001</v>
      </c>
      <c r="D264" s="148">
        <v>2831.35</v>
      </c>
      <c r="E264" s="148">
        <v>1253.8000489999999</v>
      </c>
      <c r="F264" s="148">
        <v>1765.9</v>
      </c>
      <c r="G264" s="148">
        <v>1278.6999510000001</v>
      </c>
      <c r="H264" s="148">
        <v>56.05</v>
      </c>
      <c r="I264" s="125">
        <v>2050.4499510000001</v>
      </c>
      <c r="J264">
        <f t="shared" si="33"/>
        <v>2.4007682458386685E-2</v>
      </c>
      <c r="K264">
        <f t="shared" si="34"/>
        <v>2.8544624710649495E-3</v>
      </c>
      <c r="L264">
        <f t="shared" si="35"/>
        <v>2.8335133794959891E-3</v>
      </c>
      <c r="M264">
        <f t="shared" si="36"/>
        <v>1.1373798949194189E-2</v>
      </c>
      <c r="N264">
        <f t="shared" si="37"/>
        <v>8.0488640255737733E-3</v>
      </c>
      <c r="O264">
        <f t="shared" si="38"/>
        <v>-6.6437260556104205E-4</v>
      </c>
      <c r="P264">
        <f t="shared" si="39"/>
        <v>4.3761638733705664E-2</v>
      </c>
      <c r="Q264">
        <f t="shared" si="40"/>
        <v>-5.1184450402142064E-4</v>
      </c>
    </row>
    <row r="265" spans="1:17" x14ac:dyDescent="0.25">
      <c r="A265" s="139">
        <v>43731</v>
      </c>
      <c r="B265" s="148">
        <v>157.9</v>
      </c>
      <c r="C265" s="148">
        <v>52.200001</v>
      </c>
      <c r="D265" s="148">
        <v>2877.25</v>
      </c>
      <c r="E265" s="148">
        <v>1257.25</v>
      </c>
      <c r="F265" s="148">
        <v>1802.75</v>
      </c>
      <c r="G265" s="148">
        <v>1239.1999510000001</v>
      </c>
      <c r="H265" s="148">
        <v>55.45</v>
      </c>
      <c r="I265" s="125">
        <v>2039.75</v>
      </c>
      <c r="J265">
        <f t="shared" si="33"/>
        <v>-1.2816505157861726E-2</v>
      </c>
      <c r="K265">
        <f t="shared" si="34"/>
        <v>-9.4876658541239878E-3</v>
      </c>
      <c r="L265">
        <f t="shared" si="35"/>
        <v>1.6211347943560526E-2</v>
      </c>
      <c r="M265">
        <f t="shared" si="36"/>
        <v>2.7515958407815116E-3</v>
      </c>
      <c r="N265">
        <f t="shared" si="37"/>
        <v>2.0867546293674561E-2</v>
      </c>
      <c r="O265">
        <f t="shared" si="38"/>
        <v>-3.0890749600099108E-2</v>
      </c>
      <c r="P265">
        <f t="shared" si="39"/>
        <v>-1.070472792149856E-2</v>
      </c>
      <c r="Q265">
        <f t="shared" si="40"/>
        <v>-5.2183429275031619E-3</v>
      </c>
    </row>
    <row r="266" spans="1:17" x14ac:dyDescent="0.25">
      <c r="A266" s="139">
        <v>43728</v>
      </c>
      <c r="B266" s="148">
        <v>158.94999999999999</v>
      </c>
      <c r="C266" s="148">
        <v>51.599997999999999</v>
      </c>
      <c r="D266" s="148">
        <v>2642.95</v>
      </c>
      <c r="E266" s="148">
        <v>1199.599976</v>
      </c>
      <c r="F266" s="148">
        <v>1671</v>
      </c>
      <c r="G266" s="148">
        <v>1254.349976</v>
      </c>
      <c r="H266" s="148">
        <v>55.5</v>
      </c>
      <c r="I266" s="125">
        <v>1969.75</v>
      </c>
      <c r="J266">
        <f t="shared" si="33"/>
        <v>6.6497783407218677E-3</v>
      </c>
      <c r="K266">
        <f t="shared" si="34"/>
        <v>-1.1494310124630092E-2</v>
      </c>
      <c r="L266">
        <f t="shared" si="35"/>
        <v>-8.1431922842992499E-2</v>
      </c>
      <c r="M266">
        <f t="shared" si="36"/>
        <v>-4.5854065619407462E-2</v>
      </c>
      <c r="N266">
        <f t="shared" si="37"/>
        <v>-7.3082790181666898E-2</v>
      </c>
      <c r="O266">
        <f t="shared" si="38"/>
        <v>1.2225650096075506E-2</v>
      </c>
      <c r="P266">
        <f t="shared" si="39"/>
        <v>9.0171325518479989E-4</v>
      </c>
      <c r="Q266">
        <f t="shared" si="40"/>
        <v>-3.431793111900968E-2</v>
      </c>
    </row>
    <row r="267" spans="1:17" x14ac:dyDescent="0.25">
      <c r="A267" s="139">
        <v>43727</v>
      </c>
      <c r="B267" s="148">
        <v>146.15</v>
      </c>
      <c r="C267" s="148">
        <v>50.150002000000001</v>
      </c>
      <c r="D267" s="148">
        <v>2554.3000000000002</v>
      </c>
      <c r="E267" s="148">
        <v>1101.0500489999999</v>
      </c>
      <c r="F267" s="148">
        <v>1553.9</v>
      </c>
      <c r="G267" s="148">
        <v>1179.0500489999999</v>
      </c>
      <c r="H267" s="148">
        <v>54.1</v>
      </c>
      <c r="I267" s="125">
        <v>1812.75</v>
      </c>
      <c r="J267">
        <f t="shared" si="33"/>
        <v>-8.0528468071720566E-2</v>
      </c>
      <c r="K267">
        <f t="shared" si="34"/>
        <v>-2.810069876359295E-2</v>
      </c>
      <c r="L267">
        <f t="shared" si="35"/>
        <v>-3.354206473826582E-2</v>
      </c>
      <c r="M267">
        <f t="shared" si="36"/>
        <v>-8.2152324918019201E-2</v>
      </c>
      <c r="N267">
        <f t="shared" si="37"/>
        <v>-7.0077797725912577E-2</v>
      </c>
      <c r="O267">
        <f t="shared" si="38"/>
        <v>-6.0031034751660113E-2</v>
      </c>
      <c r="P267">
        <f t="shared" si="39"/>
        <v>-2.52252252252252E-2</v>
      </c>
      <c r="Q267">
        <f t="shared" si="40"/>
        <v>-7.970554638913567E-2</v>
      </c>
    </row>
    <row r="268" spans="1:17" x14ac:dyDescent="0.25">
      <c r="A268" s="139">
        <v>43726</v>
      </c>
      <c r="B268" s="148">
        <v>149.69999999999999</v>
      </c>
      <c r="C268" s="148">
        <v>53.049999</v>
      </c>
      <c r="D268" s="148">
        <v>2548.3000000000002</v>
      </c>
      <c r="E268" s="148">
        <v>1093.880005</v>
      </c>
      <c r="F268" s="148">
        <v>1547.75</v>
      </c>
      <c r="G268" s="148">
        <v>1205.6999510000001</v>
      </c>
      <c r="H268" s="148">
        <v>64.099999999999994</v>
      </c>
      <c r="I268" s="125">
        <v>1829.1999510000001</v>
      </c>
      <c r="J268">
        <f t="shared" si="33"/>
        <v>2.4290112897707716E-2</v>
      </c>
      <c r="K268">
        <f t="shared" si="34"/>
        <v>5.7826458312005634E-2</v>
      </c>
      <c r="L268">
        <f t="shared" si="35"/>
        <v>-2.348980151117723E-3</v>
      </c>
      <c r="M268">
        <f t="shared" si="36"/>
        <v>-6.512005522829746E-3</v>
      </c>
      <c r="N268">
        <f t="shared" si="37"/>
        <v>-3.9577836411610083E-3</v>
      </c>
      <c r="O268">
        <f t="shared" si="38"/>
        <v>2.2602858990254885E-2</v>
      </c>
      <c r="P268">
        <f t="shared" si="39"/>
        <v>0.18484288354898323</v>
      </c>
      <c r="Q268">
        <f t="shared" si="40"/>
        <v>9.0745833678113671E-3</v>
      </c>
    </row>
    <row r="269" spans="1:17" x14ac:dyDescent="0.25">
      <c r="A269" s="139">
        <v>43725</v>
      </c>
      <c r="B269" s="148">
        <v>145.4</v>
      </c>
      <c r="C269" s="148">
        <v>54.849997999999999</v>
      </c>
      <c r="D269" s="148">
        <v>2464.1</v>
      </c>
      <c r="E269" s="148">
        <v>1105.6800539999999</v>
      </c>
      <c r="F269" s="148">
        <v>1530.9</v>
      </c>
      <c r="G269" s="148">
        <v>1197.4499510000001</v>
      </c>
      <c r="H269" s="148">
        <v>65.099999999999994</v>
      </c>
      <c r="I269" s="125">
        <v>1831.1999510000001</v>
      </c>
      <c r="J269">
        <f t="shared" si="33"/>
        <v>-2.8724114896459475E-2</v>
      </c>
      <c r="K269">
        <f t="shared" si="34"/>
        <v>3.3930236266356946E-2</v>
      </c>
      <c r="L269">
        <f t="shared" si="35"/>
        <v>-3.3041635600204164E-2</v>
      </c>
      <c r="M269">
        <f t="shared" si="36"/>
        <v>1.078733402755629E-2</v>
      </c>
      <c r="N269">
        <f t="shared" si="37"/>
        <v>-1.0886771119366765E-2</v>
      </c>
      <c r="O269">
        <f t="shared" si="38"/>
        <v>-6.842498411945278E-3</v>
      </c>
      <c r="P269">
        <f t="shared" si="39"/>
        <v>1.5600624024960999E-2</v>
      </c>
      <c r="Q269">
        <f t="shared" si="40"/>
        <v>1.0933741819239748E-3</v>
      </c>
    </row>
    <row r="270" spans="1:17" x14ac:dyDescent="0.25">
      <c r="A270" s="139">
        <v>43724</v>
      </c>
      <c r="B270" s="148">
        <v>148.65</v>
      </c>
      <c r="C270" s="148">
        <v>55.549999</v>
      </c>
      <c r="D270" s="148">
        <v>2550.15</v>
      </c>
      <c r="E270" s="148">
        <v>1122.0699460000001</v>
      </c>
      <c r="F270" s="148">
        <v>1521.3</v>
      </c>
      <c r="G270" s="148">
        <v>1210.75</v>
      </c>
      <c r="H270" s="148">
        <v>67.05</v>
      </c>
      <c r="I270" s="125">
        <v>1816.3000489999999</v>
      </c>
      <c r="J270">
        <f t="shared" si="33"/>
        <v>2.235213204951857E-2</v>
      </c>
      <c r="K270">
        <f t="shared" si="34"/>
        <v>1.2762097092510383E-2</v>
      </c>
      <c r="L270">
        <f t="shared" si="35"/>
        <v>3.4921472342843304E-2</v>
      </c>
      <c r="M270">
        <f t="shared" si="36"/>
        <v>1.4823358656698845E-2</v>
      </c>
      <c r="N270">
        <f t="shared" si="37"/>
        <v>-6.270821085635989E-3</v>
      </c>
      <c r="O270">
        <f t="shared" si="38"/>
        <v>1.1106976946212212E-2</v>
      </c>
      <c r="P270">
        <f t="shared" si="39"/>
        <v>2.9953917050691291E-2</v>
      </c>
      <c r="Q270">
        <f t="shared" si="40"/>
        <v>-8.1366876358113828E-3</v>
      </c>
    </row>
    <row r="271" spans="1:17" x14ac:dyDescent="0.25">
      <c r="A271" s="139">
        <v>43721</v>
      </c>
      <c r="B271" s="148">
        <v>149.30000000000001</v>
      </c>
      <c r="C271" s="148">
        <v>50.25</v>
      </c>
      <c r="D271" s="148">
        <v>2521.85</v>
      </c>
      <c r="E271" s="148">
        <v>1128.719971</v>
      </c>
      <c r="F271" s="148">
        <v>1548.2</v>
      </c>
      <c r="G271" s="148">
        <v>1225.599976</v>
      </c>
      <c r="H271" s="148">
        <v>68.55</v>
      </c>
      <c r="I271" s="125">
        <v>1805.5500489999999</v>
      </c>
      <c r="J271">
        <f t="shared" si="33"/>
        <v>4.3726875210225741E-3</v>
      </c>
      <c r="K271">
        <f t="shared" si="34"/>
        <v>-9.5409524669838416E-2</v>
      </c>
      <c r="L271">
        <f t="shared" si="35"/>
        <v>-1.109738642824939E-2</v>
      </c>
      <c r="M271">
        <f t="shared" si="36"/>
        <v>5.9265690376131986E-3</v>
      </c>
      <c r="N271">
        <f t="shared" si="37"/>
        <v>1.768224544797219E-2</v>
      </c>
      <c r="O271">
        <f t="shared" si="38"/>
        <v>1.2265105100144513E-2</v>
      </c>
      <c r="P271">
        <f t="shared" si="39"/>
        <v>2.2371364653243849E-2</v>
      </c>
      <c r="Q271">
        <f t="shared" si="40"/>
        <v>-5.9186256180076774E-3</v>
      </c>
    </row>
    <row r="272" spans="1:17" x14ac:dyDescent="0.25">
      <c r="A272" s="139">
        <v>43720</v>
      </c>
      <c r="B272" s="148">
        <v>145.44999999999999</v>
      </c>
      <c r="C272" s="148">
        <v>48.900002000000001</v>
      </c>
      <c r="D272" s="148">
        <v>2527.5</v>
      </c>
      <c r="E272" s="148">
        <v>1135.4300539999999</v>
      </c>
      <c r="F272" s="148">
        <v>1540.3</v>
      </c>
      <c r="G272" s="148">
        <v>1210.349976</v>
      </c>
      <c r="H272" s="148">
        <v>67.95</v>
      </c>
      <c r="I272" s="125">
        <v>1805.400024</v>
      </c>
      <c r="J272">
        <f t="shared" si="33"/>
        <v>-2.5787006028131429E-2</v>
      </c>
      <c r="K272">
        <f t="shared" si="34"/>
        <v>-2.6865631840796007E-2</v>
      </c>
      <c r="L272">
        <f t="shared" si="35"/>
        <v>2.240418740210596E-3</v>
      </c>
      <c r="M272">
        <f t="shared" si="36"/>
        <v>5.9448607027437284E-3</v>
      </c>
      <c r="N272">
        <f t="shared" si="37"/>
        <v>-5.1026999095724656E-3</v>
      </c>
      <c r="O272">
        <f t="shared" si="38"/>
        <v>-1.2442885361153108E-2</v>
      </c>
      <c r="P272">
        <f t="shared" si="39"/>
        <v>-8.7527352297592179E-3</v>
      </c>
      <c r="Q272">
        <f t="shared" si="40"/>
        <v>-8.3091022640444201E-5</v>
      </c>
    </row>
    <row r="273" spans="1:17" x14ac:dyDescent="0.25">
      <c r="A273" s="139">
        <v>43719</v>
      </c>
      <c r="B273" s="148">
        <v>146.30000000000001</v>
      </c>
      <c r="C273" s="148">
        <v>48.299999</v>
      </c>
      <c r="D273" s="148">
        <v>2602.6999999999998</v>
      </c>
      <c r="E273" s="148">
        <v>1125.650024</v>
      </c>
      <c r="F273" s="148">
        <v>1561.45</v>
      </c>
      <c r="G273" s="148">
        <v>1234.400024</v>
      </c>
      <c r="H273" s="148">
        <v>71.599999999999994</v>
      </c>
      <c r="I273" s="125">
        <v>1824.3000489999999</v>
      </c>
      <c r="J273">
        <f t="shared" si="33"/>
        <v>5.8439326228946226E-3</v>
      </c>
      <c r="K273">
        <f t="shared" si="34"/>
        <v>-1.2269999498159549E-2</v>
      </c>
      <c r="L273">
        <f t="shared" si="35"/>
        <v>2.9752720079129501E-2</v>
      </c>
      <c r="M273">
        <f t="shared" si="36"/>
        <v>-8.6135028446233976E-3</v>
      </c>
      <c r="N273">
        <f t="shared" si="37"/>
        <v>1.3731091345841778E-2</v>
      </c>
      <c r="O273">
        <f t="shared" si="38"/>
        <v>1.9870325506578985E-2</v>
      </c>
      <c r="P273">
        <f t="shared" si="39"/>
        <v>5.3715967623252266E-2</v>
      </c>
      <c r="Q273">
        <f t="shared" si="40"/>
        <v>1.046860792553081E-2</v>
      </c>
    </row>
    <row r="274" spans="1:17" x14ac:dyDescent="0.25">
      <c r="A274" s="139">
        <v>43717</v>
      </c>
      <c r="B274" s="148">
        <v>141.25</v>
      </c>
      <c r="C274" s="148">
        <v>45.5</v>
      </c>
      <c r="D274" s="148">
        <v>2595.85</v>
      </c>
      <c r="E274" s="148">
        <v>1124.8000489999999</v>
      </c>
      <c r="F274" s="148">
        <v>1540.6</v>
      </c>
      <c r="G274" s="148">
        <v>1222.1999510000001</v>
      </c>
      <c r="H274" s="148">
        <v>63.1</v>
      </c>
      <c r="I274" s="125">
        <v>1834.0500489999999</v>
      </c>
      <c r="J274">
        <f t="shared" si="33"/>
        <v>-3.4518113465481962E-2</v>
      </c>
      <c r="K274">
        <f t="shared" si="34"/>
        <v>-5.7970994989047508E-2</v>
      </c>
      <c r="L274">
        <f t="shared" si="35"/>
        <v>-2.6318822760978636E-3</v>
      </c>
      <c r="M274">
        <f t="shared" si="36"/>
        <v>-7.5509703893551002E-4</v>
      </c>
      <c r="N274">
        <f t="shared" si="37"/>
        <v>-1.3352973197989136E-2</v>
      </c>
      <c r="O274">
        <f t="shared" si="38"/>
        <v>-9.883403080685596E-3</v>
      </c>
      <c r="P274">
        <f t="shared" si="39"/>
        <v>-0.1187150837988826</v>
      </c>
      <c r="Q274">
        <f t="shared" si="40"/>
        <v>5.344515561102197E-3</v>
      </c>
    </row>
    <row r="275" spans="1:17" x14ac:dyDescent="0.25">
      <c r="A275" s="139">
        <v>43714</v>
      </c>
      <c r="B275" s="148">
        <v>141.80000000000001</v>
      </c>
      <c r="C275" s="148">
        <v>45.099997999999999</v>
      </c>
      <c r="D275" s="148">
        <v>2516.6999999999998</v>
      </c>
      <c r="E275" s="148">
        <v>1122.9499510000001</v>
      </c>
      <c r="F275" s="148">
        <v>1532.4</v>
      </c>
      <c r="G275" s="148">
        <v>1222.5</v>
      </c>
      <c r="H275" s="148">
        <v>60.4</v>
      </c>
      <c r="I275" s="125">
        <v>1819.150024</v>
      </c>
      <c r="J275">
        <f t="shared" si="33"/>
        <v>3.8938053097345936E-3</v>
      </c>
      <c r="K275">
        <f t="shared" si="34"/>
        <v>-8.7912527472527608E-3</v>
      </c>
      <c r="L275">
        <f t="shared" si="35"/>
        <v>-3.0490975980892614E-2</v>
      </c>
      <c r="M275">
        <f t="shared" si="36"/>
        <v>-1.644823897051492E-3</v>
      </c>
      <c r="N275">
        <f t="shared" si="37"/>
        <v>-5.3226015837984026E-3</v>
      </c>
      <c r="O275">
        <f t="shared" si="38"/>
        <v>2.454991098260521E-4</v>
      </c>
      <c r="P275">
        <f t="shared" si="39"/>
        <v>-4.2789223454833644E-2</v>
      </c>
      <c r="Q275">
        <f t="shared" si="40"/>
        <v>-8.1241103579065502E-3</v>
      </c>
    </row>
    <row r="276" spans="1:17" x14ac:dyDescent="0.25">
      <c r="A276" s="139">
        <v>43713</v>
      </c>
      <c r="B276" s="148">
        <v>139.30000000000001</v>
      </c>
      <c r="C276" s="148">
        <v>45.049999</v>
      </c>
      <c r="D276" s="148">
        <v>2529.1</v>
      </c>
      <c r="E276" s="148">
        <v>1117.5699460000001</v>
      </c>
      <c r="F276" s="148">
        <v>1519.75</v>
      </c>
      <c r="G276" s="148">
        <v>1198.599976</v>
      </c>
      <c r="H276" s="148">
        <v>61.95</v>
      </c>
      <c r="I276" s="125">
        <v>1829.75</v>
      </c>
      <c r="J276">
        <f t="shared" si="33"/>
        <v>-1.7630465444287726E-2</v>
      </c>
      <c r="K276">
        <f t="shared" si="34"/>
        <v>-1.1086253263248411E-3</v>
      </c>
      <c r="L276">
        <f t="shared" si="35"/>
        <v>4.9270870584495934E-3</v>
      </c>
      <c r="M276">
        <f t="shared" si="36"/>
        <v>-4.790957063766756E-3</v>
      </c>
      <c r="N276">
        <f t="shared" si="37"/>
        <v>-8.2550247977030092E-3</v>
      </c>
      <c r="O276">
        <f t="shared" si="38"/>
        <v>-1.9550121881390617E-2</v>
      </c>
      <c r="P276">
        <f t="shared" si="39"/>
        <v>2.5662251655629211E-2</v>
      </c>
      <c r="Q276">
        <f t="shared" si="40"/>
        <v>5.826883907404423E-3</v>
      </c>
    </row>
    <row r="277" spans="1:17" x14ac:dyDescent="0.25">
      <c r="A277" s="139">
        <v>43712</v>
      </c>
      <c r="B277" s="148">
        <v>136.69999999999999</v>
      </c>
      <c r="C277" s="148">
        <v>43.849997999999999</v>
      </c>
      <c r="D277" s="148">
        <v>2605.25</v>
      </c>
      <c r="E277" s="148">
        <v>1123.880005</v>
      </c>
      <c r="F277" s="148">
        <v>1535.15</v>
      </c>
      <c r="G277" s="148">
        <v>1201.150024</v>
      </c>
      <c r="H277" s="148">
        <v>59.45</v>
      </c>
      <c r="I277" s="125">
        <v>1846.599976</v>
      </c>
      <c r="J277">
        <f t="shared" si="33"/>
        <v>-1.8664752333094205E-2</v>
      </c>
      <c r="K277">
        <f t="shared" si="34"/>
        <v>-2.6637092711145241E-2</v>
      </c>
      <c r="L277">
        <f t="shared" si="35"/>
        <v>3.0109525127515753E-2</v>
      </c>
      <c r="M277">
        <f t="shared" si="36"/>
        <v>5.6462318287860526E-3</v>
      </c>
      <c r="N277">
        <f t="shared" si="37"/>
        <v>1.0133245599605259E-2</v>
      </c>
      <c r="O277">
        <f t="shared" si="38"/>
        <v>2.1275221517275092E-3</v>
      </c>
      <c r="P277">
        <f t="shared" si="39"/>
        <v>-4.0355125100887811E-2</v>
      </c>
      <c r="Q277">
        <f t="shared" si="40"/>
        <v>9.20889520426286E-3</v>
      </c>
    </row>
    <row r="278" spans="1:17" x14ac:dyDescent="0.25">
      <c r="A278" s="139">
        <v>43711</v>
      </c>
      <c r="B278" s="148">
        <v>134.15</v>
      </c>
      <c r="C278" s="148">
        <v>44.450001</v>
      </c>
      <c r="D278" s="148">
        <v>2648.4</v>
      </c>
      <c r="E278" s="148">
        <v>1105.469971</v>
      </c>
      <c r="F278" s="148">
        <v>1576.75</v>
      </c>
      <c r="G278" s="148">
        <v>1206.400024</v>
      </c>
      <c r="H278" s="148">
        <v>58.75</v>
      </c>
      <c r="I278" s="125">
        <v>1841.849976</v>
      </c>
      <c r="J278">
        <f t="shared" si="33"/>
        <v>-1.865398683247976E-2</v>
      </c>
      <c r="K278">
        <f t="shared" si="34"/>
        <v>1.3683079301394745E-2</v>
      </c>
      <c r="L278">
        <f t="shared" si="35"/>
        <v>1.656270991267636E-2</v>
      </c>
      <c r="M278">
        <f t="shared" si="36"/>
        <v>-1.6380782572958042E-2</v>
      </c>
      <c r="N278">
        <f t="shared" si="37"/>
        <v>2.7098329153502854E-2</v>
      </c>
      <c r="O278">
        <f t="shared" si="38"/>
        <v>4.3708112184993805E-3</v>
      </c>
      <c r="P278">
        <f t="shared" si="39"/>
        <v>-1.1774600504625784E-2</v>
      </c>
      <c r="Q278">
        <f t="shared" si="40"/>
        <v>-2.5722950621331537E-3</v>
      </c>
    </row>
    <row r="279" spans="1:17" x14ac:dyDescent="0.25">
      <c r="A279" s="139">
        <v>43707</v>
      </c>
      <c r="B279" s="148">
        <v>139.15</v>
      </c>
      <c r="C279" s="148">
        <v>46.400002000000001</v>
      </c>
      <c r="D279" s="148">
        <v>2660.2</v>
      </c>
      <c r="E279" s="148">
        <v>1113.969971</v>
      </c>
      <c r="F279" s="148">
        <v>1616.2</v>
      </c>
      <c r="G279" s="148">
        <v>1248.5500489999999</v>
      </c>
      <c r="H279" s="148">
        <v>59.95</v>
      </c>
      <c r="I279" s="125">
        <v>1881.900024</v>
      </c>
      <c r="J279">
        <f t="shared" si="33"/>
        <v>3.7271710771524413E-2</v>
      </c>
      <c r="K279">
        <f t="shared" si="34"/>
        <v>4.3869537820707814E-2</v>
      </c>
      <c r="L279">
        <f t="shared" si="35"/>
        <v>4.4555203141518375E-3</v>
      </c>
      <c r="M279">
        <f t="shared" si="36"/>
        <v>7.6890374437859786E-3</v>
      </c>
      <c r="N279">
        <f t="shared" si="37"/>
        <v>2.5019819248454127E-2</v>
      </c>
      <c r="O279">
        <f t="shared" si="38"/>
        <v>3.4938680505198591E-2</v>
      </c>
      <c r="P279">
        <f t="shared" si="39"/>
        <v>2.0425531914893665E-2</v>
      </c>
      <c r="Q279">
        <f t="shared" si="40"/>
        <v>2.1744468073875339E-2</v>
      </c>
    </row>
    <row r="280" spans="1:17" x14ac:dyDescent="0.25">
      <c r="A280" s="139">
        <v>43706</v>
      </c>
      <c r="B280" s="148">
        <v>135.75</v>
      </c>
      <c r="C280" s="148">
        <v>43.400002000000001</v>
      </c>
      <c r="D280" s="148">
        <v>2640.95</v>
      </c>
      <c r="E280" s="148">
        <v>1113.469971</v>
      </c>
      <c r="F280" s="148">
        <v>1615.25</v>
      </c>
      <c r="G280" s="148">
        <v>1241.75</v>
      </c>
      <c r="H280" s="148">
        <v>57.4</v>
      </c>
      <c r="I280" s="125">
        <v>1832.9499510000001</v>
      </c>
      <c r="J280">
        <f t="shared" si="33"/>
        <v>-2.4434063959755701E-2</v>
      </c>
      <c r="K280">
        <f t="shared" si="34"/>
        <v>-6.4655169626932338E-2</v>
      </c>
      <c r="L280">
        <f t="shared" si="35"/>
        <v>-7.2362980227050604E-3</v>
      </c>
      <c r="M280">
        <f t="shared" si="36"/>
        <v>-4.4884513318716742E-4</v>
      </c>
      <c r="N280">
        <f t="shared" si="37"/>
        <v>-5.877985397847082E-4</v>
      </c>
      <c r="O280">
        <f t="shared" si="38"/>
        <v>-5.4463567603447709E-3</v>
      </c>
      <c r="P280">
        <f t="shared" si="39"/>
        <v>-4.2535446205171044E-2</v>
      </c>
      <c r="Q280">
        <f t="shared" si="40"/>
        <v>-2.6010984842837738E-2</v>
      </c>
    </row>
    <row r="281" spans="1:17" x14ac:dyDescent="0.25">
      <c r="A281" s="139">
        <v>43705</v>
      </c>
      <c r="B281" s="148">
        <v>132.35</v>
      </c>
      <c r="C281" s="148">
        <v>44.049999</v>
      </c>
      <c r="D281" s="148">
        <v>2692.85</v>
      </c>
      <c r="E281" s="148">
        <v>1123.75</v>
      </c>
      <c r="F281" s="148">
        <v>1603.15</v>
      </c>
      <c r="G281" s="148">
        <v>1263.3000489999999</v>
      </c>
      <c r="H281" s="148">
        <v>59.5</v>
      </c>
      <c r="I281" s="125">
        <v>1828.099976</v>
      </c>
      <c r="J281">
        <f t="shared" si="33"/>
        <v>-2.5046040515653817E-2</v>
      </c>
      <c r="K281">
        <f t="shared" si="34"/>
        <v>1.4976888710742434E-2</v>
      </c>
      <c r="L281">
        <f t="shared" si="35"/>
        <v>1.9652019159772088E-2</v>
      </c>
      <c r="M281">
        <f t="shared" si="36"/>
        <v>9.2324259007789747E-3</v>
      </c>
      <c r="N281">
        <f t="shared" si="37"/>
        <v>-7.4911004488468717E-3</v>
      </c>
      <c r="O281">
        <f t="shared" si="38"/>
        <v>1.7354579424199674E-2</v>
      </c>
      <c r="P281">
        <f t="shared" si="39"/>
        <v>3.6585365853658562E-2</v>
      </c>
      <c r="Q281">
        <f t="shared" si="40"/>
        <v>-2.6459942331508242E-3</v>
      </c>
    </row>
    <row r="282" spans="1:17" x14ac:dyDescent="0.25">
      <c r="A282" s="139">
        <v>43704</v>
      </c>
      <c r="B282" s="148">
        <v>138.1</v>
      </c>
      <c r="C282" s="148">
        <v>44.950001</v>
      </c>
      <c r="D282" s="148">
        <v>2546.75</v>
      </c>
      <c r="E282" s="148">
        <v>1129.969971</v>
      </c>
      <c r="F282" s="148">
        <v>1599.45</v>
      </c>
      <c r="G282" s="148">
        <v>1274.849976</v>
      </c>
      <c r="H282" s="148">
        <v>64.5</v>
      </c>
      <c r="I282" s="125">
        <v>1861.400024</v>
      </c>
      <c r="J282">
        <f t="shared" si="33"/>
        <v>4.3445409897997736E-2</v>
      </c>
      <c r="K282">
        <f t="shared" si="34"/>
        <v>2.0431373903095903E-2</v>
      </c>
      <c r="L282">
        <f t="shared" si="35"/>
        <v>-5.4254785821713024E-2</v>
      </c>
      <c r="M282">
        <f t="shared" si="36"/>
        <v>5.5350131256952052E-3</v>
      </c>
      <c r="N282">
        <f t="shared" si="37"/>
        <v>-2.3079562112092102E-3</v>
      </c>
      <c r="O282">
        <f t="shared" si="38"/>
        <v>9.1426633040525007E-3</v>
      </c>
      <c r="P282">
        <f t="shared" si="39"/>
        <v>8.4033613445378158E-2</v>
      </c>
      <c r="Q282">
        <f t="shared" si="40"/>
        <v>1.8215660213979492E-2</v>
      </c>
    </row>
    <row r="283" spans="1:17" x14ac:dyDescent="0.25">
      <c r="A283" s="139">
        <v>43703</v>
      </c>
      <c r="B283" s="148">
        <v>135.05000000000001</v>
      </c>
      <c r="C283" s="148">
        <v>43.650002000000001</v>
      </c>
      <c r="D283" s="148">
        <v>2392.25</v>
      </c>
      <c r="E283" s="148">
        <v>1128.0699460000001</v>
      </c>
      <c r="F283" s="148">
        <v>1597.55</v>
      </c>
      <c r="G283" s="148">
        <v>1266.8000489999999</v>
      </c>
      <c r="H283" s="148">
        <v>62.9</v>
      </c>
      <c r="I283" s="125">
        <v>1876.5500489999999</v>
      </c>
      <c r="J283">
        <f t="shared" si="33"/>
        <v>-2.2085445329471275E-2</v>
      </c>
      <c r="K283">
        <f t="shared" si="34"/>
        <v>-2.8921000468943251E-2</v>
      </c>
      <c r="L283">
        <f t="shared" si="35"/>
        <v>-6.0665554137626386E-2</v>
      </c>
      <c r="M283">
        <f t="shared" si="36"/>
        <v>-1.6814827373849868E-3</v>
      </c>
      <c r="N283">
        <f t="shared" si="37"/>
        <v>-1.1879083434931325E-3</v>
      </c>
      <c r="O283">
        <f t="shared" si="38"/>
        <v>-6.3144112260625912E-3</v>
      </c>
      <c r="P283">
        <f t="shared" si="39"/>
        <v>-2.4806201550387617E-2</v>
      </c>
      <c r="Q283">
        <f t="shared" si="40"/>
        <v>8.1390484606547499E-3</v>
      </c>
    </row>
    <row r="284" spans="1:17" x14ac:dyDescent="0.25">
      <c r="A284" s="139">
        <v>43700</v>
      </c>
      <c r="B284" s="148">
        <v>137.4</v>
      </c>
      <c r="C284" s="148">
        <v>43.849997999999999</v>
      </c>
      <c r="D284" s="148">
        <v>2320.9499999999998</v>
      </c>
      <c r="E284" s="148">
        <v>1081.349976</v>
      </c>
      <c r="F284" s="148">
        <v>1580.4</v>
      </c>
      <c r="G284" s="148">
        <v>1275.849976</v>
      </c>
      <c r="H284" s="148">
        <v>59.25</v>
      </c>
      <c r="I284" s="125">
        <v>1860</v>
      </c>
      <c r="J284">
        <f t="shared" si="33"/>
        <v>1.7400962606442014E-2</v>
      </c>
      <c r="K284">
        <f t="shared" si="34"/>
        <v>4.581809641154168E-3</v>
      </c>
      <c r="L284">
        <f t="shared" si="35"/>
        <v>-2.9804577280802668E-2</v>
      </c>
      <c r="M284">
        <f t="shared" si="36"/>
        <v>-4.1415844971017517E-2</v>
      </c>
      <c r="N284">
        <f t="shared" si="37"/>
        <v>-1.0735188257018474E-2</v>
      </c>
      <c r="O284">
        <f t="shared" si="38"/>
        <v>7.1439269418594924E-3</v>
      </c>
      <c r="P284">
        <f t="shared" si="39"/>
        <v>-5.8028616852146241E-2</v>
      </c>
      <c r="Q284">
        <f t="shared" si="40"/>
        <v>-8.8194018639787125E-3</v>
      </c>
    </row>
    <row r="285" spans="1:17" x14ac:dyDescent="0.25">
      <c r="A285" s="139">
        <v>43699</v>
      </c>
      <c r="B285" s="148">
        <v>129.05000000000001</v>
      </c>
      <c r="C285" s="148">
        <v>43.5</v>
      </c>
      <c r="D285" s="148">
        <v>2302</v>
      </c>
      <c r="E285" s="148">
        <v>1087.0500489999999</v>
      </c>
      <c r="F285" s="148">
        <v>1570.2</v>
      </c>
      <c r="G285" s="148">
        <v>1246.75</v>
      </c>
      <c r="H285" s="148">
        <v>56.3</v>
      </c>
      <c r="I285" s="125">
        <v>1872.099976</v>
      </c>
      <c r="J285">
        <f t="shared" si="33"/>
        <v>-6.0771470160116407E-2</v>
      </c>
      <c r="K285">
        <f t="shared" si="34"/>
        <v>-7.9817107403288672E-3</v>
      </c>
      <c r="L285">
        <f t="shared" si="35"/>
        <v>-8.1647601197784615E-3</v>
      </c>
      <c r="M285">
        <f t="shared" si="36"/>
        <v>5.2712564169881439E-3</v>
      </c>
      <c r="N285">
        <f t="shared" si="37"/>
        <v>-6.454062262718328E-3</v>
      </c>
      <c r="O285">
        <f t="shared" si="38"/>
        <v>-2.2808305480581027E-2</v>
      </c>
      <c r="P285">
        <f t="shared" si="39"/>
        <v>-4.9789029535865025E-2</v>
      </c>
      <c r="Q285">
        <f t="shared" si="40"/>
        <v>6.5053634408601992E-3</v>
      </c>
    </row>
    <row r="286" spans="1:17" x14ac:dyDescent="0.25">
      <c r="A286" s="139">
        <v>43698</v>
      </c>
      <c r="B286" s="148">
        <v>139.94999999999999</v>
      </c>
      <c r="C286" s="148">
        <v>44.099997999999999</v>
      </c>
      <c r="D286" s="148">
        <v>2214.5500000000002</v>
      </c>
      <c r="E286" s="148">
        <v>1112.9300539999999</v>
      </c>
      <c r="F286" s="148">
        <v>1589.15</v>
      </c>
      <c r="G286" s="148">
        <v>1270.9499510000001</v>
      </c>
      <c r="H286" s="148">
        <v>65.400000000000006</v>
      </c>
      <c r="I286" s="125">
        <v>1850</v>
      </c>
      <c r="J286">
        <f t="shared" si="33"/>
        <v>8.4463386284385711E-2</v>
      </c>
      <c r="K286">
        <f t="shared" si="34"/>
        <v>1.3793057471264353E-2</v>
      </c>
      <c r="L286">
        <f t="shared" si="35"/>
        <v>-3.7988705473501222E-2</v>
      </c>
      <c r="M286">
        <f t="shared" si="36"/>
        <v>2.3807556076932742E-2</v>
      </c>
      <c r="N286">
        <f t="shared" si="37"/>
        <v>1.2068526302381892E-2</v>
      </c>
      <c r="O286">
        <f t="shared" si="38"/>
        <v>1.9410427912572734E-2</v>
      </c>
      <c r="P286">
        <f t="shared" si="39"/>
        <v>0.16163410301953834</v>
      </c>
      <c r="Q286">
        <f t="shared" si="40"/>
        <v>-1.1804912282099175E-2</v>
      </c>
    </row>
    <row r="287" spans="1:17" x14ac:dyDescent="0.25">
      <c r="A287" s="139">
        <v>43697</v>
      </c>
      <c r="B287" s="148">
        <v>142.4</v>
      </c>
      <c r="C287" s="148">
        <v>45.799999</v>
      </c>
      <c r="D287" s="148">
        <v>2211.3000000000002</v>
      </c>
      <c r="E287" s="148">
        <v>1110.3000489999999</v>
      </c>
      <c r="F287" s="148">
        <v>1595.15</v>
      </c>
      <c r="G287" s="148">
        <v>1275.9499510000001</v>
      </c>
      <c r="H287" s="148">
        <v>71.2</v>
      </c>
      <c r="I287" s="125">
        <v>1843.400024</v>
      </c>
      <c r="J287">
        <f t="shared" si="33"/>
        <v>1.7506252232940459E-2</v>
      </c>
      <c r="K287">
        <f t="shared" si="34"/>
        <v>3.8548777258447957E-2</v>
      </c>
      <c r="L287">
        <f t="shared" si="35"/>
        <v>-1.4675667742882299E-3</v>
      </c>
      <c r="M287">
        <f t="shared" si="36"/>
        <v>-2.3631359316314978E-3</v>
      </c>
      <c r="N287">
        <f t="shared" si="37"/>
        <v>3.7756033099455681E-3</v>
      </c>
      <c r="O287">
        <f t="shared" si="38"/>
        <v>3.93406522110956E-3</v>
      </c>
      <c r="P287">
        <f t="shared" si="39"/>
        <v>8.8685015290519822E-2</v>
      </c>
      <c r="Q287">
        <f t="shared" si="40"/>
        <v>-3.5675545945945781E-3</v>
      </c>
    </row>
    <row r="288" spans="1:17" x14ac:dyDescent="0.25">
      <c r="A288" s="139">
        <v>43696</v>
      </c>
      <c r="B288" s="148">
        <v>144.30000000000001</v>
      </c>
      <c r="C288" s="148">
        <v>46.349997999999999</v>
      </c>
      <c r="D288" s="148">
        <v>2311.9499999999998</v>
      </c>
      <c r="E288" s="148">
        <v>1103.4300539999999</v>
      </c>
      <c r="F288" s="148">
        <v>1586.45</v>
      </c>
      <c r="G288" s="148">
        <v>1292.599976</v>
      </c>
      <c r="H288" s="148">
        <v>76.650000000000006</v>
      </c>
      <c r="I288" s="125">
        <v>1820.900024</v>
      </c>
      <c r="J288">
        <f t="shared" si="33"/>
        <v>1.3342696629213523E-2</v>
      </c>
      <c r="K288">
        <f t="shared" si="34"/>
        <v>1.200871205259196E-2</v>
      </c>
      <c r="L288">
        <f t="shared" si="35"/>
        <v>4.5516212182878678E-2</v>
      </c>
      <c r="M288">
        <f t="shared" si="36"/>
        <v>-6.1875121109717414E-3</v>
      </c>
      <c r="N288">
        <f t="shared" si="37"/>
        <v>-5.4540325361251574E-3</v>
      </c>
      <c r="O288">
        <f t="shared" si="38"/>
        <v>1.3049120764455371E-2</v>
      </c>
      <c r="P288">
        <f t="shared" si="39"/>
        <v>7.6544943820224753E-2</v>
      </c>
      <c r="Q288">
        <f t="shared" si="40"/>
        <v>-1.2205706687134121E-2</v>
      </c>
    </row>
    <row r="289" spans="1:17" x14ac:dyDescent="0.25">
      <c r="A289" s="139">
        <v>43693</v>
      </c>
      <c r="B289" s="148">
        <v>144.4</v>
      </c>
      <c r="C289" s="148">
        <v>46.849997999999999</v>
      </c>
      <c r="D289" s="148">
        <v>2364.9</v>
      </c>
      <c r="E289" s="148">
        <v>1113.849976</v>
      </c>
      <c r="F289" s="148">
        <v>1597.45</v>
      </c>
      <c r="G289" s="148">
        <v>1278</v>
      </c>
      <c r="H289" s="148">
        <v>79.45</v>
      </c>
      <c r="I289" s="125">
        <v>1828.650024</v>
      </c>
      <c r="J289">
        <f t="shared" si="33"/>
        <v>6.9300069300065354E-4</v>
      </c>
      <c r="K289">
        <f t="shared" si="34"/>
        <v>1.0787486981121338E-2</v>
      </c>
      <c r="L289">
        <f t="shared" si="35"/>
        <v>2.2902744436514751E-2</v>
      </c>
      <c r="M289">
        <f t="shared" si="36"/>
        <v>9.4432102535427619E-3</v>
      </c>
      <c r="N289">
        <f t="shared" si="37"/>
        <v>6.9337199407482116E-3</v>
      </c>
      <c r="O289">
        <f t="shared" si="38"/>
        <v>-1.1295045854155245E-2</v>
      </c>
      <c r="P289">
        <f t="shared" si="39"/>
        <v>3.6529680365296767E-2</v>
      </c>
      <c r="Q289">
        <f t="shared" si="40"/>
        <v>4.2561370189756224E-3</v>
      </c>
    </row>
    <row r="290" spans="1:17" x14ac:dyDescent="0.25">
      <c r="A290" s="139">
        <v>43691</v>
      </c>
      <c r="B290" s="148">
        <v>146.55000000000001</v>
      </c>
      <c r="C290" s="148">
        <v>46.599997999999999</v>
      </c>
      <c r="D290" s="148">
        <v>2350.65</v>
      </c>
      <c r="E290" s="148">
        <v>1114.719971</v>
      </c>
      <c r="F290" s="148">
        <v>1569.7</v>
      </c>
      <c r="G290" s="148">
        <v>1288.25</v>
      </c>
      <c r="H290" s="148">
        <v>76.55</v>
      </c>
      <c r="I290" s="125">
        <v>1839.0500489999999</v>
      </c>
      <c r="J290">
        <f t="shared" si="33"/>
        <v>1.4889196675900315E-2</v>
      </c>
      <c r="K290">
        <f t="shared" si="34"/>
        <v>-5.3361795234228189E-3</v>
      </c>
      <c r="L290">
        <f t="shared" si="35"/>
        <v>-6.0256247621463905E-3</v>
      </c>
      <c r="M290">
        <f t="shared" si="36"/>
        <v>7.8107017888019172E-4</v>
      </c>
      <c r="N290">
        <f t="shared" si="37"/>
        <v>-1.7371435725687813E-2</v>
      </c>
      <c r="O290">
        <f t="shared" si="38"/>
        <v>8.0203442879499213E-3</v>
      </c>
      <c r="P290">
        <f t="shared" si="39"/>
        <v>-3.6500943989930847E-2</v>
      </c>
      <c r="Q290">
        <f t="shared" si="40"/>
        <v>5.6872692223801456E-3</v>
      </c>
    </row>
    <row r="291" spans="1:17" x14ac:dyDescent="0.25">
      <c r="A291" s="139">
        <v>43690</v>
      </c>
      <c r="B291" s="148">
        <v>139.75</v>
      </c>
      <c r="C291" s="148">
        <v>46.5</v>
      </c>
      <c r="D291" s="148">
        <v>1992.15</v>
      </c>
      <c r="E291" s="148">
        <v>1110.1800539999999</v>
      </c>
      <c r="F291" s="148">
        <v>1573.35</v>
      </c>
      <c r="G291" s="148">
        <v>1274.75</v>
      </c>
      <c r="H291" s="148">
        <v>73.599999999999994</v>
      </c>
      <c r="I291" s="125">
        <v>1824.75</v>
      </c>
      <c r="J291">
        <f t="shared" si="33"/>
        <v>-4.6400545888775235E-2</v>
      </c>
      <c r="K291">
        <f t="shared" si="34"/>
        <v>-2.1458799204240172E-3</v>
      </c>
      <c r="L291">
        <f t="shared" si="35"/>
        <v>-0.1525110075936443</v>
      </c>
      <c r="M291">
        <f t="shared" si="36"/>
        <v>-4.0726972855141029E-3</v>
      </c>
      <c r="N291">
        <f t="shared" si="37"/>
        <v>2.3252850863221403E-3</v>
      </c>
      <c r="O291">
        <f t="shared" si="38"/>
        <v>-1.0479332427712013E-2</v>
      </c>
      <c r="P291">
        <f t="shared" si="39"/>
        <v>-3.8536903984324009E-2</v>
      </c>
      <c r="Q291">
        <f t="shared" si="40"/>
        <v>-7.7757802229339677E-3</v>
      </c>
    </row>
    <row r="292" spans="1:17" x14ac:dyDescent="0.25">
      <c r="A292" s="139">
        <v>43686</v>
      </c>
      <c r="B292" s="148">
        <v>141.5</v>
      </c>
      <c r="C292" s="148">
        <v>46.400002000000001</v>
      </c>
      <c r="D292" s="148">
        <v>1940.8</v>
      </c>
      <c r="E292" s="148">
        <v>1141</v>
      </c>
      <c r="F292" s="148">
        <v>1575.5</v>
      </c>
      <c r="G292" s="148">
        <v>1162.099976</v>
      </c>
      <c r="H292" s="148">
        <v>82.15</v>
      </c>
      <c r="I292" s="125">
        <v>1841.349976</v>
      </c>
      <c r="J292">
        <f t="shared" si="33"/>
        <v>1.2522361359570662E-2</v>
      </c>
      <c r="K292">
        <f t="shared" si="34"/>
        <v>-2.1504946236559001E-3</v>
      </c>
      <c r="L292">
        <f t="shared" si="35"/>
        <v>-2.5776171473031715E-2</v>
      </c>
      <c r="M292">
        <f t="shared" si="36"/>
        <v>2.7761213948093572E-2</v>
      </c>
      <c r="N292">
        <f t="shared" si="37"/>
        <v>1.3665109479773039E-3</v>
      </c>
      <c r="O292">
        <f t="shared" si="38"/>
        <v>-8.83702875073544E-2</v>
      </c>
      <c r="P292">
        <f t="shared" si="39"/>
        <v>0.11616847826086973</v>
      </c>
      <c r="Q292">
        <f t="shared" si="40"/>
        <v>9.0971234415673213E-3</v>
      </c>
    </row>
    <row r="293" spans="1:17" x14ac:dyDescent="0.25">
      <c r="A293" s="139">
        <v>43685</v>
      </c>
      <c r="B293" s="148">
        <v>138.69999999999999</v>
      </c>
      <c r="C293" s="148">
        <v>47.349997999999999</v>
      </c>
      <c r="D293" s="148">
        <v>1871.9</v>
      </c>
      <c r="E293" s="148">
        <v>1116.5699460000001</v>
      </c>
      <c r="F293" s="148">
        <v>1565.9</v>
      </c>
      <c r="G293" s="148">
        <v>1152.349976</v>
      </c>
      <c r="H293" s="148">
        <v>89.2</v>
      </c>
      <c r="I293" s="125">
        <v>1803.099976</v>
      </c>
      <c r="J293">
        <f t="shared" si="33"/>
        <v>-1.9787985865724462E-2</v>
      </c>
      <c r="K293">
        <f t="shared" si="34"/>
        <v>2.0474050841635713E-2</v>
      </c>
      <c r="L293">
        <f t="shared" si="35"/>
        <v>-3.5500824402308256E-2</v>
      </c>
      <c r="M293">
        <f t="shared" si="36"/>
        <v>-2.1411090271691434E-2</v>
      </c>
      <c r="N293">
        <f t="shared" si="37"/>
        <v>-6.0933037131068925E-3</v>
      </c>
      <c r="O293">
        <f t="shared" si="38"/>
        <v>-8.3899838235604613E-3</v>
      </c>
      <c r="P293">
        <f t="shared" si="39"/>
        <v>8.5818624467437571E-2</v>
      </c>
      <c r="Q293">
        <f t="shared" si="40"/>
        <v>-2.0772802834087636E-2</v>
      </c>
    </row>
    <row r="294" spans="1:17" x14ac:dyDescent="0.25">
      <c r="A294" s="139">
        <v>43684</v>
      </c>
      <c r="B294" s="148">
        <v>136.65</v>
      </c>
      <c r="C294" s="148">
        <v>47.799999</v>
      </c>
      <c r="D294" s="148">
        <v>1873.45</v>
      </c>
      <c r="E294" s="148">
        <v>1092</v>
      </c>
      <c r="F294" s="148">
        <v>1559.2</v>
      </c>
      <c r="G294" s="148">
        <v>1109.400024</v>
      </c>
      <c r="H294" s="148">
        <v>86.85</v>
      </c>
      <c r="I294" s="125">
        <v>1777.25</v>
      </c>
      <c r="J294">
        <f t="shared" si="33"/>
        <v>-1.4780100937274571E-2</v>
      </c>
      <c r="K294">
        <f t="shared" si="34"/>
        <v>9.50371740248015E-3</v>
      </c>
      <c r="L294">
        <f t="shared" si="35"/>
        <v>8.2803568566694507E-4</v>
      </c>
      <c r="M294">
        <f t="shared" si="36"/>
        <v>-2.2004842677361542E-2</v>
      </c>
      <c r="N294">
        <f t="shared" si="37"/>
        <v>-4.2786895714924614E-3</v>
      </c>
      <c r="O294">
        <f t="shared" si="38"/>
        <v>-3.7271621377636011E-2</v>
      </c>
      <c r="P294">
        <f t="shared" si="39"/>
        <v>-2.6345291479820721E-2</v>
      </c>
      <c r="Q294">
        <f t="shared" si="40"/>
        <v>-1.4336407489364844E-2</v>
      </c>
    </row>
    <row r="295" spans="1:17" x14ac:dyDescent="0.25">
      <c r="A295" s="139">
        <v>43683</v>
      </c>
      <c r="B295" s="148">
        <v>140.80000000000001</v>
      </c>
      <c r="C295" s="148">
        <v>47.5</v>
      </c>
      <c r="D295" s="148">
        <v>1884.35</v>
      </c>
      <c r="E295" s="148">
        <v>1094.5500489999999</v>
      </c>
      <c r="F295" s="148">
        <v>1565.85</v>
      </c>
      <c r="G295" s="148">
        <v>1128.3000489999999</v>
      </c>
      <c r="H295" s="148">
        <v>85.35</v>
      </c>
      <c r="I295" s="125">
        <v>1744.099976</v>
      </c>
      <c r="J295">
        <f t="shared" si="33"/>
        <v>3.0369557263080903E-2</v>
      </c>
      <c r="K295">
        <f t="shared" si="34"/>
        <v>-6.2761298384127516E-3</v>
      </c>
      <c r="L295">
        <f t="shared" si="35"/>
        <v>5.8181429982117824E-3</v>
      </c>
      <c r="M295">
        <f t="shared" si="36"/>
        <v>2.3352097069596562E-3</v>
      </c>
      <c r="N295">
        <f t="shared" si="37"/>
        <v>4.2650076962544017E-3</v>
      </c>
      <c r="O295">
        <f t="shared" si="38"/>
        <v>1.7036257969289457E-2</v>
      </c>
      <c r="P295">
        <f t="shared" si="39"/>
        <v>-1.7271157167530225E-2</v>
      </c>
      <c r="Q295">
        <f t="shared" si="40"/>
        <v>-1.8652425938950643E-2</v>
      </c>
    </row>
    <row r="296" spans="1:17" x14ac:dyDescent="0.25">
      <c r="A296" s="139">
        <v>43682</v>
      </c>
      <c r="B296" s="148">
        <v>140.69999999999999</v>
      </c>
      <c r="C296" s="148">
        <v>45.799999</v>
      </c>
      <c r="D296" s="148">
        <v>1904.95</v>
      </c>
      <c r="E296" s="148">
        <v>1089.619995</v>
      </c>
      <c r="F296" s="148">
        <v>1525.4</v>
      </c>
      <c r="G296" s="148">
        <v>1143.349976</v>
      </c>
      <c r="H296" s="148">
        <v>81.099999999999994</v>
      </c>
      <c r="I296" s="125">
        <v>1741.1999510000001</v>
      </c>
      <c r="J296">
        <f t="shared" si="33"/>
        <v>-7.1022727272743418E-4</v>
      </c>
      <c r="K296">
        <f t="shared" si="34"/>
        <v>-3.5789494736842113E-2</v>
      </c>
      <c r="L296">
        <f t="shared" si="35"/>
        <v>1.0932151670337325E-2</v>
      </c>
      <c r="M296">
        <f t="shared" si="36"/>
        <v>-4.5041832527476571E-3</v>
      </c>
      <c r="N296">
        <f t="shared" si="37"/>
        <v>-2.5832614873710649E-2</v>
      </c>
      <c r="O296">
        <f t="shared" si="38"/>
        <v>1.3338585789603228E-2</v>
      </c>
      <c r="P296">
        <f t="shared" si="39"/>
        <v>-4.9794961921499709E-2</v>
      </c>
      <c r="Q296">
        <f t="shared" si="40"/>
        <v>-1.6627630525234949E-3</v>
      </c>
    </row>
    <row r="297" spans="1:17" x14ac:dyDescent="0.25">
      <c r="A297" s="139">
        <v>43679</v>
      </c>
      <c r="B297" s="148">
        <v>143</v>
      </c>
      <c r="C297" s="148">
        <v>46.849997999999999</v>
      </c>
      <c r="D297" s="148">
        <v>1963.6</v>
      </c>
      <c r="E297" s="148">
        <v>1107.1800539999999</v>
      </c>
      <c r="F297" s="148">
        <v>1545.2</v>
      </c>
      <c r="G297" s="148">
        <v>1184.349976</v>
      </c>
      <c r="H297" s="148">
        <v>88.3</v>
      </c>
      <c r="I297" s="125">
        <v>1737.4499510000001</v>
      </c>
      <c r="J297">
        <f t="shared" si="33"/>
        <v>1.6346837242359712E-2</v>
      </c>
      <c r="K297">
        <f t="shared" si="34"/>
        <v>2.2925742858640668E-2</v>
      </c>
      <c r="L297">
        <f t="shared" si="35"/>
        <v>3.0788209664295577E-2</v>
      </c>
      <c r="M297">
        <f t="shared" si="36"/>
        <v>1.6115764285327665E-2</v>
      </c>
      <c r="N297">
        <f t="shared" si="37"/>
        <v>1.298020191425197E-2</v>
      </c>
      <c r="O297">
        <f t="shared" si="38"/>
        <v>3.5859536328008812E-2</v>
      </c>
      <c r="P297">
        <f t="shared" si="39"/>
        <v>8.8779284833538877E-2</v>
      </c>
      <c r="Q297">
        <f t="shared" si="40"/>
        <v>-2.1536871729443321E-3</v>
      </c>
    </row>
    <row r="298" spans="1:17" x14ac:dyDescent="0.25">
      <c r="A298" s="139">
        <v>43678</v>
      </c>
      <c r="B298" s="148">
        <v>145.44999999999999</v>
      </c>
      <c r="C298" s="148">
        <v>45.599997999999999</v>
      </c>
      <c r="D298" s="148">
        <v>1994.35</v>
      </c>
      <c r="E298" s="148">
        <v>1110.900024</v>
      </c>
      <c r="F298" s="148">
        <v>1504.7</v>
      </c>
      <c r="G298" s="148">
        <v>1180.25</v>
      </c>
      <c r="H298" s="148">
        <v>88.4</v>
      </c>
      <c r="I298" s="125">
        <v>1731.3000489999999</v>
      </c>
      <c r="J298">
        <f t="shared" si="33"/>
        <v>1.7132867132867054E-2</v>
      </c>
      <c r="K298">
        <f t="shared" si="34"/>
        <v>-2.6680897617114094E-2</v>
      </c>
      <c r="L298">
        <f t="shared" si="35"/>
        <v>1.5660012222448564E-2</v>
      </c>
      <c r="M298">
        <f t="shared" si="36"/>
        <v>3.3598600214668458E-3</v>
      </c>
      <c r="N298">
        <f t="shared" si="37"/>
        <v>-2.6210199326947969E-2</v>
      </c>
      <c r="O298">
        <f t="shared" si="38"/>
        <v>-3.4617943032743976E-3</v>
      </c>
      <c r="P298">
        <f t="shared" si="39"/>
        <v>1.1325028312571747E-3</v>
      </c>
      <c r="Q298">
        <f t="shared" si="40"/>
        <v>-3.5396139016611655E-3</v>
      </c>
    </row>
    <row r="299" spans="1:17" x14ac:dyDescent="0.25">
      <c r="A299" s="139">
        <v>43677</v>
      </c>
      <c r="B299" s="148">
        <v>154.1</v>
      </c>
      <c r="C299" s="148">
        <v>46.799999</v>
      </c>
      <c r="D299" s="148">
        <v>2129.4499999999998</v>
      </c>
      <c r="E299" s="148">
        <v>1125.8199460000001</v>
      </c>
      <c r="F299" s="148">
        <v>1521.1</v>
      </c>
      <c r="G299" s="148">
        <v>1166.25</v>
      </c>
      <c r="H299" s="148">
        <v>91.2</v>
      </c>
      <c r="I299" s="125">
        <v>1726.650024</v>
      </c>
      <c r="J299">
        <f t="shared" si="33"/>
        <v>5.9470608456514307E-2</v>
      </c>
      <c r="K299">
        <f t="shared" si="34"/>
        <v>2.6315812557711083E-2</v>
      </c>
      <c r="L299">
        <f t="shared" si="35"/>
        <v>6.7741369368465879E-2</v>
      </c>
      <c r="M299">
        <f t="shared" si="36"/>
        <v>1.3430481301348898E-2</v>
      </c>
      <c r="N299">
        <f t="shared" si="37"/>
        <v>1.0899182561307811E-2</v>
      </c>
      <c r="O299">
        <f t="shared" si="38"/>
        <v>-1.186189366659606E-2</v>
      </c>
      <c r="P299">
        <f t="shared" si="39"/>
        <v>3.1674208144796344E-2</v>
      </c>
      <c r="Q299">
        <f t="shared" si="40"/>
        <v>-2.6858573721439977E-3</v>
      </c>
    </row>
    <row r="300" spans="1:17" x14ac:dyDescent="0.25">
      <c r="A300" s="139">
        <v>43676</v>
      </c>
      <c r="B300" s="148">
        <v>150.6</v>
      </c>
      <c r="C300" s="148">
        <v>46.400002000000001</v>
      </c>
      <c r="D300" s="148">
        <v>2043.1</v>
      </c>
      <c r="E300" s="148">
        <v>1126.119995</v>
      </c>
      <c r="F300" s="148">
        <v>1508.75</v>
      </c>
      <c r="G300" s="148">
        <v>1180.900024</v>
      </c>
      <c r="H300" s="148">
        <v>86.05</v>
      </c>
      <c r="I300" s="125">
        <v>1719.900024</v>
      </c>
      <c r="J300">
        <f t="shared" si="33"/>
        <v>-2.2712524334847502E-2</v>
      </c>
      <c r="K300">
        <f t="shared" si="34"/>
        <v>-8.5469446270714459E-3</v>
      </c>
      <c r="L300">
        <f t="shared" si="35"/>
        <v>-4.0550376857874063E-2</v>
      </c>
      <c r="M300">
        <f t="shared" si="36"/>
        <v>2.6651597448242801E-4</v>
      </c>
      <c r="N300">
        <f t="shared" si="37"/>
        <v>-8.1191243179277554E-3</v>
      </c>
      <c r="O300">
        <f t="shared" si="38"/>
        <v>1.2561649732047186E-2</v>
      </c>
      <c r="P300">
        <f t="shared" si="39"/>
        <v>-5.6469298245614093E-2</v>
      </c>
      <c r="Q300">
        <f t="shared" si="40"/>
        <v>-3.9093040895240502E-3</v>
      </c>
    </row>
    <row r="301" spans="1:17" x14ac:dyDescent="0.25">
      <c r="A301" s="139">
        <v>43675</v>
      </c>
      <c r="B301" s="148">
        <v>155.65</v>
      </c>
      <c r="C301" s="148">
        <v>48.799999</v>
      </c>
      <c r="D301" s="148">
        <v>2140.25</v>
      </c>
      <c r="E301" s="148">
        <v>1122.150024</v>
      </c>
      <c r="F301" s="148">
        <v>1513.25</v>
      </c>
      <c r="G301" s="148">
        <v>1210.9499510000001</v>
      </c>
      <c r="H301" s="148">
        <v>94.75</v>
      </c>
      <c r="I301" s="125">
        <v>1713.3000489999999</v>
      </c>
      <c r="J301">
        <f t="shared" si="33"/>
        <v>3.3532536520584404E-2</v>
      </c>
      <c r="K301">
        <f t="shared" si="34"/>
        <v>5.1724071046376226E-2</v>
      </c>
      <c r="L301">
        <f t="shared" si="35"/>
        <v>4.7550291224120259E-2</v>
      </c>
      <c r="M301">
        <f t="shared" si="36"/>
        <v>-3.5253534415752795E-3</v>
      </c>
      <c r="N301">
        <f t="shared" si="37"/>
        <v>2.9826014913007458E-3</v>
      </c>
      <c r="O301">
        <f t="shared" si="38"/>
        <v>2.5446630865679467E-2</v>
      </c>
      <c r="P301">
        <f t="shared" si="39"/>
        <v>0.10110400929692043</v>
      </c>
      <c r="Q301">
        <f t="shared" si="40"/>
        <v>-3.8374178195837304E-3</v>
      </c>
    </row>
    <row r="302" spans="1:17" x14ac:dyDescent="0.25">
      <c r="A302" s="139">
        <v>43672</v>
      </c>
      <c r="B302" s="148">
        <v>164.1</v>
      </c>
      <c r="C302" s="148">
        <v>49.599997999999999</v>
      </c>
      <c r="D302" s="148">
        <v>2197.8000000000002</v>
      </c>
      <c r="E302" s="148">
        <v>1138.650024</v>
      </c>
      <c r="F302" s="148">
        <v>1526.45</v>
      </c>
      <c r="G302" s="148">
        <v>1213.8000489999999</v>
      </c>
      <c r="H302" s="148">
        <v>96.05</v>
      </c>
      <c r="I302" s="125">
        <v>1730.650024</v>
      </c>
      <c r="J302">
        <f t="shared" si="33"/>
        <v>5.4288467716029479E-2</v>
      </c>
      <c r="K302">
        <f t="shared" si="34"/>
        <v>1.6393422467078322E-2</v>
      </c>
      <c r="L302">
        <f t="shared" si="35"/>
        <v>2.6889382081532617E-2</v>
      </c>
      <c r="M302">
        <f t="shared" si="36"/>
        <v>1.470391627421112E-2</v>
      </c>
      <c r="N302">
        <f t="shared" si="37"/>
        <v>8.7229472988600999E-3</v>
      </c>
      <c r="O302">
        <f t="shared" si="38"/>
        <v>2.3536051160878151E-3</v>
      </c>
      <c r="P302">
        <f t="shared" si="39"/>
        <v>1.3720316622691263E-2</v>
      </c>
      <c r="Q302">
        <f t="shared" si="40"/>
        <v>1.0126641279282474E-2</v>
      </c>
    </row>
    <row r="303" spans="1:17" x14ac:dyDescent="0.25">
      <c r="A303" s="139">
        <v>43671</v>
      </c>
      <c r="B303" s="148">
        <v>171.45</v>
      </c>
      <c r="C303" s="148">
        <v>48.799999</v>
      </c>
      <c r="D303" s="148">
        <v>2195</v>
      </c>
      <c r="E303" s="148">
        <v>1143.030029</v>
      </c>
      <c r="F303" s="148">
        <v>1495.85</v>
      </c>
      <c r="G303" s="148">
        <v>1231.5</v>
      </c>
      <c r="H303" s="148">
        <v>87.65</v>
      </c>
      <c r="I303" s="125">
        <v>1736.650024</v>
      </c>
      <c r="J303">
        <f t="shared" si="33"/>
        <v>4.4789762340036531E-2</v>
      </c>
      <c r="K303">
        <f t="shared" si="34"/>
        <v>-1.6129012747137603E-2</v>
      </c>
      <c r="L303">
        <f t="shared" si="35"/>
        <v>-1.2740012740013566E-3</v>
      </c>
      <c r="M303">
        <f t="shared" si="36"/>
        <v>3.8466648291222297E-3</v>
      </c>
      <c r="N303">
        <f t="shared" si="37"/>
        <v>-2.0046513151429877E-2</v>
      </c>
      <c r="O303">
        <f t="shared" si="38"/>
        <v>1.4582262551877731E-2</v>
      </c>
      <c r="P303">
        <f t="shared" si="39"/>
        <v>-8.7454450806871337E-2</v>
      </c>
      <c r="Q303">
        <f t="shared" si="40"/>
        <v>3.466905449856568E-3</v>
      </c>
    </row>
    <row r="304" spans="1:17" x14ac:dyDescent="0.25">
      <c r="A304" s="139">
        <v>43670</v>
      </c>
      <c r="B304" s="148">
        <v>165.05</v>
      </c>
      <c r="C304" s="148">
        <v>48.450001</v>
      </c>
      <c r="D304" s="148">
        <v>2201.25</v>
      </c>
      <c r="E304" s="148">
        <v>1140.4499510000001</v>
      </c>
      <c r="F304" s="148">
        <v>1483.4</v>
      </c>
      <c r="G304" s="148">
        <v>1259.099976</v>
      </c>
      <c r="H304" s="148">
        <v>89.15</v>
      </c>
      <c r="I304" s="125">
        <v>1728.650024</v>
      </c>
      <c r="J304">
        <f t="shared" si="33"/>
        <v>-3.7328667249926964E-2</v>
      </c>
      <c r="K304">
        <f t="shared" si="34"/>
        <v>-7.1720903109034773E-3</v>
      </c>
      <c r="L304">
        <f t="shared" si="35"/>
        <v>2.8473804100227792E-3</v>
      </c>
      <c r="M304">
        <f t="shared" si="36"/>
        <v>-2.2572267871712737E-3</v>
      </c>
      <c r="N304">
        <f t="shared" si="37"/>
        <v>-8.3230270414813116E-3</v>
      </c>
      <c r="O304">
        <f t="shared" si="38"/>
        <v>2.2411673568818489E-2</v>
      </c>
      <c r="P304">
        <f t="shared" si="39"/>
        <v>1.7113519680547633E-2</v>
      </c>
      <c r="Q304">
        <f t="shared" si="40"/>
        <v>-4.6065700569730911E-3</v>
      </c>
    </row>
    <row r="305" spans="1:17" x14ac:dyDescent="0.25">
      <c r="A305" s="139">
        <v>43669</v>
      </c>
      <c r="B305" s="148">
        <v>168.1</v>
      </c>
      <c r="C305" s="148">
        <v>48.799999</v>
      </c>
      <c r="D305" s="148">
        <v>2204.5500000000002</v>
      </c>
      <c r="E305" s="148">
        <v>1131.75</v>
      </c>
      <c r="F305" s="148">
        <v>1429.35</v>
      </c>
      <c r="G305" s="148">
        <v>1273.5500489999999</v>
      </c>
      <c r="H305" s="148">
        <v>90.65</v>
      </c>
      <c r="I305" s="125">
        <v>1693.349976</v>
      </c>
      <c r="J305">
        <f t="shared" si="33"/>
        <v>1.8479248712511255E-2</v>
      </c>
      <c r="K305">
        <f t="shared" si="34"/>
        <v>7.2239007796924375E-3</v>
      </c>
      <c r="L305">
        <f t="shared" si="35"/>
        <v>1.4991482112436943E-3</v>
      </c>
      <c r="M305">
        <f t="shared" si="36"/>
        <v>-7.6285250329236548E-3</v>
      </c>
      <c r="N305">
        <f t="shared" si="37"/>
        <v>-3.6436564648779951E-2</v>
      </c>
      <c r="O305">
        <f t="shared" si="38"/>
        <v>1.1476509630240812E-2</v>
      </c>
      <c r="P305">
        <f t="shared" si="39"/>
        <v>1.6825574873808188E-2</v>
      </c>
      <c r="Q305">
        <f t="shared" si="40"/>
        <v>-2.0420586879880818E-2</v>
      </c>
    </row>
    <row r="306" spans="1:17" x14ac:dyDescent="0.25">
      <c r="A306" s="139">
        <v>43668</v>
      </c>
      <c r="B306" s="148">
        <v>167.25</v>
      </c>
      <c r="C306" s="148">
        <v>46.799999</v>
      </c>
      <c r="D306" s="148">
        <v>2198.8000000000002</v>
      </c>
      <c r="E306" s="148">
        <v>1148.619995</v>
      </c>
      <c r="F306" s="148">
        <v>1404.2</v>
      </c>
      <c r="G306" s="148">
        <v>1280.5</v>
      </c>
      <c r="H306" s="148">
        <v>91.15</v>
      </c>
      <c r="I306" s="125">
        <v>1680.6999510000001</v>
      </c>
      <c r="J306">
        <f t="shared" si="33"/>
        <v>-5.0565139797739108E-3</v>
      </c>
      <c r="K306">
        <f t="shared" si="34"/>
        <v>-4.0983607397205073E-2</v>
      </c>
      <c r="L306">
        <f t="shared" si="35"/>
        <v>-2.6082420448617629E-3</v>
      </c>
      <c r="M306">
        <f t="shared" si="36"/>
        <v>1.4906114424563743E-2</v>
      </c>
      <c r="N306">
        <f t="shared" si="37"/>
        <v>-1.759541050127671E-2</v>
      </c>
      <c r="O306">
        <f t="shared" si="38"/>
        <v>5.4571479192805994E-3</v>
      </c>
      <c r="P306">
        <f t="shared" si="39"/>
        <v>5.5157198014340872E-3</v>
      </c>
      <c r="Q306">
        <f t="shared" si="40"/>
        <v>-7.4704137829095258E-3</v>
      </c>
    </row>
    <row r="307" spans="1:17" x14ac:dyDescent="0.25">
      <c r="A307" s="139">
        <v>43665</v>
      </c>
      <c r="B307" s="148">
        <v>161.25</v>
      </c>
      <c r="C307" s="148">
        <v>45.799999</v>
      </c>
      <c r="D307" s="148">
        <v>2207.9499999999998</v>
      </c>
      <c r="E307" s="148">
        <v>1187.8199460000001</v>
      </c>
      <c r="F307" s="148">
        <v>1369.1</v>
      </c>
      <c r="G307" s="148">
        <v>1249</v>
      </c>
      <c r="H307" s="148">
        <v>83.25</v>
      </c>
      <c r="I307" s="125">
        <v>1720.400024</v>
      </c>
      <c r="J307">
        <f t="shared" si="33"/>
        <v>-3.5874439461883408E-2</v>
      </c>
      <c r="K307">
        <f t="shared" si="34"/>
        <v>-2.1367521824092347E-2</v>
      </c>
      <c r="L307">
        <f t="shared" si="35"/>
        <v>4.161360742222865E-3</v>
      </c>
      <c r="M307">
        <f t="shared" si="36"/>
        <v>3.4127867502428473E-2</v>
      </c>
      <c r="N307">
        <f t="shared" si="37"/>
        <v>-2.4996439253667666E-2</v>
      </c>
      <c r="O307">
        <f t="shared" si="38"/>
        <v>-2.4599765716516987E-2</v>
      </c>
      <c r="P307">
        <f t="shared" si="39"/>
        <v>-8.6670323642347835E-2</v>
      </c>
      <c r="Q307">
        <f t="shared" si="40"/>
        <v>2.362115437462756E-2</v>
      </c>
    </row>
    <row r="308" spans="1:17" x14ac:dyDescent="0.25">
      <c r="A308" s="139">
        <v>43664</v>
      </c>
      <c r="B308" s="148">
        <v>163.05000000000001</v>
      </c>
      <c r="C308" s="148">
        <v>47.5</v>
      </c>
      <c r="D308" s="148">
        <v>2201.1999999999998</v>
      </c>
      <c r="E308" s="148">
        <v>1205.9499510000001</v>
      </c>
      <c r="F308" s="148">
        <v>1384.95</v>
      </c>
      <c r="G308" s="148">
        <v>1261.849976</v>
      </c>
      <c r="H308" s="148">
        <v>85.8</v>
      </c>
      <c r="I308" s="125">
        <v>1739.150024</v>
      </c>
      <c r="J308">
        <f t="shared" si="33"/>
        <v>1.116279069767449E-2</v>
      </c>
      <c r="K308">
        <f t="shared" si="34"/>
        <v>3.7117926574627223E-2</v>
      </c>
      <c r="L308">
        <f t="shared" si="35"/>
        <v>-3.0571344459793025E-3</v>
      </c>
      <c r="M308">
        <f t="shared" si="36"/>
        <v>1.526326027867525E-2</v>
      </c>
      <c r="N308">
        <f t="shared" si="37"/>
        <v>1.1576948360236752E-2</v>
      </c>
      <c r="O308">
        <f t="shared" si="38"/>
        <v>1.0288211369095251E-2</v>
      </c>
      <c r="P308">
        <f t="shared" si="39"/>
        <v>3.0630630630630595E-2</v>
      </c>
      <c r="Q308">
        <f t="shared" si="40"/>
        <v>1.0898628073955433E-2</v>
      </c>
    </row>
    <row r="309" spans="1:17" x14ac:dyDescent="0.25">
      <c r="A309" s="139">
        <v>43663</v>
      </c>
      <c r="B309" s="148">
        <v>168.65</v>
      </c>
      <c r="C309" s="148">
        <v>48.450001</v>
      </c>
      <c r="D309" s="148">
        <v>2203.35</v>
      </c>
      <c r="E309" s="148">
        <v>1198.719971</v>
      </c>
      <c r="F309" s="148">
        <v>1395.9</v>
      </c>
      <c r="G309" s="148">
        <v>1281.849976</v>
      </c>
      <c r="H309" s="148">
        <v>98.4</v>
      </c>
      <c r="I309" s="125">
        <v>1760.6999510000001</v>
      </c>
      <c r="J309">
        <f t="shared" si="33"/>
        <v>3.4345292854952435E-2</v>
      </c>
      <c r="K309">
        <f t="shared" si="34"/>
        <v>2.0000021052631586E-2</v>
      </c>
      <c r="L309">
        <f t="shared" si="35"/>
        <v>9.7673996002184773E-4</v>
      </c>
      <c r="M309">
        <f t="shared" si="36"/>
        <v>-5.9952570950434648E-3</v>
      </c>
      <c r="N309">
        <f t="shared" si="37"/>
        <v>7.9064226145348533E-3</v>
      </c>
      <c r="O309">
        <f t="shared" si="38"/>
        <v>1.5849744724328464E-2</v>
      </c>
      <c r="P309">
        <f t="shared" si="39"/>
        <v>0.14685314685314696</v>
      </c>
      <c r="Q309">
        <f t="shared" si="40"/>
        <v>1.2391068454483156E-2</v>
      </c>
    </row>
    <row r="310" spans="1:17" x14ac:dyDescent="0.25">
      <c r="A310" s="139">
        <v>43662</v>
      </c>
      <c r="B310" s="148">
        <v>166.9</v>
      </c>
      <c r="C310" s="148">
        <v>49.200001</v>
      </c>
      <c r="D310" s="148">
        <v>2203.6</v>
      </c>
      <c r="E310" s="148">
        <v>1195.599976</v>
      </c>
      <c r="F310" s="148">
        <v>1372.3</v>
      </c>
      <c r="G310" s="148">
        <v>1293</v>
      </c>
      <c r="H310" s="148">
        <v>103.85</v>
      </c>
      <c r="I310" s="125">
        <v>1741.3000489999999</v>
      </c>
      <c r="J310">
        <f t="shared" si="33"/>
        <v>-1.0376519418914912E-2</v>
      </c>
      <c r="K310">
        <f t="shared" si="34"/>
        <v>1.5479875841488631E-2</v>
      </c>
      <c r="L310">
        <f t="shared" si="35"/>
        <v>1.1346358953411851E-4</v>
      </c>
      <c r="M310">
        <f t="shared" si="36"/>
        <v>-2.6027721865660128E-3</v>
      </c>
      <c r="N310">
        <f t="shared" si="37"/>
        <v>-1.6906655204527641E-2</v>
      </c>
      <c r="O310">
        <f t="shared" si="38"/>
        <v>8.6983845292048674E-3</v>
      </c>
      <c r="P310">
        <f t="shared" si="39"/>
        <v>5.5386178861788496E-2</v>
      </c>
      <c r="Q310">
        <f t="shared" si="40"/>
        <v>-1.1018289623386324E-2</v>
      </c>
    </row>
    <row r="311" spans="1:17" x14ac:dyDescent="0.25">
      <c r="A311" s="139">
        <v>43661</v>
      </c>
      <c r="B311" s="148">
        <v>166.75</v>
      </c>
      <c r="C311" s="148">
        <v>48.5</v>
      </c>
      <c r="D311" s="148">
        <v>2178.6999999999998</v>
      </c>
      <c r="E311" s="148">
        <v>1197.380005</v>
      </c>
      <c r="F311" s="148">
        <v>1353.15</v>
      </c>
      <c r="G311" s="148">
        <v>1276.099976</v>
      </c>
      <c r="H311" s="148">
        <v>93.2</v>
      </c>
      <c r="I311" s="125">
        <v>1716.9499510000001</v>
      </c>
      <c r="J311">
        <f t="shared" si="33"/>
        <v>-8.9874176153388662E-4</v>
      </c>
      <c r="K311">
        <f t="shared" si="34"/>
        <v>-1.4227662312445894E-2</v>
      </c>
      <c r="L311">
        <f t="shared" si="35"/>
        <v>-1.1299691414049778E-2</v>
      </c>
      <c r="M311">
        <f t="shared" si="36"/>
        <v>1.4888165236965623E-3</v>
      </c>
      <c r="N311">
        <f t="shared" si="37"/>
        <v>-1.3954674633826323E-2</v>
      </c>
      <c r="O311">
        <f t="shared" si="38"/>
        <v>-1.3070397525135368E-2</v>
      </c>
      <c r="P311">
        <f t="shared" si="39"/>
        <v>-0.10255175734232058</v>
      </c>
      <c r="Q311">
        <f t="shared" si="40"/>
        <v>-1.3983861089295753E-2</v>
      </c>
    </row>
    <row r="312" spans="1:17" x14ac:dyDescent="0.25">
      <c r="A312" s="139">
        <v>43658</v>
      </c>
      <c r="B312" s="148">
        <v>167.65</v>
      </c>
      <c r="C312" s="148">
        <v>49.549999</v>
      </c>
      <c r="D312" s="148">
        <v>2219.8000000000002</v>
      </c>
      <c r="E312" s="148">
        <v>1196.9499510000001</v>
      </c>
      <c r="F312" s="148">
        <v>1361.95</v>
      </c>
      <c r="G312" s="148">
        <v>1280.5</v>
      </c>
      <c r="H312" s="148">
        <v>94.2</v>
      </c>
      <c r="I312" s="125">
        <v>1713.1999510000001</v>
      </c>
      <c r="J312">
        <f t="shared" si="33"/>
        <v>5.3973013493253718E-3</v>
      </c>
      <c r="K312">
        <f t="shared" si="34"/>
        <v>2.1649463917525768E-2</v>
      </c>
      <c r="L312">
        <f t="shared" si="35"/>
        <v>1.8864460458071497E-2</v>
      </c>
      <c r="M312">
        <f t="shared" si="36"/>
        <v>-3.591625033023057E-4</v>
      </c>
      <c r="N312">
        <f t="shared" si="37"/>
        <v>6.5033440490706532E-3</v>
      </c>
      <c r="O312">
        <f t="shared" si="38"/>
        <v>3.4480245143426211E-3</v>
      </c>
      <c r="P312">
        <f t="shared" si="39"/>
        <v>1.0729613733905579E-2</v>
      </c>
      <c r="Q312">
        <f t="shared" si="40"/>
        <v>-2.1841055983116424E-3</v>
      </c>
    </row>
    <row r="313" spans="1:17" x14ac:dyDescent="0.25">
      <c r="A313" s="139">
        <v>43657</v>
      </c>
      <c r="B313" s="148">
        <v>163.65</v>
      </c>
      <c r="C313" s="148">
        <v>49.450001</v>
      </c>
      <c r="D313" s="148">
        <v>2275.65</v>
      </c>
      <c r="E313" s="148">
        <v>1203.5699460000001</v>
      </c>
      <c r="F313" s="148">
        <v>1332.45</v>
      </c>
      <c r="G313" s="148">
        <v>1281.5500489999999</v>
      </c>
      <c r="H313" s="148">
        <v>92.45</v>
      </c>
      <c r="I313" s="125">
        <v>1730.900024</v>
      </c>
      <c r="J313">
        <f t="shared" si="33"/>
        <v>-2.3859230539815091E-2</v>
      </c>
      <c r="K313">
        <f t="shared" si="34"/>
        <v>-2.0181231487007571E-3</v>
      </c>
      <c r="L313">
        <f t="shared" si="35"/>
        <v>2.5159924317506039E-2</v>
      </c>
      <c r="M313">
        <f t="shared" si="36"/>
        <v>5.53071997243435E-3</v>
      </c>
      <c r="N313">
        <f t="shared" si="37"/>
        <v>-2.1660119681339254E-2</v>
      </c>
      <c r="O313">
        <f t="shared" si="38"/>
        <v>8.2003045685274858E-4</v>
      </c>
      <c r="P313">
        <f t="shared" si="39"/>
        <v>-1.8577494692144373E-2</v>
      </c>
      <c r="Q313">
        <f t="shared" si="40"/>
        <v>1.0331586216581659E-2</v>
      </c>
    </row>
    <row r="314" spans="1:17" x14ac:dyDescent="0.25">
      <c r="A314" s="139">
        <v>43656</v>
      </c>
      <c r="B314" s="148">
        <v>160</v>
      </c>
      <c r="C314" s="148">
        <v>49.099997999999999</v>
      </c>
      <c r="D314" s="148">
        <v>2261.25</v>
      </c>
      <c r="E314" s="148">
        <v>1194.380005</v>
      </c>
      <c r="F314" s="148">
        <v>1322.95</v>
      </c>
      <c r="G314" s="148">
        <v>1278.849976</v>
      </c>
      <c r="H314" s="148">
        <v>93</v>
      </c>
      <c r="I314" s="125">
        <v>1718.599976</v>
      </c>
      <c r="J314">
        <f t="shared" si="33"/>
        <v>-2.2303696914146076E-2</v>
      </c>
      <c r="K314">
        <f t="shared" si="34"/>
        <v>-7.0779169448348632E-3</v>
      </c>
      <c r="L314">
        <f t="shared" si="35"/>
        <v>-6.3278623689935138E-3</v>
      </c>
      <c r="M314">
        <f t="shared" si="36"/>
        <v>-7.6355686934044542E-3</v>
      </c>
      <c r="N314">
        <f t="shared" si="37"/>
        <v>-7.1297234417801794E-3</v>
      </c>
      <c r="O314">
        <f t="shared" si="38"/>
        <v>-2.1068806498090774E-3</v>
      </c>
      <c r="P314">
        <f t="shared" si="39"/>
        <v>5.949161709031878E-3</v>
      </c>
      <c r="Q314">
        <f t="shared" si="40"/>
        <v>-7.1061573917917172E-3</v>
      </c>
    </row>
    <row r="315" spans="1:17" x14ac:dyDescent="0.25">
      <c r="A315" s="139">
        <v>43655</v>
      </c>
      <c r="B315" s="148">
        <v>161.5</v>
      </c>
      <c r="C315" s="148">
        <v>49.599997999999999</v>
      </c>
      <c r="D315" s="148">
        <v>2228.15</v>
      </c>
      <c r="E315" s="148">
        <v>1189.5699460000001</v>
      </c>
      <c r="F315" s="148">
        <v>1321</v>
      </c>
      <c r="G315" s="148">
        <v>1280.099976</v>
      </c>
      <c r="H315" s="148">
        <v>91.35</v>
      </c>
      <c r="I315" s="125">
        <v>1740.25</v>
      </c>
      <c r="J315">
        <f t="shared" si="33"/>
        <v>9.3749999999999997E-3</v>
      </c>
      <c r="K315">
        <f t="shared" si="34"/>
        <v>1.0183299803800399E-2</v>
      </c>
      <c r="L315">
        <f t="shared" si="35"/>
        <v>-1.4637921503593105E-2</v>
      </c>
      <c r="M315">
        <f t="shared" si="36"/>
        <v>-4.0272434065068852E-3</v>
      </c>
      <c r="N315">
        <f t="shared" si="37"/>
        <v>-1.4739786084130508E-3</v>
      </c>
      <c r="O315">
        <f t="shared" si="38"/>
        <v>9.7744068769486372E-4</v>
      </c>
      <c r="P315">
        <f t="shared" si="39"/>
        <v>-1.774193548387103E-2</v>
      </c>
      <c r="Q315">
        <f t="shared" si="40"/>
        <v>1.2597477192097918E-2</v>
      </c>
    </row>
    <row r="316" spans="1:17" x14ac:dyDescent="0.25">
      <c r="A316" s="139">
        <v>43654</v>
      </c>
      <c r="B316" s="148">
        <v>161.94999999999999</v>
      </c>
      <c r="C316" s="148">
        <v>44.849997999999999</v>
      </c>
      <c r="D316" s="148">
        <v>2210.6999999999998</v>
      </c>
      <c r="E316" s="148">
        <v>1204.8000489999999</v>
      </c>
      <c r="F316" s="148">
        <v>1340.25</v>
      </c>
      <c r="G316" s="148">
        <v>1252.0500489999999</v>
      </c>
      <c r="H316" s="148">
        <v>93.15</v>
      </c>
      <c r="I316" s="125">
        <v>1753.5500489999999</v>
      </c>
      <c r="J316">
        <f t="shared" si="33"/>
        <v>2.7863777089782577E-3</v>
      </c>
      <c r="K316">
        <f t="shared" si="34"/>
        <v>-9.576613289379568E-2</v>
      </c>
      <c r="L316">
        <f t="shared" si="35"/>
        <v>-7.8316091825057881E-3</v>
      </c>
      <c r="M316">
        <f t="shared" si="36"/>
        <v>1.2803032769289442E-2</v>
      </c>
      <c r="N316">
        <f t="shared" si="37"/>
        <v>1.457229371688115E-2</v>
      </c>
      <c r="O316">
        <f t="shared" si="38"/>
        <v>-2.1912293981638218E-2</v>
      </c>
      <c r="P316">
        <f t="shared" si="39"/>
        <v>1.9704433497537071E-2</v>
      </c>
      <c r="Q316">
        <f t="shared" si="40"/>
        <v>7.6426082459416433E-3</v>
      </c>
    </row>
    <row r="317" spans="1:17" x14ac:dyDescent="0.25">
      <c r="A317" s="139">
        <v>43651</v>
      </c>
      <c r="B317" s="148">
        <v>163.65</v>
      </c>
      <c r="C317" s="148">
        <v>47.599997999999999</v>
      </c>
      <c r="D317" s="148">
        <v>2307.1999999999998</v>
      </c>
      <c r="E317" s="148">
        <v>1236.1999510000001</v>
      </c>
      <c r="F317" s="148">
        <v>1358.7</v>
      </c>
      <c r="G317" s="148">
        <v>1263.349976</v>
      </c>
      <c r="H317" s="148">
        <v>88.15</v>
      </c>
      <c r="I317" s="125">
        <v>1791.400024</v>
      </c>
      <c r="J317">
        <f t="shared" si="33"/>
        <v>1.0497066995986522E-2</v>
      </c>
      <c r="K317">
        <f t="shared" si="34"/>
        <v>6.1315498832352232E-2</v>
      </c>
      <c r="L317">
        <f t="shared" si="35"/>
        <v>4.3651332157235267E-2</v>
      </c>
      <c r="M317">
        <f t="shared" si="36"/>
        <v>2.6062334597398505E-2</v>
      </c>
      <c r="N317">
        <f t="shared" si="37"/>
        <v>1.3766088416340269E-2</v>
      </c>
      <c r="O317">
        <f t="shared" si="38"/>
        <v>9.0251400165873279E-3</v>
      </c>
      <c r="P317">
        <f t="shared" si="39"/>
        <v>-5.3676865271068165E-2</v>
      </c>
      <c r="Q317">
        <f t="shared" si="40"/>
        <v>2.1584770290180688E-2</v>
      </c>
    </row>
    <row r="318" spans="1:17" x14ac:dyDescent="0.25">
      <c r="A318" s="139">
        <v>43650</v>
      </c>
      <c r="B318" s="148">
        <v>171.05</v>
      </c>
      <c r="C318" s="148">
        <v>51.049999</v>
      </c>
      <c r="D318" s="148">
        <v>2345.65</v>
      </c>
      <c r="E318" s="148">
        <v>1241.900024</v>
      </c>
      <c r="F318" s="148">
        <v>1359.7</v>
      </c>
      <c r="G318" s="148">
        <v>1284</v>
      </c>
      <c r="H318" s="148">
        <v>96.25</v>
      </c>
      <c r="I318" s="125">
        <v>1793.599976</v>
      </c>
      <c r="J318">
        <f t="shared" si="33"/>
        <v>4.5218454017720781E-2</v>
      </c>
      <c r="K318">
        <f t="shared" si="34"/>
        <v>7.2479015650378814E-2</v>
      </c>
      <c r="L318">
        <f t="shared" si="35"/>
        <v>1.6665221914008443E-2</v>
      </c>
      <c r="M318">
        <f t="shared" si="36"/>
        <v>4.6109636191046695E-3</v>
      </c>
      <c r="N318">
        <f t="shared" si="37"/>
        <v>7.3599764480753664E-4</v>
      </c>
      <c r="O318">
        <f t="shared" si="38"/>
        <v>1.6345450106693183E-2</v>
      </c>
      <c r="P318">
        <f t="shared" si="39"/>
        <v>9.1888825865002771E-2</v>
      </c>
      <c r="Q318">
        <f t="shared" si="40"/>
        <v>1.2280629510586292E-3</v>
      </c>
    </row>
    <row r="319" spans="1:17" x14ac:dyDescent="0.25">
      <c r="A319" s="139">
        <v>43649</v>
      </c>
      <c r="B319" s="148">
        <v>172.7</v>
      </c>
      <c r="C319" s="148">
        <v>52</v>
      </c>
      <c r="D319" s="148">
        <v>2338.9</v>
      </c>
      <c r="E319" s="148">
        <v>1244.8199460000001</v>
      </c>
      <c r="F319" s="148">
        <v>1352</v>
      </c>
      <c r="G319" s="148">
        <v>1282.5500489999999</v>
      </c>
      <c r="H319" s="148">
        <v>99.75</v>
      </c>
      <c r="I319" s="125">
        <v>1784.6999510000001</v>
      </c>
      <c r="J319">
        <f t="shared" si="33"/>
        <v>9.6463022508037257E-3</v>
      </c>
      <c r="K319">
        <f t="shared" si="34"/>
        <v>1.8609226613305132E-2</v>
      </c>
      <c r="L319">
        <f t="shared" si="35"/>
        <v>-2.8776671711465904E-3</v>
      </c>
      <c r="M319">
        <f t="shared" si="36"/>
        <v>2.3511731569143138E-3</v>
      </c>
      <c r="N319">
        <f t="shared" si="37"/>
        <v>-5.663013900125061E-3</v>
      </c>
      <c r="O319">
        <f t="shared" si="38"/>
        <v>-1.1292453271028471E-3</v>
      </c>
      <c r="P319">
        <f t="shared" si="39"/>
        <v>3.6363636363636362E-2</v>
      </c>
      <c r="Q319">
        <f t="shared" si="40"/>
        <v>-4.9621014267898908E-3</v>
      </c>
    </row>
    <row r="320" spans="1:17" x14ac:dyDescent="0.25">
      <c r="A320" s="139">
        <v>43648</v>
      </c>
      <c r="B320" s="148">
        <v>174.65</v>
      </c>
      <c r="C320" s="148">
        <v>50.200001</v>
      </c>
      <c r="D320" s="148">
        <v>2318.4</v>
      </c>
      <c r="E320" s="148">
        <v>1247.5</v>
      </c>
      <c r="F320" s="148">
        <v>1345.75</v>
      </c>
      <c r="G320" s="148">
        <v>1278.5</v>
      </c>
      <c r="H320" s="148">
        <v>100.8</v>
      </c>
      <c r="I320" s="125">
        <v>1789.1999510000001</v>
      </c>
      <c r="J320">
        <f t="shared" si="33"/>
        <v>1.129125651418655E-2</v>
      </c>
      <c r="K320">
        <f t="shared" si="34"/>
        <v>-3.4615365384615376E-2</v>
      </c>
      <c r="L320">
        <f t="shared" si="35"/>
        <v>-8.7648039676771136E-3</v>
      </c>
      <c r="M320">
        <f t="shared" si="36"/>
        <v>2.1529651807169286E-3</v>
      </c>
      <c r="N320">
        <f t="shared" si="37"/>
        <v>-4.6227810650887576E-3</v>
      </c>
      <c r="O320">
        <f t="shared" si="38"/>
        <v>-3.1578097113307622E-3</v>
      </c>
      <c r="P320">
        <f t="shared" si="39"/>
        <v>1.0526315789473656E-2</v>
      </c>
      <c r="Q320">
        <f t="shared" si="40"/>
        <v>2.5214322427019554E-3</v>
      </c>
    </row>
    <row r="321" spans="1:17" x14ac:dyDescent="0.25">
      <c r="A321" s="139">
        <v>43647</v>
      </c>
      <c r="B321" s="148">
        <v>174.05</v>
      </c>
      <c r="C321" s="148">
        <v>45.5</v>
      </c>
      <c r="D321" s="148">
        <v>2267.75</v>
      </c>
      <c r="E321" s="148">
        <v>1242.780029</v>
      </c>
      <c r="F321" s="148">
        <v>1353.85</v>
      </c>
      <c r="G321" s="148">
        <v>1268.849976</v>
      </c>
      <c r="H321" s="148">
        <v>109.15</v>
      </c>
      <c r="I321" s="125">
        <v>1780.1999510000001</v>
      </c>
      <c r="J321">
        <f t="shared" si="33"/>
        <v>-3.4354423131977914E-3</v>
      </c>
      <c r="K321">
        <f t="shared" si="34"/>
        <v>-9.3625516063236741E-2</v>
      </c>
      <c r="L321">
        <f t="shared" si="35"/>
        <v>-2.1846963423050418E-2</v>
      </c>
      <c r="M321">
        <f t="shared" si="36"/>
        <v>-3.7835438877755405E-3</v>
      </c>
      <c r="N321">
        <f t="shared" si="37"/>
        <v>6.0189485417053009E-3</v>
      </c>
      <c r="O321">
        <f t="shared" si="38"/>
        <v>-7.5479264763394843E-3</v>
      </c>
      <c r="P321">
        <f t="shared" si="39"/>
        <v>8.2837301587301668E-2</v>
      </c>
      <c r="Q321">
        <f t="shared" si="40"/>
        <v>-5.0301812242783813E-3</v>
      </c>
    </row>
    <row r="322" spans="1:17" x14ac:dyDescent="0.25">
      <c r="A322" s="139">
        <v>43644</v>
      </c>
      <c r="B322" s="148">
        <v>174.35</v>
      </c>
      <c r="C322" s="148">
        <v>44.400002000000001</v>
      </c>
      <c r="D322" s="148">
        <v>2268.65</v>
      </c>
      <c r="E322" s="148">
        <v>1221.880005</v>
      </c>
      <c r="F322" s="148">
        <v>1358.15</v>
      </c>
      <c r="G322" s="148">
        <v>1253.099976</v>
      </c>
      <c r="H322" s="148">
        <v>108.75</v>
      </c>
      <c r="I322" s="125">
        <v>1787.599976</v>
      </c>
      <c r="J322">
        <f t="shared" si="33"/>
        <v>1.7236426314276526E-3</v>
      </c>
      <c r="K322">
        <f t="shared" si="34"/>
        <v>-2.4175780219780205E-2</v>
      </c>
      <c r="L322">
        <f t="shared" si="35"/>
        <v>3.9686914342413888E-4</v>
      </c>
      <c r="M322">
        <f t="shared" si="36"/>
        <v>-1.6817154695362449E-2</v>
      </c>
      <c r="N322">
        <f t="shared" si="37"/>
        <v>3.1761273405474626E-3</v>
      </c>
      <c r="O322">
        <f t="shared" si="38"/>
        <v>-1.2412814988302448E-2</v>
      </c>
      <c r="P322">
        <f t="shared" si="39"/>
        <v>-3.6646816307833777E-3</v>
      </c>
      <c r="Q322">
        <f t="shared" si="40"/>
        <v>4.1568504683100705E-3</v>
      </c>
    </row>
    <row r="323" spans="1:17" x14ac:dyDescent="0.25">
      <c r="A323" s="139">
        <v>43643</v>
      </c>
      <c r="B323" s="148">
        <v>176.85</v>
      </c>
      <c r="C323" s="148">
        <v>42.349997999999999</v>
      </c>
      <c r="D323" s="148">
        <v>2268.5</v>
      </c>
      <c r="E323" s="148">
        <v>1231.150024</v>
      </c>
      <c r="F323" s="148">
        <v>1361.4</v>
      </c>
      <c r="G323" s="148">
        <v>1274.150024</v>
      </c>
      <c r="H323" s="148">
        <v>112.4</v>
      </c>
      <c r="I323" s="125">
        <v>1774.400024</v>
      </c>
      <c r="J323">
        <f t="shared" si="33"/>
        <v>1.4338973329509607E-2</v>
      </c>
      <c r="K323">
        <f t="shared" si="34"/>
        <v>-4.6171259181474841E-2</v>
      </c>
      <c r="L323">
        <f t="shared" si="35"/>
        <v>-6.6118616798576657E-5</v>
      </c>
      <c r="M323">
        <f t="shared" si="36"/>
        <v>7.5866852408310323E-3</v>
      </c>
      <c r="N323">
        <f t="shared" si="37"/>
        <v>2.3929610131428782E-3</v>
      </c>
      <c r="O323">
        <f t="shared" si="38"/>
        <v>1.6798378743245673E-2</v>
      </c>
      <c r="P323">
        <f t="shared" si="39"/>
        <v>3.3563218390804651E-2</v>
      </c>
      <c r="Q323">
        <f t="shared" si="40"/>
        <v>-7.3841755298837278E-3</v>
      </c>
    </row>
    <row r="324" spans="1:17" x14ac:dyDescent="0.25">
      <c r="A324" s="139">
        <v>43642</v>
      </c>
      <c r="B324" s="148">
        <v>177.85</v>
      </c>
      <c r="C324" s="148">
        <v>41.5</v>
      </c>
      <c r="D324" s="148">
        <v>2228.9499999999998</v>
      </c>
      <c r="E324" s="148">
        <v>1233.9499510000001</v>
      </c>
      <c r="F324" s="148">
        <v>1359.95</v>
      </c>
      <c r="G324" s="148">
        <v>1294.150024</v>
      </c>
      <c r="H324" s="148">
        <v>113.05</v>
      </c>
      <c r="I324" s="125">
        <v>1761</v>
      </c>
      <c r="J324">
        <f t="shared" ref="J324:J387" si="41">(B324-B323)/B323</f>
        <v>5.6545094713033647E-3</v>
      </c>
      <c r="K324">
        <f t="shared" ref="K324:K387" si="42">(C324-C323)/C323</f>
        <v>-2.0070791975007871E-2</v>
      </c>
      <c r="L324">
        <f t="shared" ref="L324:L387" si="43">(D324-D323)/D323</f>
        <v>-1.7434428036147313E-2</v>
      </c>
      <c r="M324">
        <f t="shared" ref="M324:M387" si="44">(E324-E323)/E323</f>
        <v>2.2742370510647246E-3</v>
      </c>
      <c r="N324">
        <f t="shared" ref="N324:N387" si="45">(F324-F323)/F323</f>
        <v>-1.0650800646393752E-3</v>
      </c>
      <c r="O324">
        <f t="shared" ref="O324:O387" si="46">(G324-G323)/G323</f>
        <v>1.5696738706807104E-2</v>
      </c>
      <c r="P324">
        <f t="shared" ref="P324:P387" si="47">(H324-H323)/H323</f>
        <v>5.7829181494661163E-3</v>
      </c>
      <c r="Q324">
        <f t="shared" ref="Q324:Q387" si="48">(I324-I323)/I323</f>
        <v>-7.5518619357277635E-3</v>
      </c>
    </row>
    <row r="325" spans="1:17" x14ac:dyDescent="0.25">
      <c r="A325" s="139">
        <v>43641</v>
      </c>
      <c r="B325" s="148">
        <v>170.35</v>
      </c>
      <c r="C325" s="148">
        <v>41.349997999999999</v>
      </c>
      <c r="D325" s="148">
        <v>2243.5</v>
      </c>
      <c r="E325" s="148">
        <v>1214.349976</v>
      </c>
      <c r="F325" s="148">
        <v>1363.1</v>
      </c>
      <c r="G325" s="148">
        <v>1295.849976</v>
      </c>
      <c r="H325" s="148">
        <v>110.05</v>
      </c>
      <c r="I325" s="125">
        <v>1756.4499510000001</v>
      </c>
      <c r="J325">
        <f t="shared" si="41"/>
        <v>-4.217036828788305E-2</v>
      </c>
      <c r="K325">
        <f t="shared" si="42"/>
        <v>-3.6145060240964006E-3</v>
      </c>
      <c r="L325">
        <f t="shared" si="43"/>
        <v>6.5277372753988127E-3</v>
      </c>
      <c r="M325">
        <f t="shared" si="44"/>
        <v>-1.5883930287542179E-2</v>
      </c>
      <c r="N325">
        <f t="shared" si="45"/>
        <v>2.316261627265608E-3</v>
      </c>
      <c r="O325">
        <f t="shared" si="46"/>
        <v>1.3135664092063094E-3</v>
      </c>
      <c r="P325">
        <f t="shared" si="47"/>
        <v>-2.6536930561698365E-2</v>
      </c>
      <c r="Q325">
        <f t="shared" si="48"/>
        <v>-2.5837870528108713E-3</v>
      </c>
    </row>
    <row r="326" spans="1:17" x14ac:dyDescent="0.25">
      <c r="A326" s="139">
        <v>43640</v>
      </c>
      <c r="B326" s="148">
        <v>168.45</v>
      </c>
      <c r="C326" s="148">
        <v>41.150002000000001</v>
      </c>
      <c r="D326" s="148">
        <v>2242.4499999999998</v>
      </c>
      <c r="E326" s="148">
        <v>1208.969971</v>
      </c>
      <c r="F326" s="148">
        <v>1376.15</v>
      </c>
      <c r="G326" s="148">
        <v>1262.400024</v>
      </c>
      <c r="H326" s="148">
        <v>111.95</v>
      </c>
      <c r="I326" s="125">
        <v>1764.4499510000001</v>
      </c>
      <c r="J326">
        <f t="shared" si="41"/>
        <v>-1.1153507484590583E-2</v>
      </c>
      <c r="K326">
        <f t="shared" si="42"/>
        <v>-4.8366628699715716E-3</v>
      </c>
      <c r="L326">
        <f t="shared" si="43"/>
        <v>-4.6801872074891102E-4</v>
      </c>
      <c r="M326">
        <f t="shared" si="44"/>
        <v>-4.430357892146887E-3</v>
      </c>
      <c r="N326">
        <f t="shared" si="45"/>
        <v>9.5737656811680609E-3</v>
      </c>
      <c r="O326">
        <f t="shared" si="46"/>
        <v>-2.581313625768045E-2</v>
      </c>
      <c r="P326">
        <f t="shared" si="47"/>
        <v>1.7264879600181787E-2</v>
      </c>
      <c r="Q326">
        <f t="shared" si="48"/>
        <v>4.5546415913788824E-3</v>
      </c>
    </row>
    <row r="327" spans="1:17" x14ac:dyDescent="0.25">
      <c r="A327" s="139">
        <v>43637</v>
      </c>
      <c r="B327" s="148">
        <v>172.4</v>
      </c>
      <c r="C327" s="148">
        <v>41.25</v>
      </c>
      <c r="D327" s="148">
        <v>2214.6999999999998</v>
      </c>
      <c r="E327" s="148">
        <v>1207.099976</v>
      </c>
      <c r="F327" s="148">
        <v>1383</v>
      </c>
      <c r="G327" s="148">
        <v>1279.5</v>
      </c>
      <c r="H327" s="148">
        <v>109.6</v>
      </c>
      <c r="I327" s="125">
        <v>1766.650024</v>
      </c>
      <c r="J327">
        <f t="shared" si="41"/>
        <v>2.3449094686850799E-2</v>
      </c>
      <c r="K327">
        <f t="shared" si="42"/>
        <v>2.430084936569368E-3</v>
      </c>
      <c r="L327">
        <f t="shared" si="43"/>
        <v>-1.2374857856362461E-2</v>
      </c>
      <c r="M327">
        <f t="shared" si="44"/>
        <v>-1.5467671198261858E-3</v>
      </c>
      <c r="N327">
        <f t="shared" si="45"/>
        <v>4.9776550521381455E-3</v>
      </c>
      <c r="O327">
        <f t="shared" si="46"/>
        <v>1.3545608107497921E-2</v>
      </c>
      <c r="P327">
        <f t="shared" si="47"/>
        <v>-2.0991514068780782E-2</v>
      </c>
      <c r="Q327">
        <f t="shared" si="48"/>
        <v>1.2468888668409584E-3</v>
      </c>
    </row>
    <row r="328" spans="1:17" x14ac:dyDescent="0.25">
      <c r="A328" s="139">
        <v>43636</v>
      </c>
      <c r="B328" s="148">
        <v>172</v>
      </c>
      <c r="C328" s="148">
        <v>40.950001</v>
      </c>
      <c r="D328" s="148">
        <v>2152.25</v>
      </c>
      <c r="E328" s="148">
        <v>1213.1800539999999</v>
      </c>
      <c r="F328" s="148">
        <v>1392.05</v>
      </c>
      <c r="G328" s="148">
        <v>1296.75</v>
      </c>
      <c r="H328" s="148">
        <v>114.55</v>
      </c>
      <c r="I328" s="125">
        <v>1805.0500489999999</v>
      </c>
      <c r="J328">
        <f t="shared" si="41"/>
        <v>-2.3201856148492208E-3</v>
      </c>
      <c r="K328">
        <f t="shared" si="42"/>
        <v>-7.2727030303030224E-3</v>
      </c>
      <c r="L328">
        <f t="shared" si="43"/>
        <v>-2.8197950060956257E-2</v>
      </c>
      <c r="M328">
        <f t="shared" si="44"/>
        <v>5.0369299319743821E-3</v>
      </c>
      <c r="N328">
        <f t="shared" si="45"/>
        <v>6.5437454808387231E-3</v>
      </c>
      <c r="O328">
        <f t="shared" si="46"/>
        <v>1.3481828839390387E-2</v>
      </c>
      <c r="P328">
        <f t="shared" si="47"/>
        <v>4.5164233576642364E-2</v>
      </c>
      <c r="Q328">
        <f t="shared" si="48"/>
        <v>2.1736067969509682E-2</v>
      </c>
    </row>
    <row r="329" spans="1:17" x14ac:dyDescent="0.25">
      <c r="A329" s="139">
        <v>43635</v>
      </c>
      <c r="B329" s="148">
        <v>168.5</v>
      </c>
      <c r="C329" s="148">
        <v>39.75</v>
      </c>
      <c r="D329" s="148">
        <v>2156.5</v>
      </c>
      <c r="E329" s="148">
        <v>1214.1800539999999</v>
      </c>
      <c r="F329" s="148">
        <v>1381.15</v>
      </c>
      <c r="G329" s="148">
        <v>1277.349976</v>
      </c>
      <c r="H329" s="148">
        <v>103.2</v>
      </c>
      <c r="I329" s="125">
        <v>1811.6999510000001</v>
      </c>
      <c r="J329">
        <f t="shared" si="41"/>
        <v>-2.0348837209302327E-2</v>
      </c>
      <c r="K329">
        <f t="shared" si="42"/>
        <v>-2.9304053008448041E-2</v>
      </c>
      <c r="L329">
        <f t="shared" si="43"/>
        <v>1.9746776629109074E-3</v>
      </c>
      <c r="M329">
        <f t="shared" si="44"/>
        <v>8.2427995473786453E-4</v>
      </c>
      <c r="N329">
        <f t="shared" si="45"/>
        <v>-7.8301785137027142E-3</v>
      </c>
      <c r="O329">
        <f t="shared" si="46"/>
        <v>-1.4960496626180861E-2</v>
      </c>
      <c r="P329">
        <f t="shared" si="47"/>
        <v>-9.9083369707551244E-2</v>
      </c>
      <c r="Q329">
        <f t="shared" si="48"/>
        <v>3.6840540813171166E-3</v>
      </c>
    </row>
    <row r="330" spans="1:17" x14ac:dyDescent="0.25">
      <c r="A330" s="139">
        <v>43634</v>
      </c>
      <c r="B330" s="148">
        <v>168.1</v>
      </c>
      <c r="C330" s="148">
        <v>40.799999</v>
      </c>
      <c r="D330" s="148">
        <v>2195.8000000000002</v>
      </c>
      <c r="E330" s="148">
        <v>1208.619995</v>
      </c>
      <c r="F330" s="148">
        <v>1380.05</v>
      </c>
      <c r="G330" s="148">
        <v>1281</v>
      </c>
      <c r="H330" s="148">
        <v>109.3</v>
      </c>
      <c r="I330" s="125">
        <v>1809.599976</v>
      </c>
      <c r="J330">
        <f t="shared" si="41"/>
        <v>-2.3738872403561168E-3</v>
      </c>
      <c r="K330">
        <f t="shared" si="42"/>
        <v>2.6415069182389929E-2</v>
      </c>
      <c r="L330">
        <f t="shared" si="43"/>
        <v>1.8223974031996375E-2</v>
      </c>
      <c r="M330">
        <f t="shared" si="44"/>
        <v>-4.5792705799134392E-3</v>
      </c>
      <c r="N330">
        <f t="shared" si="45"/>
        <v>-7.9643775114950316E-4</v>
      </c>
      <c r="O330">
        <f t="shared" si="46"/>
        <v>2.8574972157826466E-3</v>
      </c>
      <c r="P330">
        <f t="shared" si="47"/>
        <v>5.9108527131782891E-2</v>
      </c>
      <c r="Q330">
        <f t="shared" si="48"/>
        <v>-1.159118538829218E-3</v>
      </c>
    </row>
    <row r="331" spans="1:17" x14ac:dyDescent="0.25">
      <c r="A331" s="139">
        <v>43633</v>
      </c>
      <c r="B331" s="148">
        <v>164.05</v>
      </c>
      <c r="C331" s="148">
        <v>41.650002000000001</v>
      </c>
      <c r="D331" s="148">
        <v>2192.0500000000002</v>
      </c>
      <c r="E331" s="148">
        <v>1211</v>
      </c>
      <c r="F331" s="148">
        <v>1401.95</v>
      </c>
      <c r="G331" s="148">
        <v>1282.3000489999999</v>
      </c>
      <c r="H331" s="148">
        <v>116.15</v>
      </c>
      <c r="I331" s="125">
        <v>1818.0500489999999</v>
      </c>
      <c r="J331">
        <f t="shared" si="41"/>
        <v>-2.4092801903628693E-2</v>
      </c>
      <c r="K331">
        <f t="shared" si="42"/>
        <v>2.0833407373367852E-2</v>
      </c>
      <c r="L331">
        <f t="shared" si="43"/>
        <v>-1.7078058110939064E-3</v>
      </c>
      <c r="M331">
        <f t="shared" si="44"/>
        <v>1.969192144632675E-3</v>
      </c>
      <c r="N331">
        <f t="shared" si="45"/>
        <v>1.5868990253976371E-2</v>
      </c>
      <c r="O331">
        <f t="shared" si="46"/>
        <v>1.014870413739223E-3</v>
      </c>
      <c r="P331">
        <f t="shared" si="47"/>
        <v>6.2671546203110787E-2</v>
      </c>
      <c r="Q331">
        <f t="shared" si="48"/>
        <v>4.6695806322225412E-3</v>
      </c>
    </row>
    <row r="332" spans="1:17" x14ac:dyDescent="0.25">
      <c r="A332" s="139">
        <v>43630</v>
      </c>
      <c r="B332" s="148">
        <v>169.55</v>
      </c>
      <c r="C332" s="148">
        <v>42.599997999999999</v>
      </c>
      <c r="D332" s="148">
        <v>2208.3000000000002</v>
      </c>
      <c r="E332" s="148">
        <v>1217.5500489999999</v>
      </c>
      <c r="F332" s="148">
        <v>1412.75</v>
      </c>
      <c r="G332" s="148">
        <v>1317.5500489999999</v>
      </c>
      <c r="H332" s="148">
        <v>115.05</v>
      </c>
      <c r="I332" s="125">
        <v>1822.9499510000001</v>
      </c>
      <c r="J332">
        <f t="shared" si="41"/>
        <v>3.3526363913441021E-2</v>
      </c>
      <c r="K332">
        <f t="shared" si="42"/>
        <v>2.2809026515773007E-2</v>
      </c>
      <c r="L332">
        <f t="shared" si="43"/>
        <v>7.4131520722611251E-3</v>
      </c>
      <c r="M332">
        <f t="shared" si="44"/>
        <v>5.4087935590420681E-3</v>
      </c>
      <c r="N332">
        <f t="shared" si="45"/>
        <v>7.7035557616177142E-3</v>
      </c>
      <c r="O332">
        <f t="shared" si="46"/>
        <v>2.7489665954149863E-2</v>
      </c>
      <c r="P332">
        <f t="shared" si="47"/>
        <v>-9.4705122686182391E-3</v>
      </c>
      <c r="Q332">
        <f t="shared" si="48"/>
        <v>2.6951414251193207E-3</v>
      </c>
    </row>
    <row r="333" spans="1:17" x14ac:dyDescent="0.25">
      <c r="A333" s="139">
        <v>43629</v>
      </c>
      <c r="B333" s="148">
        <v>168.45</v>
      </c>
      <c r="C333" s="148">
        <v>43.400002000000001</v>
      </c>
      <c r="D333" s="148">
        <v>2258.5500000000002</v>
      </c>
      <c r="E333" s="148">
        <v>1222.349976</v>
      </c>
      <c r="F333" s="148">
        <v>1429.45</v>
      </c>
      <c r="G333" s="148">
        <v>1327.25</v>
      </c>
      <c r="H333" s="148">
        <v>117.1</v>
      </c>
      <c r="I333" s="125">
        <v>1845.5</v>
      </c>
      <c r="J333">
        <f t="shared" si="41"/>
        <v>-6.4877617222059729E-3</v>
      </c>
      <c r="K333">
        <f t="shared" si="42"/>
        <v>1.8779437501382071E-2</v>
      </c>
      <c r="L333">
        <f t="shared" si="43"/>
        <v>2.2755060453742697E-2</v>
      </c>
      <c r="M333">
        <f t="shared" si="44"/>
        <v>3.942283115131332E-3</v>
      </c>
      <c r="N333">
        <f t="shared" si="45"/>
        <v>1.1820916651920046E-2</v>
      </c>
      <c r="O333">
        <f t="shared" si="46"/>
        <v>7.3621119800057443E-3</v>
      </c>
      <c r="P333">
        <f t="shared" si="47"/>
        <v>1.7818339852238133E-2</v>
      </c>
      <c r="Q333">
        <f t="shared" si="48"/>
        <v>1.2370086730921964E-2</v>
      </c>
    </row>
    <row r="334" spans="1:17" x14ac:dyDescent="0.25">
      <c r="A334" s="139">
        <v>43628</v>
      </c>
      <c r="B334" s="148">
        <v>170.1</v>
      </c>
      <c r="C334" s="148">
        <v>43.150002000000001</v>
      </c>
      <c r="D334" s="148">
        <v>2277.0500000000002</v>
      </c>
      <c r="E334" s="148">
        <v>1213.530029</v>
      </c>
      <c r="F334" s="148">
        <v>1425.45</v>
      </c>
      <c r="G334" s="148">
        <v>1332.150024</v>
      </c>
      <c r="H334" s="148">
        <v>134.75</v>
      </c>
      <c r="I334" s="125">
        <v>1847.099976</v>
      </c>
      <c r="J334">
        <f t="shared" si="41"/>
        <v>9.7951914514693133E-3</v>
      </c>
      <c r="K334">
        <f t="shared" si="42"/>
        <v>-5.7603683981397053E-3</v>
      </c>
      <c r="L334">
        <f t="shared" si="43"/>
        <v>8.1910960572048434E-3</v>
      </c>
      <c r="M334">
        <f t="shared" si="44"/>
        <v>-7.2155660597811935E-3</v>
      </c>
      <c r="N334">
        <f t="shared" si="45"/>
        <v>-2.7982790583790966E-3</v>
      </c>
      <c r="O334">
        <f t="shared" si="46"/>
        <v>3.691862120926751E-3</v>
      </c>
      <c r="P334">
        <f t="shared" si="47"/>
        <v>0.15072587532023918</v>
      </c>
      <c r="Q334">
        <f t="shared" si="48"/>
        <v>8.6696071525330239E-4</v>
      </c>
    </row>
    <row r="335" spans="1:17" x14ac:dyDescent="0.25">
      <c r="A335" s="139">
        <v>43627</v>
      </c>
      <c r="B335" s="148">
        <v>169.35</v>
      </c>
      <c r="C335" s="148">
        <v>42.549999</v>
      </c>
      <c r="D335" s="148">
        <v>2306.5500000000002</v>
      </c>
      <c r="E335" s="148">
        <v>1224.1999510000001</v>
      </c>
      <c r="F335" s="148">
        <v>1425.5</v>
      </c>
      <c r="G335" s="148">
        <v>1329.150024</v>
      </c>
      <c r="H335" s="148">
        <v>139.55000000000001</v>
      </c>
      <c r="I335" s="125">
        <v>1839.8000489999999</v>
      </c>
      <c r="J335">
        <f t="shared" si="41"/>
        <v>-4.4091710758377423E-3</v>
      </c>
      <c r="K335">
        <f t="shared" si="42"/>
        <v>-1.3905051499186511E-2</v>
      </c>
      <c r="L335">
        <f t="shared" si="43"/>
        <v>1.2955358907358204E-2</v>
      </c>
      <c r="M335">
        <f t="shared" si="44"/>
        <v>8.7924663955720236E-3</v>
      </c>
      <c r="N335">
        <f t="shared" si="45"/>
        <v>3.5076642463751464E-5</v>
      </c>
      <c r="O335">
        <f t="shared" si="46"/>
        <v>-2.2519986082288283E-3</v>
      </c>
      <c r="P335">
        <f t="shared" si="47"/>
        <v>3.5621521335807135E-2</v>
      </c>
      <c r="Q335">
        <f t="shared" si="48"/>
        <v>-3.9521017242436611E-3</v>
      </c>
    </row>
    <row r="336" spans="1:17" x14ac:dyDescent="0.25">
      <c r="A336" s="139">
        <v>43626</v>
      </c>
      <c r="B336" s="148">
        <v>165.2</v>
      </c>
      <c r="C336" s="148">
        <v>42.900002000000001</v>
      </c>
      <c r="D336" s="148">
        <v>2343</v>
      </c>
      <c r="E336" s="148">
        <v>1220.099976</v>
      </c>
      <c r="F336" s="148">
        <v>1422.6</v>
      </c>
      <c r="G336" s="148">
        <v>1319.150024</v>
      </c>
      <c r="H336" s="148">
        <v>135.9</v>
      </c>
      <c r="I336" s="125">
        <v>1852.5</v>
      </c>
      <c r="J336">
        <f t="shared" si="41"/>
        <v>-2.4505462060820819E-2</v>
      </c>
      <c r="K336">
        <f t="shared" si="42"/>
        <v>8.2256876198751726E-3</v>
      </c>
      <c r="L336">
        <f t="shared" si="43"/>
        <v>1.5802822397086479E-2</v>
      </c>
      <c r="M336">
        <f t="shared" si="44"/>
        <v>-3.3491056723625743E-3</v>
      </c>
      <c r="N336">
        <f t="shared" si="45"/>
        <v>-2.0343739038934344E-3</v>
      </c>
      <c r="O336">
        <f t="shared" si="46"/>
        <v>-7.5236051758142235E-3</v>
      </c>
      <c r="P336">
        <f t="shared" si="47"/>
        <v>-2.615549982085278E-2</v>
      </c>
      <c r="Q336">
        <f t="shared" si="48"/>
        <v>6.9028974137178402E-3</v>
      </c>
    </row>
    <row r="337" spans="1:17" x14ac:dyDescent="0.25">
      <c r="A337" s="139">
        <v>43623</v>
      </c>
      <c r="B337" s="148">
        <v>164.2</v>
      </c>
      <c r="C337" s="148">
        <v>43.25</v>
      </c>
      <c r="D337" s="148">
        <v>2410.15</v>
      </c>
      <c r="E337" s="148">
        <v>1223.8199460000001</v>
      </c>
      <c r="F337" s="148">
        <v>1418.35</v>
      </c>
      <c r="G337" s="148">
        <v>1314.900024</v>
      </c>
      <c r="H337" s="148">
        <v>139.9</v>
      </c>
      <c r="I337" s="125">
        <v>1830.75</v>
      </c>
      <c r="J337">
        <f t="shared" si="41"/>
        <v>-6.0532687651331726E-3</v>
      </c>
      <c r="K337">
        <f t="shared" si="42"/>
        <v>8.1584611581136841E-3</v>
      </c>
      <c r="L337">
        <f t="shared" si="43"/>
        <v>2.8659837814767431E-2</v>
      </c>
      <c r="M337">
        <f t="shared" si="44"/>
        <v>3.0489058873648424E-3</v>
      </c>
      <c r="N337">
        <f t="shared" si="45"/>
        <v>-2.9874876985800649E-3</v>
      </c>
      <c r="O337">
        <f t="shared" si="46"/>
        <v>-3.2217715367300784E-3</v>
      </c>
      <c r="P337">
        <f t="shared" si="47"/>
        <v>2.9433406916850625E-2</v>
      </c>
      <c r="Q337">
        <f t="shared" si="48"/>
        <v>-1.174089068825911E-2</v>
      </c>
    </row>
    <row r="338" spans="1:17" x14ac:dyDescent="0.25">
      <c r="A338" s="139">
        <v>43622</v>
      </c>
      <c r="B338" s="148">
        <v>163.1</v>
      </c>
      <c r="C338" s="148">
        <v>44.349997999999999</v>
      </c>
      <c r="D338" s="148">
        <v>2432.4</v>
      </c>
      <c r="E338" s="148">
        <v>1211.6800539999999</v>
      </c>
      <c r="F338" s="148">
        <v>1428.55</v>
      </c>
      <c r="G338" s="148">
        <v>1327.349976</v>
      </c>
      <c r="H338" s="148">
        <v>143.4</v>
      </c>
      <c r="I338" s="125">
        <v>1837.75</v>
      </c>
      <c r="J338">
        <f t="shared" si="41"/>
        <v>-6.6991473812423536E-3</v>
      </c>
      <c r="K338">
        <f t="shared" si="42"/>
        <v>2.5433479768786113E-2</v>
      </c>
      <c r="L338">
        <f t="shared" si="43"/>
        <v>9.2317905524552414E-3</v>
      </c>
      <c r="M338">
        <f t="shared" si="44"/>
        <v>-9.9196716311732228E-3</v>
      </c>
      <c r="N338">
        <f t="shared" si="45"/>
        <v>7.191454859519897E-3</v>
      </c>
      <c r="O338">
        <f t="shared" si="46"/>
        <v>9.4683639613348577E-3</v>
      </c>
      <c r="P338">
        <f t="shared" si="47"/>
        <v>2.5017869907076482E-2</v>
      </c>
      <c r="Q338">
        <f t="shared" si="48"/>
        <v>3.8235695753106652E-3</v>
      </c>
    </row>
    <row r="339" spans="1:17" x14ac:dyDescent="0.25">
      <c r="A339" s="139">
        <v>43620</v>
      </c>
      <c r="B339" s="148">
        <v>165.9</v>
      </c>
      <c r="C339" s="148">
        <v>45.200001</v>
      </c>
      <c r="D339" s="148">
        <v>2420.35</v>
      </c>
      <c r="E339" s="148">
        <v>1226.150024</v>
      </c>
      <c r="F339" s="148">
        <v>1421.5</v>
      </c>
      <c r="G339" s="148">
        <v>1351.650024</v>
      </c>
      <c r="H339" s="148">
        <v>152.80000000000001</v>
      </c>
      <c r="I339" s="125">
        <v>1815.599976</v>
      </c>
      <c r="J339">
        <f t="shared" si="41"/>
        <v>1.7167381974248996E-2</v>
      </c>
      <c r="K339">
        <f t="shared" si="42"/>
        <v>1.9165795678277166E-2</v>
      </c>
      <c r="L339">
        <f t="shared" si="43"/>
        <v>-4.9539549416215186E-3</v>
      </c>
      <c r="M339">
        <f t="shared" si="44"/>
        <v>1.1942071632054862E-2</v>
      </c>
      <c r="N339">
        <f t="shared" si="45"/>
        <v>-4.9350740261103598E-3</v>
      </c>
      <c r="O339">
        <f t="shared" si="46"/>
        <v>1.8307189843954207E-2</v>
      </c>
      <c r="P339">
        <f t="shared" si="47"/>
        <v>6.5550906555090688E-2</v>
      </c>
      <c r="Q339">
        <f t="shared" si="48"/>
        <v>-1.20527949938784E-2</v>
      </c>
    </row>
    <row r="340" spans="1:17" x14ac:dyDescent="0.25">
      <c r="A340" s="139">
        <v>43619</v>
      </c>
      <c r="B340" s="148">
        <v>164.2</v>
      </c>
      <c r="C340" s="148">
        <v>44.099997999999999</v>
      </c>
      <c r="D340" s="148">
        <v>2453.6999999999998</v>
      </c>
      <c r="E340" s="148">
        <v>1228.5500489999999</v>
      </c>
      <c r="F340" s="148">
        <v>1459.25</v>
      </c>
      <c r="G340" s="148">
        <v>1360.1999510000001</v>
      </c>
      <c r="H340" s="148">
        <v>149.44999999999999</v>
      </c>
      <c r="I340" s="125">
        <v>1839.6999510000001</v>
      </c>
      <c r="J340">
        <f t="shared" si="41"/>
        <v>-1.0247136829415414E-2</v>
      </c>
      <c r="K340">
        <f t="shared" si="42"/>
        <v>-2.4336349019107344E-2</v>
      </c>
      <c r="L340">
        <f t="shared" si="43"/>
        <v>1.3778998905116991E-2</v>
      </c>
      <c r="M340">
        <f t="shared" si="44"/>
        <v>1.9573665155349002E-3</v>
      </c>
      <c r="N340">
        <f t="shared" si="45"/>
        <v>2.655645444952515E-2</v>
      </c>
      <c r="O340">
        <f t="shared" si="46"/>
        <v>6.3255479215676208E-3</v>
      </c>
      <c r="P340">
        <f t="shared" si="47"/>
        <v>-2.1924083769633656E-2</v>
      </c>
      <c r="Q340">
        <f t="shared" si="48"/>
        <v>1.3273835271299919E-2</v>
      </c>
    </row>
    <row r="341" spans="1:17" x14ac:dyDescent="0.25">
      <c r="A341" s="139">
        <v>43616</v>
      </c>
      <c r="B341" s="148">
        <v>160.55000000000001</v>
      </c>
      <c r="C341" s="148">
        <v>43.299999</v>
      </c>
      <c r="D341" s="148">
        <v>2448.3000000000002</v>
      </c>
      <c r="E341" s="148">
        <v>1212.6800539999999</v>
      </c>
      <c r="F341" s="148">
        <v>1407.3</v>
      </c>
      <c r="G341" s="148">
        <v>1330.150024</v>
      </c>
      <c r="H341" s="148">
        <v>147.80000000000001</v>
      </c>
      <c r="I341" s="125">
        <v>1788.5</v>
      </c>
      <c r="J341">
        <f t="shared" si="41"/>
        <v>-2.2228989037758693E-2</v>
      </c>
      <c r="K341">
        <f t="shared" si="42"/>
        <v>-1.8140567716125513E-2</v>
      </c>
      <c r="L341">
        <f t="shared" si="43"/>
        <v>-2.2007580388799107E-3</v>
      </c>
      <c r="M341">
        <f t="shared" si="44"/>
        <v>-1.2917662583561557E-2</v>
      </c>
      <c r="N341">
        <f t="shared" si="45"/>
        <v>-3.5600479698475275E-2</v>
      </c>
      <c r="O341">
        <f t="shared" si="46"/>
        <v>-2.2092286489135467E-2</v>
      </c>
      <c r="P341">
        <f t="shared" si="47"/>
        <v>-1.1040481766476932E-2</v>
      </c>
      <c r="Q341">
        <f t="shared" si="48"/>
        <v>-2.7830598664836326E-2</v>
      </c>
    </row>
    <row r="342" spans="1:17" x14ac:dyDescent="0.25">
      <c r="A342" s="139">
        <v>43615</v>
      </c>
      <c r="B342" s="148">
        <v>164</v>
      </c>
      <c r="C342" s="148">
        <v>44.599997999999999</v>
      </c>
      <c r="D342" s="148">
        <v>2468.85</v>
      </c>
      <c r="E342" s="148">
        <v>1219.780029</v>
      </c>
      <c r="F342" s="148">
        <v>1374.6</v>
      </c>
      <c r="G342" s="148">
        <v>1329.75</v>
      </c>
      <c r="H342" s="148">
        <v>155</v>
      </c>
      <c r="I342" s="125">
        <v>1784.25</v>
      </c>
      <c r="J342">
        <f t="shared" si="41"/>
        <v>2.1488632824665142E-2</v>
      </c>
      <c r="K342">
        <f t="shared" si="42"/>
        <v>3.0023072286906975E-2</v>
      </c>
      <c r="L342">
        <f t="shared" si="43"/>
        <v>8.3935792182329473E-3</v>
      </c>
      <c r="M342">
        <f t="shared" si="44"/>
        <v>5.8547800605617002E-3</v>
      </c>
      <c r="N342">
        <f t="shared" si="45"/>
        <v>-2.3235983798763623E-2</v>
      </c>
      <c r="O342">
        <f t="shared" si="46"/>
        <v>-3.0073600179105088E-4</v>
      </c>
      <c r="P342">
        <f t="shared" si="47"/>
        <v>4.8714479025710342E-2</v>
      </c>
      <c r="Q342">
        <f t="shared" si="48"/>
        <v>-2.3762929829466034E-3</v>
      </c>
    </row>
    <row r="343" spans="1:17" x14ac:dyDescent="0.25">
      <c r="A343" s="139">
        <v>43614</v>
      </c>
      <c r="B343" s="148">
        <v>165.85</v>
      </c>
      <c r="C343" s="148">
        <v>44.700001</v>
      </c>
      <c r="D343" s="148">
        <v>2440.9499999999998</v>
      </c>
      <c r="E343" s="148">
        <v>1208.4499510000001</v>
      </c>
      <c r="F343" s="148">
        <v>1358.25</v>
      </c>
      <c r="G343" s="148">
        <v>1313.0500489999999</v>
      </c>
      <c r="H343" s="148">
        <v>151.69999999999999</v>
      </c>
      <c r="I343" s="125">
        <v>1780.849976</v>
      </c>
      <c r="J343">
        <f t="shared" si="41"/>
        <v>1.1280487804878014E-2</v>
      </c>
      <c r="K343">
        <f t="shared" si="42"/>
        <v>2.2422198314896997E-3</v>
      </c>
      <c r="L343">
        <f t="shared" si="43"/>
        <v>-1.1300808068533971E-2</v>
      </c>
      <c r="M343">
        <f t="shared" si="44"/>
        <v>-9.2886239572954662E-3</v>
      </c>
      <c r="N343">
        <f t="shared" si="45"/>
        <v>-1.1894369271060606E-2</v>
      </c>
      <c r="O343">
        <f t="shared" si="46"/>
        <v>-1.2558714796014329E-2</v>
      </c>
      <c r="P343">
        <f t="shared" si="47"/>
        <v>-2.1290322580645234E-2</v>
      </c>
      <c r="Q343">
        <f t="shared" si="48"/>
        <v>-1.9055760123301278E-3</v>
      </c>
    </row>
    <row r="344" spans="1:17" x14ac:dyDescent="0.25">
      <c r="A344" s="139">
        <v>43613</v>
      </c>
      <c r="B344" s="148">
        <v>169.55</v>
      </c>
      <c r="C344" s="148">
        <v>45</v>
      </c>
      <c r="D344" s="148">
        <v>2451.0500000000002</v>
      </c>
      <c r="E344" s="148">
        <v>1208.099976</v>
      </c>
      <c r="F344" s="148">
        <v>1364.35</v>
      </c>
      <c r="G344" s="148">
        <v>1323.75</v>
      </c>
      <c r="H344" s="148">
        <v>152.80000000000001</v>
      </c>
      <c r="I344" s="125">
        <v>1776.900024</v>
      </c>
      <c r="J344">
        <f t="shared" si="41"/>
        <v>2.2309315646668781E-2</v>
      </c>
      <c r="K344">
        <f t="shared" si="42"/>
        <v>6.7113868744656108E-3</v>
      </c>
      <c r="L344">
        <f t="shared" si="43"/>
        <v>4.1377332595917016E-3</v>
      </c>
      <c r="M344">
        <f t="shared" si="44"/>
        <v>-2.8960653249270215E-4</v>
      </c>
      <c r="N344">
        <f t="shared" si="45"/>
        <v>4.4910730719675386E-3</v>
      </c>
      <c r="O344">
        <f t="shared" si="46"/>
        <v>8.1489285257245019E-3</v>
      </c>
      <c r="P344">
        <f t="shared" si="47"/>
        <v>7.2511535926171574E-3</v>
      </c>
      <c r="Q344">
        <f t="shared" si="48"/>
        <v>-2.2180150227320101E-3</v>
      </c>
    </row>
    <row r="345" spans="1:17" x14ac:dyDescent="0.25">
      <c r="A345" s="139">
        <v>43612</v>
      </c>
      <c r="B345" s="148">
        <v>166.5</v>
      </c>
      <c r="C345" s="148">
        <v>43.150002000000001</v>
      </c>
      <c r="D345" s="148">
        <v>2418.15</v>
      </c>
      <c r="E345" s="148">
        <v>1204.1800539999999</v>
      </c>
      <c r="F345" s="148">
        <v>1366.85</v>
      </c>
      <c r="G345" s="148">
        <v>1310.650024</v>
      </c>
      <c r="H345" s="148">
        <v>146.80000000000001</v>
      </c>
      <c r="I345" s="125">
        <v>1771.9499510000001</v>
      </c>
      <c r="J345">
        <f t="shared" si="41"/>
        <v>-1.7988793866116255E-2</v>
      </c>
      <c r="K345">
        <f t="shared" si="42"/>
        <v>-4.1111066666666654E-2</v>
      </c>
      <c r="L345">
        <f t="shared" si="43"/>
        <v>-1.3422818791946345E-2</v>
      </c>
      <c r="M345">
        <f t="shared" si="44"/>
        <v>-3.2447000065167144E-3</v>
      </c>
      <c r="N345">
        <f t="shared" si="45"/>
        <v>1.8323743907355152E-3</v>
      </c>
      <c r="O345">
        <f t="shared" si="46"/>
        <v>-9.8961102927289674E-3</v>
      </c>
      <c r="P345">
        <f t="shared" si="47"/>
        <v>-3.9267015706806283E-2</v>
      </c>
      <c r="Q345">
        <f t="shared" si="48"/>
        <v>-2.7857915094495912E-3</v>
      </c>
    </row>
    <row r="346" spans="1:17" x14ac:dyDescent="0.25">
      <c r="A346" s="139">
        <v>43609</v>
      </c>
      <c r="B346" s="148">
        <v>163.9</v>
      </c>
      <c r="C346" s="148">
        <v>42.299999</v>
      </c>
      <c r="D346" s="148">
        <v>2426.85</v>
      </c>
      <c r="E346" s="148">
        <v>1186.6800539999999</v>
      </c>
      <c r="F346" s="148">
        <v>1384.5</v>
      </c>
      <c r="G346" s="148">
        <v>1336.849976</v>
      </c>
      <c r="H346" s="148">
        <v>141.19999999999999</v>
      </c>
      <c r="I346" s="125">
        <v>1749.599976</v>
      </c>
      <c r="J346">
        <f t="shared" si="41"/>
        <v>-1.5615615615615582E-2</v>
      </c>
      <c r="K346">
        <f t="shared" si="42"/>
        <v>-1.9698793988468435E-2</v>
      </c>
      <c r="L346">
        <f t="shared" si="43"/>
        <v>3.5977917002666575E-3</v>
      </c>
      <c r="M346">
        <f t="shared" si="44"/>
        <v>-1.45327104047847E-2</v>
      </c>
      <c r="N346">
        <f t="shared" si="45"/>
        <v>1.2912901927790241E-2</v>
      </c>
      <c r="O346">
        <f t="shared" si="46"/>
        <v>1.99900442682935E-2</v>
      </c>
      <c r="P346">
        <f t="shared" si="47"/>
        <v>-3.8147138964577811E-2</v>
      </c>
      <c r="Q346">
        <f t="shared" si="48"/>
        <v>-1.2613208960776164E-2</v>
      </c>
    </row>
    <row r="347" spans="1:17" x14ac:dyDescent="0.25">
      <c r="A347" s="139">
        <v>43608</v>
      </c>
      <c r="B347" s="148">
        <v>157.35</v>
      </c>
      <c r="C347" s="148">
        <v>43.400002000000001</v>
      </c>
      <c r="D347" s="148">
        <v>2303</v>
      </c>
      <c r="E347" s="148">
        <v>1166.0500489999999</v>
      </c>
      <c r="F347" s="148">
        <v>1367.75</v>
      </c>
      <c r="G347" s="148">
        <v>1333.900024</v>
      </c>
      <c r="H347" s="148">
        <v>139.75</v>
      </c>
      <c r="I347" s="125">
        <v>1753.849976</v>
      </c>
      <c r="J347">
        <f t="shared" si="41"/>
        <v>-3.9963392312385666E-2</v>
      </c>
      <c r="K347">
        <f t="shared" si="42"/>
        <v>2.6004799669144221E-2</v>
      </c>
      <c r="L347">
        <f t="shared" si="43"/>
        <v>-5.1033232379421846E-2</v>
      </c>
      <c r="M347">
        <f t="shared" si="44"/>
        <v>-1.7384639550029873E-2</v>
      </c>
      <c r="N347">
        <f t="shared" si="45"/>
        <v>-1.2098230408089564E-2</v>
      </c>
      <c r="O347">
        <f t="shared" si="46"/>
        <v>-2.2066440161270118E-3</v>
      </c>
      <c r="P347">
        <f t="shared" si="47"/>
        <v>-1.0269121813031083E-2</v>
      </c>
      <c r="Q347">
        <f t="shared" si="48"/>
        <v>2.4291266908430731E-3</v>
      </c>
    </row>
    <row r="348" spans="1:17" x14ac:dyDescent="0.25">
      <c r="A348" s="139">
        <v>43607</v>
      </c>
      <c r="B348" s="148">
        <v>166.3</v>
      </c>
      <c r="C348" s="148">
        <v>43.950001</v>
      </c>
      <c r="D348" s="148">
        <v>2310.4</v>
      </c>
      <c r="E348" s="148">
        <v>1202.880005</v>
      </c>
      <c r="F348" s="148">
        <v>1368.45</v>
      </c>
      <c r="G348" s="148">
        <v>1340.400024</v>
      </c>
      <c r="H348" s="148">
        <v>137.55000000000001</v>
      </c>
      <c r="I348" s="125">
        <v>1768.3000489999999</v>
      </c>
      <c r="J348">
        <f t="shared" si="41"/>
        <v>5.6879567842389685E-2</v>
      </c>
      <c r="K348">
        <f t="shared" si="42"/>
        <v>1.2672787434433751E-2</v>
      </c>
      <c r="L348">
        <f t="shared" si="43"/>
        <v>3.2132001736865355E-3</v>
      </c>
      <c r="M348">
        <f t="shared" si="44"/>
        <v>3.1585227436494057E-2</v>
      </c>
      <c r="N348">
        <f t="shared" si="45"/>
        <v>5.1178943520383512E-4</v>
      </c>
      <c r="O348">
        <f t="shared" si="46"/>
        <v>4.8729289174973432E-3</v>
      </c>
      <c r="P348">
        <f t="shared" si="47"/>
        <v>-1.5742397137745893E-2</v>
      </c>
      <c r="Q348">
        <f t="shared" si="48"/>
        <v>8.2390587551600114E-3</v>
      </c>
    </row>
    <row r="349" spans="1:17" x14ac:dyDescent="0.25">
      <c r="A349" s="139">
        <v>43606</v>
      </c>
      <c r="B349" s="148">
        <v>165.45</v>
      </c>
      <c r="C349" s="148">
        <v>43.349997999999999</v>
      </c>
      <c r="D349" s="148">
        <v>2279.4499999999998</v>
      </c>
      <c r="E349" s="148">
        <v>1201.849976</v>
      </c>
      <c r="F349" s="148">
        <v>1357.75</v>
      </c>
      <c r="G349" s="148">
        <v>1339.8000489999999</v>
      </c>
      <c r="H349" s="148">
        <v>141</v>
      </c>
      <c r="I349" s="125">
        <v>1785.25</v>
      </c>
      <c r="J349">
        <f t="shared" si="41"/>
        <v>-5.1112447384246704E-3</v>
      </c>
      <c r="K349">
        <f t="shared" si="42"/>
        <v>-1.3651945081867027E-2</v>
      </c>
      <c r="L349">
        <f t="shared" si="43"/>
        <v>-1.3395948753462722E-2</v>
      </c>
      <c r="M349">
        <f t="shared" si="44"/>
        <v>-8.5630237074230293E-4</v>
      </c>
      <c r="N349">
        <f t="shared" si="45"/>
        <v>-7.8190653659249848E-3</v>
      </c>
      <c r="O349">
        <f t="shared" si="46"/>
        <v>-4.4760891469521925E-4</v>
      </c>
      <c r="P349">
        <f t="shared" si="47"/>
        <v>2.5081788440566983E-2</v>
      </c>
      <c r="Q349">
        <f t="shared" si="48"/>
        <v>9.5854496014890159E-3</v>
      </c>
    </row>
    <row r="350" spans="1:17" x14ac:dyDescent="0.25">
      <c r="A350" s="139">
        <v>43605</v>
      </c>
      <c r="B350" s="148">
        <v>167.1</v>
      </c>
      <c r="C350" s="148">
        <v>43.099997999999999</v>
      </c>
      <c r="D350" s="148">
        <v>2346.25</v>
      </c>
      <c r="E350" s="148">
        <v>1216.1800539999999</v>
      </c>
      <c r="F350" s="148">
        <v>1373.95</v>
      </c>
      <c r="G350" s="148">
        <v>1325.900024</v>
      </c>
      <c r="H350" s="148">
        <v>143.55000000000001</v>
      </c>
      <c r="I350" s="125">
        <v>1772.5</v>
      </c>
      <c r="J350">
        <f t="shared" si="41"/>
        <v>9.9728014505893366E-3</v>
      </c>
      <c r="K350">
        <f t="shared" si="42"/>
        <v>-5.7670129534954078E-3</v>
      </c>
      <c r="L350">
        <f t="shared" si="43"/>
        <v>2.9305314878589214E-2</v>
      </c>
      <c r="M350">
        <f t="shared" si="44"/>
        <v>1.1923350073769904E-2</v>
      </c>
      <c r="N350">
        <f t="shared" si="45"/>
        <v>1.1931504327011634E-2</v>
      </c>
      <c r="O350">
        <f t="shared" si="46"/>
        <v>-1.0374701068547218E-2</v>
      </c>
      <c r="P350">
        <f t="shared" si="47"/>
        <v>1.8085106382978805E-2</v>
      </c>
      <c r="Q350">
        <f t="shared" si="48"/>
        <v>-7.1418568827895249E-3</v>
      </c>
    </row>
    <row r="351" spans="1:17" x14ac:dyDescent="0.25">
      <c r="A351" s="139">
        <v>43602</v>
      </c>
      <c r="B351" s="148">
        <v>160.94999999999999</v>
      </c>
      <c r="C351" s="148">
        <v>37.400002000000001</v>
      </c>
      <c r="D351" s="148">
        <v>2264.8000000000002</v>
      </c>
      <c r="E351" s="148">
        <v>1181.0500489999999</v>
      </c>
      <c r="F351" s="148">
        <v>1320</v>
      </c>
      <c r="G351" s="148">
        <v>1267.400024</v>
      </c>
      <c r="H351" s="148">
        <v>134.15</v>
      </c>
      <c r="I351" s="125">
        <v>1736.8000489999999</v>
      </c>
      <c r="J351">
        <f t="shared" si="41"/>
        <v>-3.6804308797127504E-2</v>
      </c>
      <c r="K351">
        <f t="shared" si="42"/>
        <v>-0.13225049337589292</v>
      </c>
      <c r="L351">
        <f t="shared" si="43"/>
        <v>-3.4714970697922141E-2</v>
      </c>
      <c r="M351">
        <f t="shared" si="44"/>
        <v>-2.8885529642142926E-2</v>
      </c>
      <c r="N351">
        <f t="shared" si="45"/>
        <v>-3.9266348848211396E-2</v>
      </c>
      <c r="O351">
        <f t="shared" si="46"/>
        <v>-4.4120973633831079E-2</v>
      </c>
      <c r="P351">
        <f t="shared" si="47"/>
        <v>-6.5482410309996547E-2</v>
      </c>
      <c r="Q351">
        <f t="shared" si="48"/>
        <v>-2.0141016078984518E-2</v>
      </c>
    </row>
    <row r="352" spans="1:17" x14ac:dyDescent="0.25">
      <c r="A352" s="139">
        <v>43601</v>
      </c>
      <c r="B352" s="148">
        <v>163.5</v>
      </c>
      <c r="C352" s="148">
        <v>36.599997999999999</v>
      </c>
      <c r="D352" s="148">
        <v>2279</v>
      </c>
      <c r="E352" s="148">
        <v>1155.3199460000001</v>
      </c>
      <c r="F352" s="148">
        <v>1304.4000000000001</v>
      </c>
      <c r="G352" s="148">
        <v>1265.349976</v>
      </c>
      <c r="H352" s="148">
        <v>137.75</v>
      </c>
      <c r="I352" s="125">
        <v>1688.1999510000001</v>
      </c>
      <c r="J352">
        <f t="shared" si="41"/>
        <v>1.5843429636533155E-2</v>
      </c>
      <c r="K352">
        <f t="shared" si="42"/>
        <v>-2.1390480139546551E-2</v>
      </c>
      <c r="L352">
        <f t="shared" si="43"/>
        <v>6.2698693041327346E-3</v>
      </c>
      <c r="M352">
        <f t="shared" si="44"/>
        <v>-2.1785785472669562E-2</v>
      </c>
      <c r="N352">
        <f t="shared" si="45"/>
        <v>-1.1818181818181749E-2</v>
      </c>
      <c r="O352">
        <f t="shared" si="46"/>
        <v>-1.6175224563512085E-3</v>
      </c>
      <c r="P352">
        <f t="shared" si="47"/>
        <v>2.6835631755497535E-2</v>
      </c>
      <c r="Q352">
        <f t="shared" si="48"/>
        <v>-2.7982552181514759E-2</v>
      </c>
    </row>
    <row r="353" spans="1:17" x14ac:dyDescent="0.25">
      <c r="A353" s="139">
        <v>43600</v>
      </c>
      <c r="B353" s="148">
        <v>160.05000000000001</v>
      </c>
      <c r="C353" s="148">
        <v>37.5</v>
      </c>
      <c r="D353" s="148">
        <v>2257.6</v>
      </c>
      <c r="E353" s="148">
        <v>1143.349976</v>
      </c>
      <c r="F353" s="148">
        <v>1305.95</v>
      </c>
      <c r="G353" s="148">
        <v>1256.900024</v>
      </c>
      <c r="H353" s="148">
        <v>142.94999999999999</v>
      </c>
      <c r="I353" s="125">
        <v>1671.0500489999999</v>
      </c>
      <c r="J353">
        <f t="shared" si="41"/>
        <v>-2.1100917431192592E-2</v>
      </c>
      <c r="K353">
        <f t="shared" si="42"/>
        <v>2.4590219922962855E-2</v>
      </c>
      <c r="L353">
        <f t="shared" si="43"/>
        <v>-9.3900833698991187E-3</v>
      </c>
      <c r="M353">
        <f t="shared" si="44"/>
        <v>-1.0360740365855419E-2</v>
      </c>
      <c r="N353">
        <f t="shared" si="45"/>
        <v>1.1882858019012224E-3</v>
      </c>
      <c r="O353">
        <f t="shared" si="46"/>
        <v>-6.6779564233381229E-3</v>
      </c>
      <c r="P353">
        <f t="shared" si="47"/>
        <v>3.7749546279491751E-2</v>
      </c>
      <c r="Q353">
        <f t="shared" si="48"/>
        <v>-1.0158691208254933E-2</v>
      </c>
    </row>
    <row r="354" spans="1:17" x14ac:dyDescent="0.25">
      <c r="A354" s="139">
        <v>43599</v>
      </c>
      <c r="B354" s="148">
        <v>160.75</v>
      </c>
      <c r="C354" s="148">
        <v>37.700001</v>
      </c>
      <c r="D354" s="148">
        <v>2250.25</v>
      </c>
      <c r="E354" s="148">
        <v>1143.9499510000001</v>
      </c>
      <c r="F354" s="148">
        <v>1320.25</v>
      </c>
      <c r="G354" s="148">
        <v>1260.4499510000001</v>
      </c>
      <c r="H354" s="148">
        <v>155.85</v>
      </c>
      <c r="I354" s="125">
        <v>1698.5</v>
      </c>
      <c r="J354">
        <f t="shared" si="41"/>
        <v>4.3736332396125495E-3</v>
      </c>
      <c r="K354">
        <f t="shared" si="42"/>
        <v>5.3333600000000083E-3</v>
      </c>
      <c r="L354">
        <f t="shared" si="43"/>
        <v>-3.2556697377745876E-3</v>
      </c>
      <c r="M354">
        <f t="shared" si="44"/>
        <v>5.2475183679024794E-4</v>
      </c>
      <c r="N354">
        <f t="shared" si="45"/>
        <v>1.0949883226769749E-2</v>
      </c>
      <c r="O354">
        <f t="shared" si="46"/>
        <v>2.8243511275484112E-3</v>
      </c>
      <c r="P354">
        <f t="shared" si="47"/>
        <v>9.0241343126967521E-2</v>
      </c>
      <c r="Q354">
        <f t="shared" si="48"/>
        <v>1.6426767717954843E-2</v>
      </c>
    </row>
    <row r="355" spans="1:17" x14ac:dyDescent="0.25">
      <c r="A355" s="139">
        <v>43598</v>
      </c>
      <c r="B355" s="148">
        <v>154.19999999999999</v>
      </c>
      <c r="C355" s="148">
        <v>37.799999</v>
      </c>
      <c r="D355" s="148">
        <v>2247.25</v>
      </c>
      <c r="E355" s="148">
        <v>1143.599976</v>
      </c>
      <c r="F355" s="148">
        <v>1332.5</v>
      </c>
      <c r="G355" s="148">
        <v>1232.0500489999999</v>
      </c>
      <c r="H355" s="148">
        <v>154.69999999999999</v>
      </c>
      <c r="I355" s="125">
        <v>1702</v>
      </c>
      <c r="J355">
        <f t="shared" si="41"/>
        <v>-4.0746500777605048E-2</v>
      </c>
      <c r="K355">
        <f t="shared" si="42"/>
        <v>2.6524667731441004E-3</v>
      </c>
      <c r="L355">
        <f t="shared" si="43"/>
        <v>-1.3331852016442618E-3</v>
      </c>
      <c r="M355">
        <f t="shared" si="44"/>
        <v>-3.0593558721179212E-4</v>
      </c>
      <c r="N355">
        <f t="shared" si="45"/>
        <v>9.2785457299753831E-3</v>
      </c>
      <c r="O355">
        <f t="shared" si="46"/>
        <v>-2.253155865289895E-2</v>
      </c>
      <c r="P355">
        <f t="shared" si="47"/>
        <v>-7.3788899582932672E-3</v>
      </c>
      <c r="Q355">
        <f t="shared" si="48"/>
        <v>2.0606417427141595E-3</v>
      </c>
    </row>
    <row r="356" spans="1:17" x14ac:dyDescent="0.25">
      <c r="A356" s="139">
        <v>43595</v>
      </c>
      <c r="B356" s="148">
        <v>155.94999999999999</v>
      </c>
      <c r="C356" s="148">
        <v>39.099997999999999</v>
      </c>
      <c r="D356" s="148">
        <v>2278.1999999999998</v>
      </c>
      <c r="E356" s="148">
        <v>1148.25</v>
      </c>
      <c r="F356" s="148">
        <v>1341.05</v>
      </c>
      <c r="G356" s="148">
        <v>1251.150024</v>
      </c>
      <c r="H356" s="148">
        <v>163.85</v>
      </c>
      <c r="I356" s="125">
        <v>1687.4499510000001</v>
      </c>
      <c r="J356">
        <f t="shared" si="41"/>
        <v>1.1348897535667965E-2</v>
      </c>
      <c r="K356">
        <f t="shared" si="42"/>
        <v>3.4391508846336204E-2</v>
      </c>
      <c r="L356">
        <f t="shared" si="43"/>
        <v>1.3772388474802456E-2</v>
      </c>
      <c r="M356">
        <f t="shared" si="44"/>
        <v>4.0661281021223371E-3</v>
      </c>
      <c r="N356">
        <f t="shared" si="45"/>
        <v>6.4165103189493091E-3</v>
      </c>
      <c r="O356">
        <f t="shared" si="46"/>
        <v>1.5502596680632157E-2</v>
      </c>
      <c r="P356">
        <f t="shared" si="47"/>
        <v>5.9146735617323892E-2</v>
      </c>
      <c r="Q356">
        <f t="shared" si="48"/>
        <v>-8.5487949471210016E-3</v>
      </c>
    </row>
    <row r="357" spans="1:17" x14ac:dyDescent="0.25">
      <c r="A357" s="139">
        <v>43594</v>
      </c>
      <c r="B357" s="148">
        <v>157.15</v>
      </c>
      <c r="C357" s="148">
        <v>39.150002000000001</v>
      </c>
      <c r="D357" s="148">
        <v>2291.75</v>
      </c>
      <c r="E357" s="148">
        <v>1145.4499510000001</v>
      </c>
      <c r="F357" s="148">
        <v>1354.2</v>
      </c>
      <c r="G357" s="148">
        <v>1256.4499510000001</v>
      </c>
      <c r="H357" s="148">
        <v>170.3</v>
      </c>
      <c r="I357" s="125">
        <v>1703.75</v>
      </c>
      <c r="J357">
        <f t="shared" si="41"/>
        <v>7.6947739660148586E-3</v>
      </c>
      <c r="K357">
        <f t="shared" si="42"/>
        <v>1.278874745722526E-3</v>
      </c>
      <c r="L357">
        <f t="shared" si="43"/>
        <v>5.9476779913967973E-3</v>
      </c>
      <c r="M357">
        <f t="shared" si="44"/>
        <v>-2.4385360330937901E-3</v>
      </c>
      <c r="N357">
        <f t="shared" si="45"/>
        <v>9.8057492263525538E-3</v>
      </c>
      <c r="O357">
        <f t="shared" si="46"/>
        <v>4.2360443578587379E-3</v>
      </c>
      <c r="P357">
        <f t="shared" si="47"/>
        <v>3.9365273115654666E-2</v>
      </c>
      <c r="Q357">
        <f t="shared" si="48"/>
        <v>9.6595747864049956E-3</v>
      </c>
    </row>
    <row r="358" spans="1:17" x14ac:dyDescent="0.25">
      <c r="A358" s="139">
        <v>43593</v>
      </c>
      <c r="B358" s="148">
        <v>159.4</v>
      </c>
      <c r="C358" s="148">
        <v>38.049999</v>
      </c>
      <c r="D358" s="148">
        <v>2289.9499999999998</v>
      </c>
      <c r="E358" s="148">
        <v>1153.619995</v>
      </c>
      <c r="F358" s="148">
        <v>1385.7</v>
      </c>
      <c r="G358" s="148">
        <v>1299.4499510000001</v>
      </c>
      <c r="H358" s="148">
        <v>160.75</v>
      </c>
      <c r="I358" s="125">
        <v>1688.6999510000001</v>
      </c>
      <c r="J358">
        <f t="shared" si="41"/>
        <v>1.4317531021317212E-2</v>
      </c>
      <c r="K358">
        <f t="shared" si="42"/>
        <v>-2.8097137772815462E-2</v>
      </c>
      <c r="L358">
        <f t="shared" si="43"/>
        <v>-7.8542598450973358E-4</v>
      </c>
      <c r="M358">
        <f t="shared" si="44"/>
        <v>7.1326067043499843E-3</v>
      </c>
      <c r="N358">
        <f t="shared" si="45"/>
        <v>2.3260965883916702E-2</v>
      </c>
      <c r="O358">
        <f t="shared" si="46"/>
        <v>3.4223408553421958E-2</v>
      </c>
      <c r="P358">
        <f t="shared" si="47"/>
        <v>-5.6077510275983622E-2</v>
      </c>
      <c r="Q358">
        <f t="shared" si="48"/>
        <v>-8.8334843727072305E-3</v>
      </c>
    </row>
    <row r="359" spans="1:17" x14ac:dyDescent="0.25">
      <c r="A359" s="139">
        <v>43592</v>
      </c>
      <c r="B359" s="148">
        <v>163.5</v>
      </c>
      <c r="C359" s="148">
        <v>39.450001</v>
      </c>
      <c r="D359" s="148">
        <v>2325.8000000000002</v>
      </c>
      <c r="E359" s="148">
        <v>1161.1800539999999</v>
      </c>
      <c r="F359" s="148">
        <v>1387.8</v>
      </c>
      <c r="G359" s="148">
        <v>1343.5</v>
      </c>
      <c r="H359" s="148">
        <v>164.75</v>
      </c>
      <c r="I359" s="125">
        <v>1697.5</v>
      </c>
      <c r="J359">
        <f t="shared" si="41"/>
        <v>2.5721455457967342E-2</v>
      </c>
      <c r="K359">
        <f t="shared" si="42"/>
        <v>3.6793746039257468E-2</v>
      </c>
      <c r="L359">
        <f t="shared" si="43"/>
        <v>1.565536365422842E-2</v>
      </c>
      <c r="M359">
        <f t="shared" si="44"/>
        <v>6.5533356155116837E-3</v>
      </c>
      <c r="N359">
        <f t="shared" si="45"/>
        <v>1.5154795410261305E-3</v>
      </c>
      <c r="O359">
        <f t="shared" si="46"/>
        <v>3.3898996237678065E-2</v>
      </c>
      <c r="P359">
        <f t="shared" si="47"/>
        <v>2.4883359253499222E-2</v>
      </c>
      <c r="Q359">
        <f t="shared" si="48"/>
        <v>5.2111383048177419E-3</v>
      </c>
    </row>
    <row r="360" spans="1:17" x14ac:dyDescent="0.25">
      <c r="A360" s="139">
        <v>43591</v>
      </c>
      <c r="B360" s="148">
        <v>166.75</v>
      </c>
      <c r="C360" s="148">
        <v>40.200001</v>
      </c>
      <c r="D360" s="148">
        <v>2342.6999999999998</v>
      </c>
      <c r="E360" s="148">
        <v>1164.219971</v>
      </c>
      <c r="F360" s="148">
        <v>1412.8</v>
      </c>
      <c r="G360" s="148">
        <v>1384.900024</v>
      </c>
      <c r="H360" s="148">
        <v>166.25</v>
      </c>
      <c r="I360" s="125">
        <v>1668.900024</v>
      </c>
      <c r="J360">
        <f t="shared" si="41"/>
        <v>1.9877675840978593E-2</v>
      </c>
      <c r="K360">
        <f t="shared" si="42"/>
        <v>1.9011406362195022E-2</v>
      </c>
      <c r="L360">
        <f t="shared" si="43"/>
        <v>7.2663169662050197E-3</v>
      </c>
      <c r="M360">
        <f t="shared" si="44"/>
        <v>2.6179548895352103E-3</v>
      </c>
      <c r="N360">
        <f t="shared" si="45"/>
        <v>1.8014123072488831E-2</v>
      </c>
      <c r="O360">
        <f t="shared" si="46"/>
        <v>3.0815053219203595E-2</v>
      </c>
      <c r="P360">
        <f t="shared" si="47"/>
        <v>9.104704097116844E-3</v>
      </c>
      <c r="Q360">
        <f t="shared" si="48"/>
        <v>-1.6848292194403518E-2</v>
      </c>
    </row>
    <row r="361" spans="1:17" x14ac:dyDescent="0.25">
      <c r="A361" s="139">
        <v>43588</v>
      </c>
      <c r="B361" s="148">
        <v>167.7</v>
      </c>
      <c r="C361" s="148">
        <v>41.900002000000001</v>
      </c>
      <c r="D361" s="148">
        <v>2352.9</v>
      </c>
      <c r="E361" s="148">
        <v>1183.969971</v>
      </c>
      <c r="F361" s="148">
        <v>1438.55</v>
      </c>
      <c r="G361" s="148">
        <v>1408.849976</v>
      </c>
      <c r="H361" s="148">
        <v>175.9</v>
      </c>
      <c r="I361" s="125">
        <v>1693.5500489999999</v>
      </c>
      <c r="J361">
        <f t="shared" si="41"/>
        <v>5.6971514242877882E-3</v>
      </c>
      <c r="K361">
        <f t="shared" si="42"/>
        <v>4.2288581037597493E-2</v>
      </c>
      <c r="L361">
        <f t="shared" si="43"/>
        <v>4.3539505698554117E-3</v>
      </c>
      <c r="M361">
        <f t="shared" si="44"/>
        <v>1.6964148092250858E-2</v>
      </c>
      <c r="N361">
        <f t="shared" si="45"/>
        <v>1.8226217440543601E-2</v>
      </c>
      <c r="O361">
        <f t="shared" si="46"/>
        <v>1.7293632453572648E-2</v>
      </c>
      <c r="P361">
        <f t="shared" si="47"/>
        <v>5.804511278195492E-2</v>
      </c>
      <c r="Q361">
        <f t="shared" si="48"/>
        <v>1.4770222688905607E-2</v>
      </c>
    </row>
    <row r="362" spans="1:17" x14ac:dyDescent="0.25">
      <c r="A362" s="139">
        <v>43587</v>
      </c>
      <c r="B362" s="148">
        <v>168.3</v>
      </c>
      <c r="C362" s="148">
        <v>41.799999</v>
      </c>
      <c r="D362" s="148">
        <v>2368.6</v>
      </c>
      <c r="E362" s="148">
        <v>1177.900024</v>
      </c>
      <c r="F362" s="148">
        <v>1436.6</v>
      </c>
      <c r="G362" s="148">
        <v>1405.0500489999999</v>
      </c>
      <c r="H362" s="148">
        <v>173.75</v>
      </c>
      <c r="I362" s="125">
        <v>1723.5500489999999</v>
      </c>
      <c r="J362">
        <f t="shared" si="41"/>
        <v>3.5778175313060392E-3</v>
      </c>
      <c r="K362">
        <f t="shared" si="42"/>
        <v>-2.3867063299901738E-3</v>
      </c>
      <c r="L362">
        <f t="shared" si="43"/>
        <v>6.672616770793411E-3</v>
      </c>
      <c r="M362">
        <f t="shared" si="44"/>
        <v>-5.1267744526266841E-3</v>
      </c>
      <c r="N362">
        <f t="shared" si="45"/>
        <v>-1.3555316116923607E-3</v>
      </c>
      <c r="O362">
        <f t="shared" si="46"/>
        <v>-2.697183564419513E-3</v>
      </c>
      <c r="P362">
        <f t="shared" si="47"/>
        <v>-1.2222853894258133E-2</v>
      </c>
      <c r="Q362">
        <f t="shared" si="48"/>
        <v>1.7714268331021139E-2</v>
      </c>
    </row>
    <row r="363" spans="1:17" x14ac:dyDescent="0.25">
      <c r="A363" s="139">
        <v>43585</v>
      </c>
      <c r="B363" s="148">
        <v>166.85</v>
      </c>
      <c r="C363" s="148">
        <v>40.049999</v>
      </c>
      <c r="D363" s="148">
        <v>2348.6</v>
      </c>
      <c r="E363" s="148">
        <v>1158.719971</v>
      </c>
      <c r="F363" s="148">
        <v>1463.15</v>
      </c>
      <c r="G363" s="148">
        <v>1392.8000489999999</v>
      </c>
      <c r="H363" s="148">
        <v>168</v>
      </c>
      <c r="I363" s="125">
        <v>1757.6999510000001</v>
      </c>
      <c r="J363">
        <f t="shared" si="41"/>
        <v>-8.6155674390969508E-3</v>
      </c>
      <c r="K363">
        <f t="shared" si="42"/>
        <v>-4.1866029709713627E-2</v>
      </c>
      <c r="L363">
        <f t="shared" si="43"/>
        <v>-8.4438064679557556E-3</v>
      </c>
      <c r="M363">
        <f t="shared" si="44"/>
        <v>-1.6283260556245682E-2</v>
      </c>
      <c r="N363">
        <f t="shared" si="45"/>
        <v>1.8481136015592498E-2</v>
      </c>
      <c r="O363">
        <f t="shared" si="46"/>
        <v>-8.718550637195132E-3</v>
      </c>
      <c r="P363">
        <f t="shared" si="47"/>
        <v>-3.3093525179856115E-2</v>
      </c>
      <c r="Q363">
        <f t="shared" si="48"/>
        <v>1.981369906827702E-2</v>
      </c>
    </row>
    <row r="364" spans="1:17" x14ac:dyDescent="0.25">
      <c r="A364" s="139">
        <v>43581</v>
      </c>
      <c r="B364" s="148">
        <v>169.7</v>
      </c>
      <c r="C364" s="148">
        <v>43</v>
      </c>
      <c r="D364" s="148">
        <v>2353.9499999999998</v>
      </c>
      <c r="E364" s="148">
        <v>1140.469971</v>
      </c>
      <c r="F364" s="148">
        <v>1448.75</v>
      </c>
      <c r="G364" s="148">
        <v>1392.8000489999999</v>
      </c>
      <c r="H364" s="148">
        <v>237.2</v>
      </c>
      <c r="I364" s="125">
        <v>1747.349976</v>
      </c>
      <c r="J364">
        <f t="shared" si="41"/>
        <v>1.7081210668264873E-2</v>
      </c>
      <c r="K364">
        <f t="shared" si="42"/>
        <v>7.3657954398450812E-2</v>
      </c>
      <c r="L364">
        <f t="shared" si="43"/>
        <v>2.2779528229583197E-3</v>
      </c>
      <c r="M364">
        <f t="shared" si="44"/>
        <v>-1.5750138477590804E-2</v>
      </c>
      <c r="N364">
        <f t="shared" si="45"/>
        <v>-9.8417797218330935E-3</v>
      </c>
      <c r="O364">
        <f t="shared" si="46"/>
        <v>0</v>
      </c>
      <c r="P364">
        <f t="shared" si="47"/>
        <v>0.41190476190476183</v>
      </c>
      <c r="Q364">
        <f t="shared" si="48"/>
        <v>-5.8883627971382272E-3</v>
      </c>
    </row>
    <row r="365" spans="1:17" x14ac:dyDescent="0.25">
      <c r="A365" s="139">
        <v>43580</v>
      </c>
      <c r="B365" s="148">
        <v>170.45</v>
      </c>
      <c r="C365" s="148">
        <v>43.799999</v>
      </c>
      <c r="D365" s="148">
        <v>2334.4</v>
      </c>
      <c r="E365" s="148">
        <v>1131.719971</v>
      </c>
      <c r="F365" s="148">
        <v>1447.95</v>
      </c>
      <c r="G365" s="148">
        <v>1372.400024</v>
      </c>
      <c r="H365" s="148">
        <v>237.05</v>
      </c>
      <c r="I365" s="125">
        <v>1734.1999510000001</v>
      </c>
      <c r="J365">
        <f t="shared" si="41"/>
        <v>4.4195639363582796E-3</v>
      </c>
      <c r="K365">
        <f t="shared" si="42"/>
        <v>1.8604627906976735E-2</v>
      </c>
      <c r="L365">
        <f t="shared" si="43"/>
        <v>-8.3051891501517566E-3</v>
      </c>
      <c r="M365">
        <f t="shared" si="44"/>
        <v>-7.6722756604698013E-3</v>
      </c>
      <c r="N365">
        <f t="shared" si="45"/>
        <v>-5.5220017256252252E-4</v>
      </c>
      <c r="O365">
        <f t="shared" si="46"/>
        <v>-1.4646772172823147E-2</v>
      </c>
      <c r="P365">
        <f t="shared" si="47"/>
        <v>-6.3237774030344544E-4</v>
      </c>
      <c r="Q365">
        <f t="shared" si="48"/>
        <v>-7.52569615739069E-3</v>
      </c>
    </row>
    <row r="366" spans="1:17" x14ac:dyDescent="0.25">
      <c r="A366" s="139">
        <v>43579</v>
      </c>
      <c r="B366" s="148">
        <v>174.8</v>
      </c>
      <c r="C366" s="148">
        <v>44.700001</v>
      </c>
      <c r="D366" s="148">
        <v>2311.9</v>
      </c>
      <c r="E366" s="148">
        <v>1139.880005</v>
      </c>
      <c r="F366" s="148">
        <v>1450.05</v>
      </c>
      <c r="G366" s="148">
        <v>1389.5</v>
      </c>
      <c r="H366" s="148">
        <v>239.15</v>
      </c>
      <c r="I366" s="125">
        <v>1752.599976</v>
      </c>
      <c r="J366">
        <f t="shared" si="41"/>
        <v>2.5520680551481507E-2</v>
      </c>
      <c r="K366">
        <f t="shared" si="42"/>
        <v>2.0547991336712146E-2</v>
      </c>
      <c r="L366">
        <f t="shared" si="43"/>
        <v>-9.6384509938313902E-3</v>
      </c>
      <c r="M366">
        <f t="shared" si="44"/>
        <v>7.2102942504316701E-3</v>
      </c>
      <c r="N366">
        <f t="shared" si="45"/>
        <v>1.4503263234227073E-3</v>
      </c>
      <c r="O366">
        <f t="shared" si="46"/>
        <v>1.2459906514836937E-2</v>
      </c>
      <c r="P366">
        <f t="shared" si="47"/>
        <v>8.8588905294241481E-3</v>
      </c>
      <c r="Q366">
        <f t="shared" si="48"/>
        <v>1.0610094291255066E-2</v>
      </c>
    </row>
    <row r="367" spans="1:17" x14ac:dyDescent="0.25">
      <c r="A367" s="139">
        <v>43578</v>
      </c>
      <c r="B367" s="148">
        <v>174.8</v>
      </c>
      <c r="C367" s="148">
        <v>44.200001</v>
      </c>
      <c r="D367" s="148">
        <v>2317.6</v>
      </c>
      <c r="E367" s="148">
        <v>1122.650024</v>
      </c>
      <c r="F367" s="148">
        <v>1431</v>
      </c>
      <c r="G367" s="148">
        <v>1363.849976</v>
      </c>
      <c r="H367" s="148">
        <v>232.7</v>
      </c>
      <c r="I367" s="125">
        <v>1744.1999510000001</v>
      </c>
      <c r="J367">
        <f t="shared" si="41"/>
        <v>0</v>
      </c>
      <c r="K367">
        <f t="shared" si="42"/>
        <v>-1.1185682076382951E-2</v>
      </c>
      <c r="L367">
        <f t="shared" si="43"/>
        <v>2.4655045633460867E-3</v>
      </c>
      <c r="M367">
        <f t="shared" si="44"/>
        <v>-1.5115609471542536E-2</v>
      </c>
      <c r="N367">
        <f t="shared" si="45"/>
        <v>-1.3137478017999348E-2</v>
      </c>
      <c r="O367">
        <f t="shared" si="46"/>
        <v>-1.8459894926232481E-2</v>
      </c>
      <c r="P367">
        <f t="shared" si="47"/>
        <v>-2.697052059376967E-2</v>
      </c>
      <c r="Q367">
        <f t="shared" si="48"/>
        <v>-4.7928934811305246E-3</v>
      </c>
    </row>
    <row r="368" spans="1:17" x14ac:dyDescent="0.25">
      <c r="A368" s="139">
        <v>43577</v>
      </c>
      <c r="B368" s="148">
        <v>175</v>
      </c>
      <c r="C368" s="148">
        <v>44.75</v>
      </c>
      <c r="D368" s="148">
        <v>2310.5</v>
      </c>
      <c r="E368" s="148">
        <v>1134.349976</v>
      </c>
      <c r="F368" s="148">
        <v>1443.35</v>
      </c>
      <c r="G368" s="148">
        <v>1345.349976</v>
      </c>
      <c r="H368" s="148">
        <v>238.35</v>
      </c>
      <c r="I368" s="125">
        <v>1739.849976</v>
      </c>
      <c r="J368">
        <f t="shared" si="41"/>
        <v>1.1441647597253354E-3</v>
      </c>
      <c r="K368">
        <f t="shared" si="42"/>
        <v>1.2443416008067504E-2</v>
      </c>
      <c r="L368">
        <f t="shared" si="43"/>
        <v>-3.06351397997925E-3</v>
      </c>
      <c r="M368">
        <f t="shared" si="44"/>
        <v>1.0421726940612384E-2</v>
      </c>
      <c r="N368">
        <f t="shared" si="45"/>
        <v>8.6303284416491335E-3</v>
      </c>
      <c r="O368">
        <f t="shared" si="46"/>
        <v>-1.3564541793854898E-2</v>
      </c>
      <c r="P368">
        <f t="shared" si="47"/>
        <v>2.4280189084658385E-2</v>
      </c>
      <c r="Q368">
        <f t="shared" si="48"/>
        <v>-2.4939657850042477E-3</v>
      </c>
    </row>
    <row r="369" spans="1:17" x14ac:dyDescent="0.25">
      <c r="A369" s="139">
        <v>43573</v>
      </c>
      <c r="B369" s="148">
        <v>178.6</v>
      </c>
      <c r="C369" s="148">
        <v>45</v>
      </c>
      <c r="D369" s="148">
        <v>2330.35</v>
      </c>
      <c r="E369" s="148">
        <v>1146.8199460000001</v>
      </c>
      <c r="F369" s="148">
        <v>1469.6</v>
      </c>
      <c r="G369" s="148">
        <v>1385.9499510000001</v>
      </c>
      <c r="H369" s="148">
        <v>255.8</v>
      </c>
      <c r="I369" s="125">
        <v>1739.900024</v>
      </c>
      <c r="J369">
        <f t="shared" si="41"/>
        <v>2.0571428571428539E-2</v>
      </c>
      <c r="K369">
        <f t="shared" si="42"/>
        <v>5.5865921787709499E-3</v>
      </c>
      <c r="L369">
        <f t="shared" si="43"/>
        <v>8.5912140229387184E-3</v>
      </c>
      <c r="M369">
        <f t="shared" si="44"/>
        <v>1.0993053523016166E-2</v>
      </c>
      <c r="N369">
        <f t="shared" si="45"/>
        <v>1.8186856964700179E-2</v>
      </c>
      <c r="O369">
        <f t="shared" si="46"/>
        <v>3.0178002545264912E-2</v>
      </c>
      <c r="P369">
        <f t="shared" si="47"/>
        <v>7.3211663520033637E-2</v>
      </c>
      <c r="Q369">
        <f t="shared" si="48"/>
        <v>2.8765698589210263E-5</v>
      </c>
    </row>
    <row r="370" spans="1:17" x14ac:dyDescent="0.25">
      <c r="A370" s="139">
        <v>43571</v>
      </c>
      <c r="B370" s="148">
        <v>184.95</v>
      </c>
      <c r="C370" s="148">
        <v>44.5</v>
      </c>
      <c r="D370" s="148">
        <v>2331.8000000000002</v>
      </c>
      <c r="E370" s="148">
        <v>1152.530029</v>
      </c>
      <c r="F370" s="148">
        <v>1459</v>
      </c>
      <c r="G370" s="148">
        <v>1343.75</v>
      </c>
      <c r="H370" s="148">
        <v>266.45</v>
      </c>
      <c r="I370" s="125">
        <v>1738.5500489999999</v>
      </c>
      <c r="J370">
        <f t="shared" si="41"/>
        <v>3.5554311310190337E-2</v>
      </c>
      <c r="K370">
        <f t="shared" si="42"/>
        <v>-1.1111111111111112E-2</v>
      </c>
      <c r="L370">
        <f t="shared" si="43"/>
        <v>6.2222412942273598E-4</v>
      </c>
      <c r="M370">
        <f t="shared" si="44"/>
        <v>4.9790579767261395E-3</v>
      </c>
      <c r="N370">
        <f t="shared" si="45"/>
        <v>-7.2128470332062534E-3</v>
      </c>
      <c r="O370">
        <f t="shared" si="46"/>
        <v>-3.0448394597187046E-2</v>
      </c>
      <c r="P370">
        <f t="shared" si="47"/>
        <v>4.1634089132134386E-2</v>
      </c>
      <c r="Q370">
        <f t="shared" si="48"/>
        <v>-7.7589228195796948E-4</v>
      </c>
    </row>
    <row r="371" spans="1:17" x14ac:dyDescent="0.25">
      <c r="A371" s="139">
        <v>43570</v>
      </c>
      <c r="B371" s="148">
        <v>184.7</v>
      </c>
      <c r="C371" s="148">
        <v>37.450001</v>
      </c>
      <c r="D371" s="148">
        <v>2352.9499999999998</v>
      </c>
      <c r="E371" s="148">
        <v>1144.400024</v>
      </c>
      <c r="F371" s="148">
        <v>1431.55</v>
      </c>
      <c r="G371" s="148">
        <v>1340.150024</v>
      </c>
      <c r="H371" s="148">
        <v>265.5</v>
      </c>
      <c r="I371" s="125">
        <v>1722.0500489999999</v>
      </c>
      <c r="J371">
        <f t="shared" si="41"/>
        <v>-1.3517166801838335E-3</v>
      </c>
      <c r="K371">
        <f t="shared" si="42"/>
        <v>-0.15842694382022471</v>
      </c>
      <c r="L371">
        <f t="shared" si="43"/>
        <v>9.0702461617632874E-3</v>
      </c>
      <c r="M371">
        <f t="shared" si="44"/>
        <v>-7.054050476284799E-3</v>
      </c>
      <c r="N371">
        <f t="shared" si="45"/>
        <v>-1.8814256339958906E-2</v>
      </c>
      <c r="O371">
        <f t="shared" si="46"/>
        <v>-2.6790519069767216E-3</v>
      </c>
      <c r="P371">
        <f t="shared" si="47"/>
        <v>-3.565396884968995E-3</v>
      </c>
      <c r="Q371">
        <f t="shared" si="48"/>
        <v>-9.4906672427927333E-3</v>
      </c>
    </row>
    <row r="372" spans="1:17" x14ac:dyDescent="0.25">
      <c r="A372" s="139">
        <v>43567</v>
      </c>
      <c r="B372" s="148">
        <v>183.9</v>
      </c>
      <c r="C372" s="148">
        <v>37</v>
      </c>
      <c r="D372" s="148">
        <v>2410.85</v>
      </c>
      <c r="E372" s="148">
        <v>1132.619995</v>
      </c>
      <c r="F372" s="148">
        <v>1438.65</v>
      </c>
      <c r="G372" s="148">
        <v>1343.099976</v>
      </c>
      <c r="H372" s="148">
        <v>267.89999999999998</v>
      </c>
      <c r="I372" s="125">
        <v>1721.650024</v>
      </c>
      <c r="J372">
        <f t="shared" si="41"/>
        <v>-4.3313481321060263E-3</v>
      </c>
      <c r="K372">
        <f t="shared" si="42"/>
        <v>-1.2016047743229709E-2</v>
      </c>
      <c r="L372">
        <f t="shared" si="43"/>
        <v>2.4607407722221083E-2</v>
      </c>
      <c r="M372">
        <f t="shared" si="44"/>
        <v>-1.0293628760007797E-2</v>
      </c>
      <c r="N372">
        <f t="shared" si="45"/>
        <v>4.9596591107541731E-3</v>
      </c>
      <c r="O372">
        <f t="shared" si="46"/>
        <v>2.2012102728581821E-3</v>
      </c>
      <c r="P372">
        <f t="shared" si="47"/>
        <v>9.0395480225987836E-3</v>
      </c>
      <c r="Q372">
        <f t="shared" si="48"/>
        <v>-2.322958036162828E-4</v>
      </c>
    </row>
    <row r="373" spans="1:17" x14ac:dyDescent="0.25">
      <c r="A373" s="139">
        <v>43566</v>
      </c>
      <c r="B373" s="148">
        <v>181.15</v>
      </c>
      <c r="C373" s="148">
        <v>36</v>
      </c>
      <c r="D373" s="148">
        <v>2389.6999999999998</v>
      </c>
      <c r="E373" s="148">
        <v>1128.75</v>
      </c>
      <c r="F373" s="148">
        <v>1423.15</v>
      </c>
      <c r="G373" s="148">
        <v>1346.8000489999999</v>
      </c>
      <c r="H373" s="148">
        <v>269.05</v>
      </c>
      <c r="I373" s="125">
        <v>1710.400024</v>
      </c>
      <c r="J373">
        <f t="shared" si="41"/>
        <v>-1.4953779227841217E-2</v>
      </c>
      <c r="K373">
        <f t="shared" si="42"/>
        <v>-2.7027027027027029E-2</v>
      </c>
      <c r="L373">
        <f t="shared" si="43"/>
        <v>-8.7728394549640553E-3</v>
      </c>
      <c r="M373">
        <f t="shared" si="44"/>
        <v>-3.4168520925679201E-3</v>
      </c>
      <c r="N373">
        <f t="shared" si="45"/>
        <v>-1.0773989504048934E-2</v>
      </c>
      <c r="O373">
        <f t="shared" si="46"/>
        <v>2.7548753377388004E-3</v>
      </c>
      <c r="P373">
        <f t="shared" si="47"/>
        <v>4.2926465098918785E-3</v>
      </c>
      <c r="Q373">
        <f t="shared" si="48"/>
        <v>-6.5344290902179317E-3</v>
      </c>
    </row>
    <row r="374" spans="1:17" x14ac:dyDescent="0.25">
      <c r="A374" s="139">
        <v>43565</v>
      </c>
      <c r="B374" s="148">
        <v>188.5</v>
      </c>
      <c r="C374" s="148">
        <v>36.950001</v>
      </c>
      <c r="D374" s="148">
        <v>2404</v>
      </c>
      <c r="E374" s="148">
        <v>1118.6800539999999</v>
      </c>
      <c r="F374" s="148">
        <v>1409.85</v>
      </c>
      <c r="G374" s="148">
        <v>1331.400024</v>
      </c>
      <c r="H374" s="148">
        <v>268.25</v>
      </c>
      <c r="I374" s="125">
        <v>1694.150024</v>
      </c>
      <c r="J374">
        <f t="shared" si="41"/>
        <v>4.0574109853712362E-2</v>
      </c>
      <c r="K374">
        <f t="shared" si="42"/>
        <v>2.6388916666666675E-2</v>
      </c>
      <c r="L374">
        <f t="shared" si="43"/>
        <v>5.9840147298824888E-3</v>
      </c>
      <c r="M374">
        <f t="shared" si="44"/>
        <v>-8.9213253599114712E-3</v>
      </c>
      <c r="N374">
        <f t="shared" si="45"/>
        <v>-9.3454660436357237E-3</v>
      </c>
      <c r="O374">
        <f t="shared" si="46"/>
        <v>-1.1434529581012745E-2</v>
      </c>
      <c r="P374">
        <f t="shared" si="47"/>
        <v>-2.9734250139379719E-3</v>
      </c>
      <c r="Q374">
        <f t="shared" si="48"/>
        <v>-9.5007014569592867E-3</v>
      </c>
    </row>
    <row r="375" spans="1:17" x14ac:dyDescent="0.25">
      <c r="A375" s="139">
        <v>43564</v>
      </c>
      <c r="B375" s="148">
        <v>190</v>
      </c>
      <c r="C375" s="148">
        <v>37</v>
      </c>
      <c r="D375" s="148">
        <v>2382.9499999999998</v>
      </c>
      <c r="E375" s="148">
        <v>1143.619995</v>
      </c>
      <c r="F375" s="148">
        <v>1444.85</v>
      </c>
      <c r="G375" s="148">
        <v>1334.4499510000001</v>
      </c>
      <c r="H375" s="148">
        <v>270.60000000000002</v>
      </c>
      <c r="I375" s="125">
        <v>1680.5</v>
      </c>
      <c r="J375">
        <f t="shared" si="41"/>
        <v>7.9575596816976128E-3</v>
      </c>
      <c r="K375">
        <f t="shared" si="42"/>
        <v>1.3531528727157459E-3</v>
      </c>
      <c r="L375">
        <f t="shared" si="43"/>
        <v>-8.7562396006656325E-3</v>
      </c>
      <c r="M375">
        <f t="shared" si="44"/>
        <v>2.229407855340209E-2</v>
      </c>
      <c r="N375">
        <f t="shared" si="45"/>
        <v>2.4825336028655533E-2</v>
      </c>
      <c r="O375">
        <f t="shared" si="46"/>
        <v>2.2907668206561677E-3</v>
      </c>
      <c r="P375">
        <f t="shared" si="47"/>
        <v>8.7604846225536725E-3</v>
      </c>
      <c r="Q375">
        <f t="shared" si="48"/>
        <v>-8.0571518499710088E-3</v>
      </c>
    </row>
    <row r="376" spans="1:17" x14ac:dyDescent="0.25">
      <c r="A376" s="139">
        <v>43563</v>
      </c>
      <c r="B376" s="148">
        <v>186.65</v>
      </c>
      <c r="C376" s="148">
        <v>36.25</v>
      </c>
      <c r="D376" s="148">
        <v>2385.1999999999998</v>
      </c>
      <c r="E376" s="148">
        <v>1144.6999510000001</v>
      </c>
      <c r="F376" s="148">
        <v>1496.35</v>
      </c>
      <c r="G376" s="148">
        <v>1329.25</v>
      </c>
      <c r="H376" s="148">
        <v>260.05</v>
      </c>
      <c r="I376" s="125">
        <v>1664.900024</v>
      </c>
      <c r="J376">
        <f t="shared" si="41"/>
        <v>-1.7631578947368391E-2</v>
      </c>
      <c r="K376">
        <f t="shared" si="42"/>
        <v>-2.0270270270270271E-2</v>
      </c>
      <c r="L376">
        <f t="shared" si="43"/>
        <v>9.4420780964770562E-4</v>
      </c>
      <c r="M376">
        <f t="shared" si="44"/>
        <v>9.4433116308012641E-4</v>
      </c>
      <c r="N376">
        <f t="shared" si="45"/>
        <v>3.5643838460739874E-2</v>
      </c>
      <c r="O376">
        <f t="shared" si="46"/>
        <v>-3.8966999070316239E-3</v>
      </c>
      <c r="P376">
        <f t="shared" si="47"/>
        <v>-3.8987435328898784E-2</v>
      </c>
      <c r="Q376">
        <f t="shared" si="48"/>
        <v>-9.2829372210651417E-3</v>
      </c>
    </row>
    <row r="377" spans="1:17" x14ac:dyDescent="0.25">
      <c r="A377" s="139">
        <v>43560</v>
      </c>
      <c r="B377" s="148">
        <v>191.7</v>
      </c>
      <c r="C377" s="148">
        <v>36.650002000000001</v>
      </c>
      <c r="D377" s="148">
        <v>2387.0500000000002</v>
      </c>
      <c r="E377" s="148">
        <v>1152.8000489999999</v>
      </c>
      <c r="F377" s="148">
        <v>1514.45</v>
      </c>
      <c r="G377" s="148">
        <v>1353.900024</v>
      </c>
      <c r="H377" s="148">
        <v>266.85000000000002</v>
      </c>
      <c r="I377" s="125">
        <v>1659.099976</v>
      </c>
      <c r="J377">
        <f t="shared" si="41"/>
        <v>2.7055987141708988E-2</v>
      </c>
      <c r="K377">
        <f t="shared" si="42"/>
        <v>1.10345379310345E-2</v>
      </c>
      <c r="L377">
        <f t="shared" si="43"/>
        <v>7.7561630052002512E-4</v>
      </c>
      <c r="M377">
        <f t="shared" si="44"/>
        <v>7.0761757200423683E-3</v>
      </c>
      <c r="N377">
        <f t="shared" si="45"/>
        <v>1.2096100511244118E-2</v>
      </c>
      <c r="O377">
        <f t="shared" si="46"/>
        <v>1.8544309949219507E-2</v>
      </c>
      <c r="P377">
        <f t="shared" si="47"/>
        <v>2.614881753508945E-2</v>
      </c>
      <c r="Q377">
        <f t="shared" si="48"/>
        <v>-3.4837214946187426E-3</v>
      </c>
    </row>
    <row r="378" spans="1:17" x14ac:dyDescent="0.25">
      <c r="A378" s="139">
        <v>43559</v>
      </c>
      <c r="B378" s="148">
        <v>187.2</v>
      </c>
      <c r="C378" s="148">
        <v>36.950001</v>
      </c>
      <c r="D378" s="148">
        <v>2385.3000000000002</v>
      </c>
      <c r="E378" s="148">
        <v>1141.969971</v>
      </c>
      <c r="F378" s="148">
        <v>1519</v>
      </c>
      <c r="G378" s="148">
        <v>1353.0500489999999</v>
      </c>
      <c r="H378" s="148">
        <v>268.05</v>
      </c>
      <c r="I378" s="125">
        <v>1666.5500489999999</v>
      </c>
      <c r="J378">
        <f t="shared" si="41"/>
        <v>-2.3474178403755871E-2</v>
      </c>
      <c r="K378">
        <f t="shared" si="42"/>
        <v>8.1855111494946071E-3</v>
      </c>
      <c r="L378">
        <f t="shared" si="43"/>
        <v>-7.3312247334576146E-4</v>
      </c>
      <c r="M378">
        <f t="shared" si="44"/>
        <v>-9.3945849580719075E-3</v>
      </c>
      <c r="N378">
        <f t="shared" si="45"/>
        <v>3.0043910330482711E-3</v>
      </c>
      <c r="O378">
        <f t="shared" si="46"/>
        <v>-6.2779746283547289E-4</v>
      </c>
      <c r="P378">
        <f t="shared" si="47"/>
        <v>4.496908375491806E-3</v>
      </c>
      <c r="Q378">
        <f t="shared" si="48"/>
        <v>4.4904304187633687E-3</v>
      </c>
    </row>
    <row r="379" spans="1:17" x14ac:dyDescent="0.25">
      <c r="A379" s="139">
        <v>43558</v>
      </c>
      <c r="B379" s="148">
        <v>185.8</v>
      </c>
      <c r="C379" s="148">
        <v>37.25</v>
      </c>
      <c r="D379" s="148">
        <v>2376.6</v>
      </c>
      <c r="E379" s="148">
        <v>1146.380005</v>
      </c>
      <c r="F379" s="148">
        <v>1497.6</v>
      </c>
      <c r="G379" s="148">
        <v>1375.1999510000001</v>
      </c>
      <c r="H379" s="148">
        <v>273.7</v>
      </c>
      <c r="I379" s="125">
        <v>1670.8000489999999</v>
      </c>
      <c r="J379">
        <f t="shared" si="41"/>
        <v>-7.4786324786323575E-3</v>
      </c>
      <c r="K379">
        <f t="shared" si="42"/>
        <v>8.11905255428815E-3</v>
      </c>
      <c r="L379">
        <f t="shared" si="43"/>
        <v>-3.6473399572381974E-3</v>
      </c>
      <c r="M379">
        <f t="shared" si="44"/>
        <v>3.861777552817977E-3</v>
      </c>
      <c r="N379">
        <f t="shared" si="45"/>
        <v>-1.4088215931533964E-2</v>
      </c>
      <c r="O379">
        <f t="shared" si="46"/>
        <v>1.6370349357269127E-2</v>
      </c>
      <c r="P379">
        <f t="shared" si="47"/>
        <v>2.1078157060249868E-2</v>
      </c>
      <c r="Q379">
        <f t="shared" si="48"/>
        <v>2.55017843751538E-3</v>
      </c>
    </row>
    <row r="380" spans="1:17" x14ac:dyDescent="0.25">
      <c r="A380" s="139">
        <v>43557</v>
      </c>
      <c r="B380" s="148">
        <v>187.9</v>
      </c>
      <c r="C380" s="148">
        <v>37.75</v>
      </c>
      <c r="D380" s="148">
        <v>2382.1999999999998</v>
      </c>
      <c r="E380" s="148">
        <v>1147.4300539999999</v>
      </c>
      <c r="F380" s="148">
        <v>1519.3</v>
      </c>
      <c r="G380" s="148">
        <v>1389.6999510000001</v>
      </c>
      <c r="H380" s="148">
        <v>280.3</v>
      </c>
      <c r="I380" s="125">
        <v>1687.150024</v>
      </c>
      <c r="J380">
        <f t="shared" si="41"/>
        <v>1.1302475780409011E-2</v>
      </c>
      <c r="K380">
        <f t="shared" si="42"/>
        <v>1.3422818791946308E-2</v>
      </c>
      <c r="L380">
        <f t="shared" si="43"/>
        <v>2.3563073297988343E-3</v>
      </c>
      <c r="M380">
        <f t="shared" si="44"/>
        <v>9.1596939533147609E-4</v>
      </c>
      <c r="N380">
        <f t="shared" si="45"/>
        <v>1.4489850427350459E-2</v>
      </c>
      <c r="O380">
        <f t="shared" si="46"/>
        <v>1.0543921259927386E-2</v>
      </c>
      <c r="P380">
        <f t="shared" si="47"/>
        <v>2.4113993423456423E-2</v>
      </c>
      <c r="Q380">
        <f t="shared" si="48"/>
        <v>9.7857161362820185E-3</v>
      </c>
    </row>
    <row r="381" spans="1:17" x14ac:dyDescent="0.25">
      <c r="A381" s="139">
        <v>43556</v>
      </c>
      <c r="B381" s="148">
        <v>188.9</v>
      </c>
      <c r="C381" s="148">
        <v>38.700001</v>
      </c>
      <c r="D381" s="148">
        <v>2379.4</v>
      </c>
      <c r="E381" s="148">
        <v>1155.900024</v>
      </c>
      <c r="F381" s="148">
        <v>1492.75</v>
      </c>
      <c r="G381" s="148">
        <v>1391.849976</v>
      </c>
      <c r="H381" s="148">
        <v>275.89999999999998</v>
      </c>
      <c r="I381" s="125">
        <v>1690</v>
      </c>
      <c r="J381">
        <f t="shared" si="41"/>
        <v>5.3219797764768491E-3</v>
      </c>
      <c r="K381">
        <f t="shared" si="42"/>
        <v>2.516558940397352E-2</v>
      </c>
      <c r="L381">
        <f t="shared" si="43"/>
        <v>-1.1753840987321499E-3</v>
      </c>
      <c r="M381">
        <f t="shared" si="44"/>
        <v>7.3816874244084455E-3</v>
      </c>
      <c r="N381">
        <f t="shared" si="45"/>
        <v>-1.7475153031001091E-2</v>
      </c>
      <c r="O381">
        <f t="shared" si="46"/>
        <v>1.5471145396909595E-3</v>
      </c>
      <c r="P381">
        <f t="shared" si="47"/>
        <v>-1.5697466999643361E-2</v>
      </c>
      <c r="Q381">
        <f t="shared" si="48"/>
        <v>1.6892250004199802E-3</v>
      </c>
    </row>
    <row r="382" spans="1:17" x14ac:dyDescent="0.25">
      <c r="A382" s="139">
        <v>43553</v>
      </c>
      <c r="B382" s="148">
        <v>184.45</v>
      </c>
      <c r="C382" s="148">
        <v>35.849997999999999</v>
      </c>
      <c r="D382" s="148">
        <v>2351</v>
      </c>
      <c r="E382" s="148">
        <v>1151.400024</v>
      </c>
      <c r="F382" s="148">
        <v>1492.7</v>
      </c>
      <c r="G382" s="148">
        <v>1360</v>
      </c>
      <c r="H382" s="148">
        <v>275.10000000000002</v>
      </c>
      <c r="I382" s="125">
        <v>1683.900024</v>
      </c>
      <c r="J382">
        <f t="shared" si="41"/>
        <v>-2.3557437797776692E-2</v>
      </c>
      <c r="K382">
        <f t="shared" si="42"/>
        <v>-7.3643486469160579E-2</v>
      </c>
      <c r="L382">
        <f t="shared" si="43"/>
        <v>-1.1935782129948764E-2</v>
      </c>
      <c r="M382">
        <f t="shared" si="44"/>
        <v>-3.8930702539720684E-3</v>
      </c>
      <c r="N382">
        <f t="shared" si="45"/>
        <v>-3.3495226930131991E-5</v>
      </c>
      <c r="O382">
        <f t="shared" si="46"/>
        <v>-2.2883196141248466E-2</v>
      </c>
      <c r="P382">
        <f t="shared" si="47"/>
        <v>-2.8996013048204227E-3</v>
      </c>
      <c r="Q382">
        <f t="shared" si="48"/>
        <v>-3.6094532544378517E-3</v>
      </c>
    </row>
    <row r="383" spans="1:17" x14ac:dyDescent="0.25">
      <c r="A383" s="139">
        <v>43552</v>
      </c>
      <c r="B383" s="148">
        <v>178.05</v>
      </c>
      <c r="C383" s="148">
        <v>35.849997999999999</v>
      </c>
      <c r="D383" s="148">
        <v>2364</v>
      </c>
      <c r="E383" s="148">
        <v>1151.400024</v>
      </c>
      <c r="F383" s="148">
        <v>1497</v>
      </c>
      <c r="G383" s="148">
        <v>1360</v>
      </c>
      <c r="H383" s="148">
        <v>276.10000000000002</v>
      </c>
      <c r="I383" s="125">
        <v>1683.900024</v>
      </c>
      <c r="J383">
        <f t="shared" si="41"/>
        <v>-3.4697750067768922E-2</v>
      </c>
      <c r="K383">
        <f t="shared" si="42"/>
        <v>0</v>
      </c>
      <c r="L383">
        <f t="shared" si="43"/>
        <v>5.5295618885580601E-3</v>
      </c>
      <c r="M383">
        <f t="shared" si="44"/>
        <v>0</v>
      </c>
      <c r="N383">
        <f t="shared" si="45"/>
        <v>2.8806860052253999E-3</v>
      </c>
      <c r="O383">
        <f t="shared" si="46"/>
        <v>0</v>
      </c>
      <c r="P383">
        <f t="shared" si="47"/>
        <v>3.6350418029807339E-3</v>
      </c>
      <c r="Q383">
        <f t="shared" si="48"/>
        <v>0</v>
      </c>
    </row>
    <row r="384" spans="1:17" x14ac:dyDescent="0.25">
      <c r="A384" s="139">
        <v>43551</v>
      </c>
      <c r="B384" s="148">
        <v>175.45</v>
      </c>
      <c r="C384" s="148">
        <v>35.549999</v>
      </c>
      <c r="D384" s="148">
        <v>2358.4</v>
      </c>
      <c r="E384" s="148">
        <v>1149.719971</v>
      </c>
      <c r="F384" s="148">
        <v>1472.05</v>
      </c>
      <c r="G384" s="148">
        <v>1349.25</v>
      </c>
      <c r="H384" s="148">
        <v>268.45</v>
      </c>
      <c r="I384" s="125">
        <v>1680.8000489999999</v>
      </c>
      <c r="J384">
        <f t="shared" si="41"/>
        <v>-1.4602639707947333E-2</v>
      </c>
      <c r="K384">
        <f t="shared" si="42"/>
        <v>-8.3681734096609905E-3</v>
      </c>
      <c r="L384">
        <f t="shared" si="43"/>
        <v>-2.3688663282571527E-3</v>
      </c>
      <c r="M384">
        <f t="shared" si="44"/>
        <v>-1.4591392782531709E-3</v>
      </c>
      <c r="N384">
        <f t="shared" si="45"/>
        <v>-1.6666666666666698E-2</v>
      </c>
      <c r="O384">
        <f t="shared" si="46"/>
        <v>-7.904411764705882E-3</v>
      </c>
      <c r="P384">
        <f t="shared" si="47"/>
        <v>-2.7707352408547749E-2</v>
      </c>
      <c r="Q384">
        <f t="shared" si="48"/>
        <v>-1.8409495550907396E-3</v>
      </c>
    </row>
    <row r="385" spans="1:17" x14ac:dyDescent="0.25">
      <c r="A385" s="139">
        <v>43550</v>
      </c>
      <c r="B385" s="148">
        <v>173.6</v>
      </c>
      <c r="C385" s="148">
        <v>35.950001</v>
      </c>
      <c r="D385" s="148">
        <v>2395.35</v>
      </c>
      <c r="E385" s="148">
        <v>1155.6800539999999</v>
      </c>
      <c r="F385" s="148">
        <v>1485.05</v>
      </c>
      <c r="G385" s="148">
        <v>1367.25</v>
      </c>
      <c r="H385" s="148">
        <v>253.7</v>
      </c>
      <c r="I385" s="125">
        <v>1683.8000489999999</v>
      </c>
      <c r="J385">
        <f t="shared" si="41"/>
        <v>-1.0544314619549697E-2</v>
      </c>
      <c r="K385">
        <f t="shared" si="42"/>
        <v>1.1251814662498321E-2</v>
      </c>
      <c r="L385">
        <f t="shared" si="43"/>
        <v>1.5667401628222447E-2</v>
      </c>
      <c r="M385">
        <f t="shared" si="44"/>
        <v>5.1839431777600574E-3</v>
      </c>
      <c r="N385">
        <f t="shared" si="45"/>
        <v>8.8312217655650282E-3</v>
      </c>
      <c r="O385">
        <f t="shared" si="46"/>
        <v>1.3340744858254585E-2</v>
      </c>
      <c r="P385">
        <f t="shared" si="47"/>
        <v>-5.4945054945054944E-2</v>
      </c>
      <c r="Q385">
        <f t="shared" si="48"/>
        <v>1.7848642982756125E-3</v>
      </c>
    </row>
    <row r="386" spans="1:17" x14ac:dyDescent="0.25">
      <c r="A386" s="139">
        <v>43549</v>
      </c>
      <c r="B386" s="148">
        <v>168.25</v>
      </c>
      <c r="C386" s="148">
        <v>35.150002000000001</v>
      </c>
      <c r="D386" s="148">
        <v>2374.85</v>
      </c>
      <c r="E386" s="148">
        <v>1140.650024</v>
      </c>
      <c r="F386" s="148">
        <v>1457.55</v>
      </c>
      <c r="G386" s="148">
        <v>1324.4499510000001</v>
      </c>
      <c r="H386" s="148">
        <v>247.25</v>
      </c>
      <c r="I386" s="125">
        <v>1673.849976</v>
      </c>
      <c r="J386">
        <f t="shared" si="41"/>
        <v>-3.0817972350230382E-2</v>
      </c>
      <c r="K386">
        <f t="shared" si="42"/>
        <v>-2.2253100910901217E-2</v>
      </c>
      <c r="L386">
        <f t="shared" si="43"/>
        <v>-8.5582482726950133E-3</v>
      </c>
      <c r="M386">
        <f t="shared" si="44"/>
        <v>-1.3005355546267737E-2</v>
      </c>
      <c r="N386">
        <f t="shared" si="45"/>
        <v>-1.8517895020369685E-2</v>
      </c>
      <c r="O386">
        <f t="shared" si="46"/>
        <v>-3.130374766867796E-2</v>
      </c>
      <c r="P386">
        <f t="shared" si="47"/>
        <v>-2.5423728813559279E-2</v>
      </c>
      <c r="Q386">
        <f t="shared" si="48"/>
        <v>-5.909296062741696E-3</v>
      </c>
    </row>
    <row r="387" spans="1:17" x14ac:dyDescent="0.25">
      <c r="A387" s="139">
        <v>43546</v>
      </c>
      <c r="B387" s="148">
        <v>173.9</v>
      </c>
      <c r="C387" s="148">
        <v>36</v>
      </c>
      <c r="D387" s="148">
        <v>2470.9</v>
      </c>
      <c r="E387" s="148">
        <v>1138.0699460000001</v>
      </c>
      <c r="F387" s="148">
        <v>1471.25</v>
      </c>
      <c r="G387" s="148">
        <v>1341.75</v>
      </c>
      <c r="H387" s="148">
        <v>252.6</v>
      </c>
      <c r="I387" s="125">
        <v>1678.0500489999999</v>
      </c>
      <c r="J387">
        <f t="shared" si="41"/>
        <v>3.358098068350672E-2</v>
      </c>
      <c r="K387">
        <f t="shared" si="42"/>
        <v>2.4182018538718698E-2</v>
      </c>
      <c r="L387">
        <f t="shared" si="43"/>
        <v>4.0444659662715619E-2</v>
      </c>
      <c r="M387">
        <f t="shared" si="44"/>
        <v>-2.2619365674952704E-3</v>
      </c>
      <c r="N387">
        <f t="shared" si="45"/>
        <v>9.3993344996741428E-3</v>
      </c>
      <c r="O387">
        <f t="shared" si="46"/>
        <v>1.3062063226275844E-2</v>
      </c>
      <c r="P387">
        <f t="shared" si="47"/>
        <v>2.16380182002022E-2</v>
      </c>
      <c r="Q387">
        <f t="shared" si="48"/>
        <v>2.5092290588890715E-3</v>
      </c>
    </row>
    <row r="388" spans="1:17" x14ac:dyDescent="0.25">
      <c r="A388" s="139">
        <v>43544</v>
      </c>
      <c r="B388" s="148">
        <v>174.55</v>
      </c>
      <c r="C388" s="148">
        <v>36.450001</v>
      </c>
      <c r="D388" s="148">
        <v>2506.4499999999998</v>
      </c>
      <c r="E388" s="148">
        <v>1149.5</v>
      </c>
      <c r="F388" s="148">
        <v>1456.15</v>
      </c>
      <c r="G388" s="148">
        <v>1375.4499510000001</v>
      </c>
      <c r="H388" s="148">
        <v>252.15</v>
      </c>
      <c r="I388" s="125">
        <v>1687.5500489999999</v>
      </c>
      <c r="J388">
        <f t="shared" ref="J388:J451" si="49">(B388-B387)/B387</f>
        <v>3.737780333525047E-3</v>
      </c>
      <c r="K388">
        <f t="shared" ref="K388:K451" si="50">(C388-C387)/C387</f>
        <v>1.2500027777777787E-2</v>
      </c>
      <c r="L388">
        <f t="shared" ref="L388:L451" si="51">(D388-D387)/D387</f>
        <v>1.4387470152575873E-2</v>
      </c>
      <c r="M388">
        <f t="shared" ref="M388:M451" si="52">(E388-E387)/E387</f>
        <v>1.0043366877557389E-2</v>
      </c>
      <c r="N388">
        <f t="shared" ref="N388:N451" si="53">(F388-F387)/F387</f>
        <v>-1.0263381478334688E-2</v>
      </c>
      <c r="O388">
        <f t="shared" ref="O388:O451" si="54">(G388-G387)/G387</f>
        <v>2.5116415874790427E-2</v>
      </c>
      <c r="P388">
        <f t="shared" ref="P388:P451" si="55">(H388-H387)/H387</f>
        <v>-1.7814726840854657E-3</v>
      </c>
      <c r="Q388">
        <f t="shared" ref="Q388:Q451" si="56">(I388-I387)/I387</f>
        <v>5.6613329296473208E-3</v>
      </c>
    </row>
    <row r="389" spans="1:17" x14ac:dyDescent="0.25">
      <c r="A389" s="139">
        <v>43543</v>
      </c>
      <c r="B389" s="148">
        <v>172.7</v>
      </c>
      <c r="C389" s="148">
        <v>37.099997999999999</v>
      </c>
      <c r="D389" s="148">
        <v>2507.85</v>
      </c>
      <c r="E389" s="148">
        <v>1133.880005</v>
      </c>
      <c r="F389" s="148">
        <v>1453.9</v>
      </c>
      <c r="G389" s="148">
        <v>1376.5500489999999</v>
      </c>
      <c r="H389" s="148">
        <v>248.8</v>
      </c>
      <c r="I389" s="125">
        <v>1699.650024</v>
      </c>
      <c r="J389">
        <f t="shared" si="49"/>
        <v>-1.0598682325981225E-2</v>
      </c>
      <c r="K389">
        <f t="shared" si="50"/>
        <v>1.7832564668516716E-2</v>
      </c>
      <c r="L389">
        <f t="shared" si="51"/>
        <v>5.5855891799161807E-4</v>
      </c>
      <c r="M389">
        <f t="shared" si="52"/>
        <v>-1.358851239669423E-2</v>
      </c>
      <c r="N389">
        <f t="shared" si="53"/>
        <v>-1.5451704838100469E-3</v>
      </c>
      <c r="O389">
        <f t="shared" si="54"/>
        <v>7.9980954537828101E-4</v>
      </c>
      <c r="P389">
        <f t="shared" si="55"/>
        <v>-1.3285742613523673E-2</v>
      </c>
      <c r="Q389">
        <f t="shared" si="56"/>
        <v>7.1701428986774224E-3</v>
      </c>
    </row>
    <row r="390" spans="1:17" x14ac:dyDescent="0.25">
      <c r="A390" s="139">
        <v>43542</v>
      </c>
      <c r="B390" s="148">
        <v>173.3</v>
      </c>
      <c r="C390" s="148">
        <v>37.400002000000001</v>
      </c>
      <c r="D390" s="148">
        <v>2523.6</v>
      </c>
      <c r="E390" s="148">
        <v>1130.719971</v>
      </c>
      <c r="F390" s="148">
        <v>1445.6</v>
      </c>
      <c r="G390" s="148">
        <v>1350.0500489999999</v>
      </c>
      <c r="H390" s="148">
        <v>245.95</v>
      </c>
      <c r="I390" s="125">
        <v>1697.5500489999999</v>
      </c>
      <c r="J390">
        <f t="shared" si="49"/>
        <v>3.4742327735959627E-3</v>
      </c>
      <c r="K390">
        <f t="shared" si="50"/>
        <v>8.0863616219063218E-3</v>
      </c>
      <c r="L390">
        <f t="shared" si="51"/>
        <v>6.2802799210479095E-3</v>
      </c>
      <c r="M390">
        <f t="shared" si="52"/>
        <v>-2.7869210022801274E-3</v>
      </c>
      <c r="N390">
        <f t="shared" si="53"/>
        <v>-5.7087832725773308E-3</v>
      </c>
      <c r="O390">
        <f t="shared" si="54"/>
        <v>-1.9251025430750614E-2</v>
      </c>
      <c r="P390">
        <f t="shared" si="55"/>
        <v>-1.1454983922829672E-2</v>
      </c>
      <c r="Q390">
        <f t="shared" si="56"/>
        <v>-1.2355337689214105E-3</v>
      </c>
    </row>
    <row r="391" spans="1:17" x14ac:dyDescent="0.25">
      <c r="A391" s="139">
        <v>43539</v>
      </c>
      <c r="B391" s="148">
        <v>175.7</v>
      </c>
      <c r="C391" s="148">
        <v>37.799999</v>
      </c>
      <c r="D391" s="148">
        <v>2510.3000000000002</v>
      </c>
      <c r="E391" s="148">
        <v>1126.5</v>
      </c>
      <c r="F391" s="148">
        <v>1432.55</v>
      </c>
      <c r="G391" s="148">
        <v>1321.650024</v>
      </c>
      <c r="H391" s="148">
        <v>245.05</v>
      </c>
      <c r="I391" s="125">
        <v>1698.400024</v>
      </c>
      <c r="J391">
        <f t="shared" si="49"/>
        <v>1.38488170802076E-2</v>
      </c>
      <c r="K391">
        <f t="shared" si="50"/>
        <v>1.0695106379940809E-2</v>
      </c>
      <c r="L391">
        <f t="shared" si="51"/>
        <v>-5.2702488508478869E-3</v>
      </c>
      <c r="M391">
        <f t="shared" si="52"/>
        <v>-3.7321097249815773E-3</v>
      </c>
      <c r="N391">
        <f t="shared" si="53"/>
        <v>-9.0273934698394814E-3</v>
      </c>
      <c r="O391">
        <f t="shared" si="54"/>
        <v>-2.1036275670695461E-2</v>
      </c>
      <c r="P391">
        <f t="shared" si="55"/>
        <v>-3.6592803415327396E-3</v>
      </c>
      <c r="Q391">
        <f t="shared" si="56"/>
        <v>5.0070688666928721E-4</v>
      </c>
    </row>
    <row r="392" spans="1:17" x14ac:dyDescent="0.25">
      <c r="A392" s="139">
        <v>43538</v>
      </c>
      <c r="B392" s="148">
        <v>173.6</v>
      </c>
      <c r="C392" s="148">
        <v>38.549999</v>
      </c>
      <c r="D392" s="148">
        <v>2537.15</v>
      </c>
      <c r="E392" s="148">
        <v>1112.380005</v>
      </c>
      <c r="F392" s="148">
        <v>1434.75</v>
      </c>
      <c r="G392" s="148">
        <v>1341.5500489999999</v>
      </c>
      <c r="H392" s="148">
        <v>249.85</v>
      </c>
      <c r="I392" s="125">
        <v>1737.3000489999999</v>
      </c>
      <c r="J392">
        <f t="shared" si="49"/>
        <v>-1.195219123505973E-2</v>
      </c>
      <c r="K392">
        <f t="shared" si="50"/>
        <v>1.9841270366171174E-2</v>
      </c>
      <c r="L392">
        <f t="shared" si="51"/>
        <v>1.0695932757040954E-2</v>
      </c>
      <c r="M392">
        <f t="shared" si="52"/>
        <v>-1.2534394141145155E-2</v>
      </c>
      <c r="N392">
        <f t="shared" si="53"/>
        <v>1.5357230114132459E-3</v>
      </c>
      <c r="O392">
        <f t="shared" si="54"/>
        <v>1.5056955047579156E-2</v>
      </c>
      <c r="P392">
        <f t="shared" si="55"/>
        <v>1.9587839216486359E-2</v>
      </c>
      <c r="Q392">
        <f t="shared" si="56"/>
        <v>2.2903923958022692E-2</v>
      </c>
    </row>
    <row r="393" spans="1:17" x14ac:dyDescent="0.25">
      <c r="A393" s="139">
        <v>43537</v>
      </c>
      <c r="B393" s="148">
        <v>171.6</v>
      </c>
      <c r="C393" s="148">
        <v>39.75</v>
      </c>
      <c r="D393" s="148">
        <v>2503.0500000000002</v>
      </c>
      <c r="E393" s="148">
        <v>1113.280029</v>
      </c>
      <c r="F393" s="148">
        <v>1428.3</v>
      </c>
      <c r="G393" s="148">
        <v>1347.3000489999999</v>
      </c>
      <c r="H393" s="148">
        <v>244.3</v>
      </c>
      <c r="I393" s="125">
        <v>1747.599976</v>
      </c>
      <c r="J393">
        <f t="shared" si="49"/>
        <v>-1.1520737327188941E-2</v>
      </c>
      <c r="K393">
        <f t="shared" si="50"/>
        <v>3.1128431417079942E-2</v>
      </c>
      <c r="L393">
        <f t="shared" si="51"/>
        <v>-1.3440277476696258E-2</v>
      </c>
      <c r="M393">
        <f t="shared" si="52"/>
        <v>8.0909760689201738E-4</v>
      </c>
      <c r="N393">
        <f t="shared" si="53"/>
        <v>-4.4955567171981502E-3</v>
      </c>
      <c r="O393">
        <f t="shared" si="54"/>
        <v>4.2860868323817561E-3</v>
      </c>
      <c r="P393">
        <f t="shared" si="55"/>
        <v>-2.221332799679801E-2</v>
      </c>
      <c r="Q393">
        <f t="shared" si="56"/>
        <v>5.928697812406512E-3</v>
      </c>
    </row>
    <row r="394" spans="1:17" x14ac:dyDescent="0.25">
      <c r="A394" s="139">
        <v>43536</v>
      </c>
      <c r="B394" s="148">
        <v>178.45</v>
      </c>
      <c r="C394" s="148">
        <v>39.099997999999999</v>
      </c>
      <c r="D394" s="148">
        <v>2550.1</v>
      </c>
      <c r="E394" s="148">
        <v>1085.5</v>
      </c>
      <c r="F394" s="148">
        <v>1428.1</v>
      </c>
      <c r="G394" s="148">
        <v>1331.349976</v>
      </c>
      <c r="H394" s="148">
        <v>235.85</v>
      </c>
      <c r="I394" s="125">
        <v>1734.8000489999999</v>
      </c>
      <c r="J394">
        <f t="shared" si="49"/>
        <v>3.9918414918414885E-2</v>
      </c>
      <c r="K394">
        <f t="shared" si="50"/>
        <v>-1.6352251572327059E-2</v>
      </c>
      <c r="L394">
        <f t="shared" si="51"/>
        <v>1.8797067577555272E-2</v>
      </c>
      <c r="M394">
        <f t="shared" si="52"/>
        <v>-2.495331657476451E-2</v>
      </c>
      <c r="N394">
        <f t="shared" si="53"/>
        <v>-1.4002660505499229E-4</v>
      </c>
      <c r="O394">
        <f t="shared" si="54"/>
        <v>-1.1838545550294103E-2</v>
      </c>
      <c r="P394">
        <f t="shared" si="55"/>
        <v>-3.4588620548506005E-2</v>
      </c>
      <c r="Q394">
        <f t="shared" si="56"/>
        <v>-7.3242888394271901E-3</v>
      </c>
    </row>
    <row r="395" spans="1:17" x14ac:dyDescent="0.25">
      <c r="A395" s="139">
        <v>43535</v>
      </c>
      <c r="B395" s="148">
        <v>177.1</v>
      </c>
      <c r="C395" s="148">
        <v>36.150002000000001</v>
      </c>
      <c r="D395" s="148">
        <v>2500.9</v>
      </c>
      <c r="E395" s="148">
        <v>1064.219971</v>
      </c>
      <c r="F395" s="148">
        <v>1419.8</v>
      </c>
      <c r="G395" s="148">
        <v>1304.099976</v>
      </c>
      <c r="H395" s="148">
        <v>236.3</v>
      </c>
      <c r="I395" s="125">
        <v>1714.9499510000001</v>
      </c>
      <c r="J395">
        <f t="shared" si="49"/>
        <v>-7.5651442981226917E-3</v>
      </c>
      <c r="K395">
        <f t="shared" si="50"/>
        <v>-7.5447471889896228E-2</v>
      </c>
      <c r="L395">
        <f t="shared" si="51"/>
        <v>-1.9293361044664843E-2</v>
      </c>
      <c r="M395">
        <f t="shared" si="52"/>
        <v>-1.960389590050669E-2</v>
      </c>
      <c r="N395">
        <f t="shared" si="53"/>
        <v>-5.8119179329178313E-3</v>
      </c>
      <c r="O395">
        <f t="shared" si="54"/>
        <v>-2.0467946438750679E-2</v>
      </c>
      <c r="P395">
        <f t="shared" si="55"/>
        <v>1.9079923680306002E-3</v>
      </c>
      <c r="Q395">
        <f t="shared" si="56"/>
        <v>-1.1442297348009754E-2</v>
      </c>
    </row>
    <row r="396" spans="1:17" x14ac:dyDescent="0.25">
      <c r="A396" s="139">
        <v>43532</v>
      </c>
      <c r="B396" s="148">
        <v>172.35</v>
      </c>
      <c r="C396" s="148">
        <v>35</v>
      </c>
      <c r="D396" s="148">
        <v>2474.5500000000002</v>
      </c>
      <c r="E396" s="148">
        <v>1064.099976</v>
      </c>
      <c r="F396" s="148">
        <v>1382.35</v>
      </c>
      <c r="G396" s="148">
        <v>1267.099976</v>
      </c>
      <c r="H396" s="148">
        <v>232.3</v>
      </c>
      <c r="I396" s="125">
        <v>1701.599976</v>
      </c>
      <c r="J396">
        <f t="shared" si="49"/>
        <v>-2.6821005081874648E-2</v>
      </c>
      <c r="K396">
        <f t="shared" si="50"/>
        <v>-3.1811948447471747E-2</v>
      </c>
      <c r="L396">
        <f t="shared" si="51"/>
        <v>-1.0536206965492387E-2</v>
      </c>
      <c r="M396">
        <f t="shared" si="52"/>
        <v>-1.1275394492668957E-4</v>
      </c>
      <c r="N396">
        <f t="shared" si="53"/>
        <v>-2.6376954500633924E-2</v>
      </c>
      <c r="O396">
        <f t="shared" si="54"/>
        <v>-2.8372057879709676E-2</v>
      </c>
      <c r="P396">
        <f t="shared" si="55"/>
        <v>-1.6927634363097757E-2</v>
      </c>
      <c r="Q396">
        <f t="shared" si="56"/>
        <v>-7.7844691573743111E-3</v>
      </c>
    </row>
    <row r="397" spans="1:17" x14ac:dyDescent="0.25">
      <c r="A397" s="139">
        <v>43531</v>
      </c>
      <c r="B397" s="148">
        <v>176.05</v>
      </c>
      <c r="C397" s="148">
        <v>35.599997999999999</v>
      </c>
      <c r="D397" s="148">
        <v>2387.9499999999998</v>
      </c>
      <c r="E397" s="148">
        <v>1063.25</v>
      </c>
      <c r="F397" s="148">
        <v>1395.45</v>
      </c>
      <c r="G397" s="148">
        <v>1270.25</v>
      </c>
      <c r="H397" s="148">
        <v>231.7</v>
      </c>
      <c r="I397" s="125">
        <v>1705.400024</v>
      </c>
      <c r="J397">
        <f t="shared" si="49"/>
        <v>2.1467943138961516E-2</v>
      </c>
      <c r="K397">
        <f t="shared" si="50"/>
        <v>1.7142799999999982E-2</v>
      </c>
      <c r="L397">
        <f t="shared" si="51"/>
        <v>-3.4996261946616702E-2</v>
      </c>
      <c r="M397">
        <f t="shared" si="52"/>
        <v>-7.9877456927972875E-4</v>
      </c>
      <c r="N397">
        <f t="shared" si="53"/>
        <v>9.47661590769352E-3</v>
      </c>
      <c r="O397">
        <f t="shared" si="54"/>
        <v>2.4860106224167669E-3</v>
      </c>
      <c r="P397">
        <f t="shared" si="55"/>
        <v>-2.5828669823505066E-3</v>
      </c>
      <c r="Q397">
        <f t="shared" si="56"/>
        <v>2.2332205298526996E-3</v>
      </c>
    </row>
    <row r="398" spans="1:17" x14ac:dyDescent="0.25">
      <c r="A398" s="139">
        <v>43530</v>
      </c>
      <c r="B398" s="148">
        <v>178.5</v>
      </c>
      <c r="C398" s="148">
        <v>35.400002000000001</v>
      </c>
      <c r="D398" s="148">
        <v>2348.85</v>
      </c>
      <c r="E398" s="148">
        <v>1052.119995</v>
      </c>
      <c r="F398" s="148">
        <v>1393.7</v>
      </c>
      <c r="G398" s="148">
        <v>1264.8000489999999</v>
      </c>
      <c r="H398" s="148">
        <v>235.3</v>
      </c>
      <c r="I398" s="125">
        <v>1699.8000489999999</v>
      </c>
      <c r="J398">
        <f t="shared" si="49"/>
        <v>1.391650099403572E-2</v>
      </c>
      <c r="K398">
        <f t="shared" si="50"/>
        <v>-5.6178654841497104E-3</v>
      </c>
      <c r="L398">
        <f t="shared" si="51"/>
        <v>-1.637387717498269E-2</v>
      </c>
      <c r="M398">
        <f t="shared" si="52"/>
        <v>-1.0467909710792365E-2</v>
      </c>
      <c r="N398">
        <f t="shared" si="53"/>
        <v>-1.2540757461750689E-3</v>
      </c>
      <c r="O398">
        <f t="shared" si="54"/>
        <v>-4.2904554221610356E-3</v>
      </c>
      <c r="P398">
        <f t="shared" si="55"/>
        <v>1.5537332757876663E-2</v>
      </c>
      <c r="Q398">
        <f t="shared" si="56"/>
        <v>-3.2836724059997348E-3</v>
      </c>
    </row>
    <row r="399" spans="1:17" x14ac:dyDescent="0.25">
      <c r="A399" s="139">
        <v>43529</v>
      </c>
      <c r="B399" s="148">
        <v>174.95</v>
      </c>
      <c r="C399" s="148">
        <v>36.25</v>
      </c>
      <c r="D399" s="148">
        <v>2359.4</v>
      </c>
      <c r="E399" s="148">
        <v>1053.5500489999999</v>
      </c>
      <c r="F399" s="148">
        <v>1403.85</v>
      </c>
      <c r="G399" s="148">
        <v>1237.650024</v>
      </c>
      <c r="H399" s="148">
        <v>237.45</v>
      </c>
      <c r="I399" s="125">
        <v>1724.599976</v>
      </c>
      <c r="J399">
        <f t="shared" si="49"/>
        <v>-1.9887955182072894E-2</v>
      </c>
      <c r="K399">
        <f t="shared" si="50"/>
        <v>2.4011241581285769E-2</v>
      </c>
      <c r="L399">
        <f t="shared" si="51"/>
        <v>4.4915596994274569E-3</v>
      </c>
      <c r="M399">
        <f t="shared" si="52"/>
        <v>1.3592118834315351E-3</v>
      </c>
      <c r="N399">
        <f t="shared" si="53"/>
        <v>7.2827724761425437E-3</v>
      </c>
      <c r="O399">
        <f t="shared" si="54"/>
        <v>-2.1465863336632363E-2</v>
      </c>
      <c r="P399">
        <f t="shared" si="55"/>
        <v>9.1372715682106979E-3</v>
      </c>
      <c r="Q399">
        <f t="shared" si="56"/>
        <v>1.4589908392219388E-2</v>
      </c>
    </row>
    <row r="400" spans="1:17" x14ac:dyDescent="0.25">
      <c r="A400" s="139">
        <v>43525</v>
      </c>
      <c r="B400" s="148">
        <v>173.45</v>
      </c>
      <c r="C400" s="148">
        <v>34.200001</v>
      </c>
      <c r="D400" s="148">
        <v>2252.0500000000002</v>
      </c>
      <c r="E400" s="148">
        <v>1041.6800539999999</v>
      </c>
      <c r="F400" s="148">
        <v>1392.35</v>
      </c>
      <c r="G400" s="148">
        <v>1226.0500489999999</v>
      </c>
      <c r="H400" s="148">
        <v>237.6</v>
      </c>
      <c r="I400" s="125">
        <v>1734.650024</v>
      </c>
      <c r="J400">
        <f t="shared" si="49"/>
        <v>-8.5738782509288368E-3</v>
      </c>
      <c r="K400">
        <f t="shared" si="50"/>
        <v>-5.655169655172413E-2</v>
      </c>
      <c r="L400">
        <f t="shared" si="51"/>
        <v>-4.5498855641264685E-2</v>
      </c>
      <c r="M400">
        <f t="shared" si="52"/>
        <v>-1.1266664560707565E-2</v>
      </c>
      <c r="N400">
        <f t="shared" si="53"/>
        <v>-8.1917583787441683E-3</v>
      </c>
      <c r="O400">
        <f t="shared" si="54"/>
        <v>-9.3725809195314858E-3</v>
      </c>
      <c r="P400">
        <f t="shared" si="55"/>
        <v>6.3171193935567774E-4</v>
      </c>
      <c r="Q400">
        <f t="shared" si="56"/>
        <v>5.8274661601874344E-3</v>
      </c>
    </row>
    <row r="401" spans="1:17" x14ac:dyDescent="0.25">
      <c r="A401" s="139">
        <v>43524</v>
      </c>
      <c r="B401" s="148">
        <v>169.4</v>
      </c>
      <c r="C401" s="148">
        <v>33.049999</v>
      </c>
      <c r="D401" s="148">
        <v>2205.1999999999998</v>
      </c>
      <c r="E401" s="148">
        <v>1038.780029</v>
      </c>
      <c r="F401" s="148">
        <v>1405.2</v>
      </c>
      <c r="G401" s="148">
        <v>1231.0500489999999</v>
      </c>
      <c r="H401" s="148">
        <v>231.15</v>
      </c>
      <c r="I401" s="125">
        <v>1732.650024</v>
      </c>
      <c r="J401">
        <f t="shared" si="49"/>
        <v>-2.3349668492360816E-2</v>
      </c>
      <c r="K401">
        <f t="shared" si="50"/>
        <v>-3.362578849047404E-2</v>
      </c>
      <c r="L401">
        <f t="shared" si="51"/>
        <v>-2.0803268133478547E-2</v>
      </c>
      <c r="M401">
        <f t="shared" si="52"/>
        <v>-2.7839882206287443E-3</v>
      </c>
      <c r="N401">
        <f t="shared" si="53"/>
        <v>9.2290013286890054E-3</v>
      </c>
      <c r="O401">
        <f t="shared" si="54"/>
        <v>4.0781369439837605E-3</v>
      </c>
      <c r="P401">
        <f t="shared" si="55"/>
        <v>-2.7146464646464599E-2</v>
      </c>
      <c r="Q401">
        <f t="shared" si="56"/>
        <v>-1.1529703238859206E-3</v>
      </c>
    </row>
    <row r="402" spans="1:17" x14ac:dyDescent="0.25">
      <c r="A402" s="139">
        <v>43523</v>
      </c>
      <c r="B402" s="148">
        <v>164.65</v>
      </c>
      <c r="C402" s="148">
        <v>32.900002000000001</v>
      </c>
      <c r="D402" s="148">
        <v>2215.35</v>
      </c>
      <c r="E402" s="148">
        <v>1046.119995</v>
      </c>
      <c r="F402" s="148">
        <v>1405.7</v>
      </c>
      <c r="G402" s="148">
        <v>1223.5</v>
      </c>
      <c r="H402" s="148">
        <v>228.2</v>
      </c>
      <c r="I402" s="125">
        <v>1736.5</v>
      </c>
      <c r="J402">
        <f t="shared" si="49"/>
        <v>-2.8040141676505311E-2</v>
      </c>
      <c r="K402">
        <f t="shared" si="50"/>
        <v>-4.5384872780177407E-3</v>
      </c>
      <c r="L402">
        <f t="shared" si="51"/>
        <v>4.602757119535685E-3</v>
      </c>
      <c r="M402">
        <f t="shared" si="52"/>
        <v>7.0659483192663537E-3</v>
      </c>
      <c r="N402">
        <f t="shared" si="53"/>
        <v>3.5582123541132935E-4</v>
      </c>
      <c r="O402">
        <f t="shared" si="54"/>
        <v>-6.1330154741742306E-3</v>
      </c>
      <c r="P402">
        <f t="shared" si="55"/>
        <v>-1.2762275578628669E-2</v>
      </c>
      <c r="Q402">
        <f t="shared" si="56"/>
        <v>2.2220159562933001E-3</v>
      </c>
    </row>
    <row r="403" spans="1:17" x14ac:dyDescent="0.25">
      <c r="A403" s="139">
        <v>43522</v>
      </c>
      <c r="B403" s="148">
        <v>169.7</v>
      </c>
      <c r="C403" s="148">
        <v>32.900002000000001</v>
      </c>
      <c r="D403" s="148">
        <v>2224.5500000000002</v>
      </c>
      <c r="E403" s="148">
        <v>1055.3199460000001</v>
      </c>
      <c r="F403" s="148">
        <v>1402</v>
      </c>
      <c r="G403" s="148">
        <v>1220.25</v>
      </c>
      <c r="H403" s="148">
        <v>229.5</v>
      </c>
      <c r="I403" s="125">
        <v>1772.25</v>
      </c>
      <c r="J403">
        <f t="shared" si="49"/>
        <v>3.0671120558760905E-2</v>
      </c>
      <c r="K403">
        <f t="shared" si="50"/>
        <v>0</v>
      </c>
      <c r="L403">
        <f t="shared" si="51"/>
        <v>4.1528426659445568E-3</v>
      </c>
      <c r="M403">
        <f t="shared" si="52"/>
        <v>8.7943553741175323E-3</v>
      </c>
      <c r="N403">
        <f t="shared" si="53"/>
        <v>-2.6321405705342859E-3</v>
      </c>
      <c r="O403">
        <f t="shared" si="54"/>
        <v>-2.6563138536984062E-3</v>
      </c>
      <c r="P403">
        <f t="shared" si="55"/>
        <v>5.6967572304996118E-3</v>
      </c>
      <c r="Q403">
        <f t="shared" si="56"/>
        <v>2.0587388424992803E-2</v>
      </c>
    </row>
    <row r="404" spans="1:17" x14ac:dyDescent="0.25">
      <c r="A404" s="139">
        <v>43521</v>
      </c>
      <c r="B404" s="148">
        <v>171.25</v>
      </c>
      <c r="C404" s="148">
        <v>32.950001</v>
      </c>
      <c r="D404" s="148">
        <v>2233.1999999999998</v>
      </c>
      <c r="E404" s="148">
        <v>1062.6999510000001</v>
      </c>
      <c r="F404" s="148">
        <v>1398.25</v>
      </c>
      <c r="G404" s="148">
        <v>1232.3000489999999</v>
      </c>
      <c r="H404" s="148">
        <v>229.1</v>
      </c>
      <c r="I404" s="125">
        <v>1770.150024</v>
      </c>
      <c r="J404">
        <f t="shared" si="49"/>
        <v>9.1337654684738451E-3</v>
      </c>
      <c r="K404">
        <f t="shared" si="50"/>
        <v>1.5197263513844067E-3</v>
      </c>
      <c r="L404">
        <f t="shared" si="51"/>
        <v>3.8884268728505249E-3</v>
      </c>
      <c r="M404">
        <f t="shared" si="52"/>
        <v>6.9931446173954739E-3</v>
      </c>
      <c r="N404">
        <f t="shared" si="53"/>
        <v>-2.6747503566333809E-3</v>
      </c>
      <c r="O404">
        <f t="shared" si="54"/>
        <v>9.875065765212002E-3</v>
      </c>
      <c r="P404">
        <f t="shared" si="55"/>
        <v>-1.7429193899782382E-3</v>
      </c>
      <c r="Q404">
        <f t="shared" si="56"/>
        <v>-1.1849208633093354E-3</v>
      </c>
    </row>
    <row r="405" spans="1:17" x14ac:dyDescent="0.25">
      <c r="A405" s="139">
        <v>43518</v>
      </c>
      <c r="B405" s="148">
        <v>169.65</v>
      </c>
      <c r="C405" s="148">
        <v>32.700001</v>
      </c>
      <c r="D405" s="148">
        <v>2253.85</v>
      </c>
      <c r="E405" s="148">
        <v>1045.719971</v>
      </c>
      <c r="F405" s="148">
        <v>1397.8</v>
      </c>
      <c r="G405" s="148">
        <v>1232.349976</v>
      </c>
      <c r="H405" s="148">
        <v>222</v>
      </c>
      <c r="I405" s="125">
        <v>1768.5500489999999</v>
      </c>
      <c r="J405">
        <f t="shared" si="49"/>
        <v>-9.343065693430623E-3</v>
      </c>
      <c r="K405">
        <f t="shared" si="50"/>
        <v>-7.5872531839983855E-3</v>
      </c>
      <c r="L405">
        <f t="shared" si="51"/>
        <v>9.2468207057138149E-3</v>
      </c>
      <c r="M405">
        <f t="shared" si="52"/>
        <v>-1.5978150732031102E-2</v>
      </c>
      <c r="N405">
        <f t="shared" si="53"/>
        <v>-3.2183086000360842E-4</v>
      </c>
      <c r="O405">
        <f t="shared" si="54"/>
        <v>4.0515294988862853E-5</v>
      </c>
      <c r="P405">
        <f t="shared" si="55"/>
        <v>-3.099083369707549E-2</v>
      </c>
      <c r="Q405">
        <f t="shared" si="56"/>
        <v>-9.038640670606153E-4</v>
      </c>
    </row>
    <row r="406" spans="1:17" x14ac:dyDescent="0.25">
      <c r="A406" s="139">
        <v>43517</v>
      </c>
      <c r="B406" s="148">
        <v>164.6</v>
      </c>
      <c r="C406" s="148">
        <v>30.85</v>
      </c>
      <c r="D406" s="148">
        <v>2250.0500000000002</v>
      </c>
      <c r="E406" s="148">
        <v>1057.9499510000001</v>
      </c>
      <c r="F406" s="148">
        <v>1397.8</v>
      </c>
      <c r="G406" s="148">
        <v>1246.900024</v>
      </c>
      <c r="H406" s="148">
        <v>215.15</v>
      </c>
      <c r="I406" s="125">
        <v>1754.6999510000001</v>
      </c>
      <c r="J406">
        <f t="shared" si="49"/>
        <v>-2.9767167698202247E-2</v>
      </c>
      <c r="K406">
        <f t="shared" si="50"/>
        <v>-5.6574952398319465E-2</v>
      </c>
      <c r="L406">
        <f t="shared" si="51"/>
        <v>-1.6860039487986013E-3</v>
      </c>
      <c r="M406">
        <f t="shared" si="52"/>
        <v>1.1695272481317151E-2</v>
      </c>
      <c r="N406">
        <f t="shared" si="53"/>
        <v>0</v>
      </c>
      <c r="O406">
        <f t="shared" si="54"/>
        <v>1.1806749935782903E-2</v>
      </c>
      <c r="P406">
        <f t="shared" si="55"/>
        <v>-3.0855855855855829E-2</v>
      </c>
      <c r="Q406">
        <f t="shared" si="56"/>
        <v>-7.8313294033330975E-3</v>
      </c>
    </row>
    <row r="407" spans="1:17" x14ac:dyDescent="0.25">
      <c r="A407" s="139">
        <v>43516</v>
      </c>
      <c r="B407" s="148">
        <v>160.25</v>
      </c>
      <c r="C407" s="148">
        <v>30.950001</v>
      </c>
      <c r="D407" s="148">
        <v>2245.5500000000002</v>
      </c>
      <c r="E407" s="148">
        <v>1054.1800539999999</v>
      </c>
      <c r="F407" s="148">
        <v>1396.9</v>
      </c>
      <c r="G407" s="148">
        <v>1234.349976</v>
      </c>
      <c r="H407" s="148">
        <v>217.85</v>
      </c>
      <c r="I407" s="125">
        <v>1733.5</v>
      </c>
      <c r="J407">
        <f t="shared" si="49"/>
        <v>-2.6427703523693769E-2</v>
      </c>
      <c r="K407">
        <f t="shared" si="50"/>
        <v>3.2415235008103368E-3</v>
      </c>
      <c r="L407">
        <f t="shared" si="51"/>
        <v>-1.9999555565431877E-3</v>
      </c>
      <c r="M407">
        <f t="shared" si="52"/>
        <v>-3.5633982462371966E-3</v>
      </c>
      <c r="N407">
        <f t="shared" si="53"/>
        <v>-6.4386893690074657E-4</v>
      </c>
      <c r="O407">
        <f t="shared" si="54"/>
        <v>-1.0064999405277147E-2</v>
      </c>
      <c r="P407">
        <f t="shared" si="55"/>
        <v>1.2549384150592556E-2</v>
      </c>
      <c r="Q407">
        <f t="shared" si="56"/>
        <v>-1.2081809763497311E-2</v>
      </c>
    </row>
    <row r="408" spans="1:17" x14ac:dyDescent="0.25">
      <c r="A408" s="139">
        <v>43515</v>
      </c>
      <c r="B408" s="148">
        <v>153.1</v>
      </c>
      <c r="C408" s="148">
        <v>30.799999</v>
      </c>
      <c r="D408" s="148">
        <v>2198.6999999999998</v>
      </c>
      <c r="E408" s="148">
        <v>1042.030029</v>
      </c>
      <c r="F408" s="148">
        <v>1377.85</v>
      </c>
      <c r="G408" s="148">
        <v>1216.099976</v>
      </c>
      <c r="H408" s="148">
        <v>212.85</v>
      </c>
      <c r="I408" s="125">
        <v>1737.9499510000001</v>
      </c>
      <c r="J408">
        <f t="shared" si="49"/>
        <v>-4.461778471138849E-2</v>
      </c>
      <c r="K408">
        <f t="shared" si="50"/>
        <v>-4.8465911196578192E-3</v>
      </c>
      <c r="L408">
        <f t="shared" si="51"/>
        <v>-2.0863485560330592E-2</v>
      </c>
      <c r="M408">
        <f t="shared" si="52"/>
        <v>-1.1525569046670575E-2</v>
      </c>
      <c r="N408">
        <f t="shared" si="53"/>
        <v>-1.3637339823895898E-2</v>
      </c>
      <c r="O408">
        <f t="shared" si="54"/>
        <v>-1.4785109859312705E-2</v>
      </c>
      <c r="P408">
        <f t="shared" si="55"/>
        <v>-2.2951572182694516E-2</v>
      </c>
      <c r="Q408">
        <f t="shared" si="56"/>
        <v>2.5670325930199338E-3</v>
      </c>
    </row>
    <row r="409" spans="1:17" x14ac:dyDescent="0.25">
      <c r="A409" s="139">
        <v>43514</v>
      </c>
      <c r="B409" s="148">
        <v>148</v>
      </c>
      <c r="C409" s="148">
        <v>30.25</v>
      </c>
      <c r="D409" s="148">
        <v>2196.4</v>
      </c>
      <c r="E409" s="148">
        <v>1044.9499510000001</v>
      </c>
      <c r="F409" s="148">
        <v>1380.05</v>
      </c>
      <c r="G409" s="148">
        <v>1220.099976</v>
      </c>
      <c r="H409" s="148">
        <v>213.55</v>
      </c>
      <c r="I409" s="125">
        <v>1751.900024</v>
      </c>
      <c r="J409">
        <f t="shared" si="49"/>
        <v>-3.3311561071195261E-2</v>
      </c>
      <c r="K409">
        <f t="shared" si="50"/>
        <v>-1.7857110969386709E-2</v>
      </c>
      <c r="L409">
        <f t="shared" si="51"/>
        <v>-1.0460726793103776E-3</v>
      </c>
      <c r="M409">
        <f t="shared" si="52"/>
        <v>2.802147652886923E-3</v>
      </c>
      <c r="N409">
        <f t="shared" si="53"/>
        <v>1.5966904960627395E-3</v>
      </c>
      <c r="O409">
        <f t="shared" si="54"/>
        <v>3.289203255440242E-3</v>
      </c>
      <c r="P409">
        <f t="shared" si="55"/>
        <v>3.2887009631196481E-3</v>
      </c>
      <c r="Q409">
        <f t="shared" si="56"/>
        <v>8.0267403511667494E-3</v>
      </c>
    </row>
    <row r="410" spans="1:17" x14ac:dyDescent="0.25">
      <c r="A410" s="139">
        <v>43511</v>
      </c>
      <c r="B410" s="148">
        <v>147.30000000000001</v>
      </c>
      <c r="C410" s="148">
        <v>31</v>
      </c>
      <c r="D410" s="148">
        <v>2161.85</v>
      </c>
      <c r="E410" s="148">
        <v>1050.3199460000001</v>
      </c>
      <c r="F410" s="148">
        <v>1393.6</v>
      </c>
      <c r="G410" s="148">
        <v>1244.4499510000001</v>
      </c>
      <c r="H410" s="148">
        <v>219</v>
      </c>
      <c r="I410" s="125">
        <v>1772.8000489999999</v>
      </c>
      <c r="J410">
        <f t="shared" si="49"/>
        <v>-4.7297297297296528E-3</v>
      </c>
      <c r="K410">
        <f t="shared" si="50"/>
        <v>2.4793388429752067E-2</v>
      </c>
      <c r="L410">
        <f t="shared" si="51"/>
        <v>-1.5730285922418586E-2</v>
      </c>
      <c r="M410">
        <f t="shared" si="52"/>
        <v>5.1389973221789426E-3</v>
      </c>
      <c r="N410">
        <f t="shared" si="53"/>
        <v>9.8184848375058552E-3</v>
      </c>
      <c r="O410">
        <f t="shared" si="54"/>
        <v>1.9957360445026422E-2</v>
      </c>
      <c r="P410">
        <f t="shared" si="55"/>
        <v>2.5520955279793905E-2</v>
      </c>
      <c r="Q410">
        <f t="shared" si="56"/>
        <v>1.1929918781712349E-2</v>
      </c>
    </row>
    <row r="411" spans="1:17" x14ac:dyDescent="0.25">
      <c r="A411" s="139">
        <v>43510</v>
      </c>
      <c r="B411" s="148">
        <v>151.75</v>
      </c>
      <c r="C411" s="148">
        <v>31.950001</v>
      </c>
      <c r="D411" s="148">
        <v>2181.1</v>
      </c>
      <c r="E411" s="148">
        <v>1055.099976</v>
      </c>
      <c r="F411" s="148">
        <v>1399.2</v>
      </c>
      <c r="G411" s="148">
        <v>1224.1999510000001</v>
      </c>
      <c r="H411" s="148">
        <v>221.25</v>
      </c>
      <c r="I411" s="125">
        <v>1785.0500489999999</v>
      </c>
      <c r="J411">
        <f t="shared" si="49"/>
        <v>3.0210454854039295E-2</v>
      </c>
      <c r="K411">
        <f t="shared" si="50"/>
        <v>3.0645193548387108E-2</v>
      </c>
      <c r="L411">
        <f t="shared" si="51"/>
        <v>8.9044105742766607E-3</v>
      </c>
      <c r="M411">
        <f t="shared" si="52"/>
        <v>4.5510227794911332E-3</v>
      </c>
      <c r="N411">
        <f t="shared" si="53"/>
        <v>4.0183696900115791E-3</v>
      </c>
      <c r="O411">
        <f t="shared" si="54"/>
        <v>-1.6272249425320601E-2</v>
      </c>
      <c r="P411">
        <f t="shared" si="55"/>
        <v>1.0273972602739725E-2</v>
      </c>
      <c r="Q411">
        <f t="shared" si="56"/>
        <v>6.9099727331968282E-3</v>
      </c>
    </row>
    <row r="412" spans="1:17" x14ac:dyDescent="0.25">
      <c r="A412" s="139">
        <v>43509</v>
      </c>
      <c r="B412" s="148">
        <v>150.69999999999999</v>
      </c>
      <c r="C412" s="148">
        <v>32.099997999999999</v>
      </c>
      <c r="D412" s="148">
        <v>2166.5</v>
      </c>
      <c r="E412" s="148">
        <v>1064.849976</v>
      </c>
      <c r="F412" s="148">
        <v>1424.15</v>
      </c>
      <c r="G412" s="148">
        <v>1256.400024</v>
      </c>
      <c r="H412" s="148">
        <v>169.45</v>
      </c>
      <c r="I412" s="125">
        <v>1794.5</v>
      </c>
      <c r="J412">
        <f t="shared" si="49"/>
        <v>-6.9192751235585591E-3</v>
      </c>
      <c r="K412">
        <f t="shared" si="50"/>
        <v>4.6947416370972583E-3</v>
      </c>
      <c r="L412">
        <f t="shared" si="51"/>
        <v>-6.6938700655632061E-3</v>
      </c>
      <c r="M412">
        <f t="shared" si="52"/>
        <v>9.2408304632546033E-3</v>
      </c>
      <c r="N412">
        <f t="shared" si="53"/>
        <v>1.7831618067467157E-2</v>
      </c>
      <c r="O412">
        <f t="shared" si="54"/>
        <v>2.6302952367950203E-2</v>
      </c>
      <c r="P412">
        <f t="shared" si="55"/>
        <v>-0.2341242937853108</v>
      </c>
      <c r="Q412">
        <f t="shared" si="56"/>
        <v>5.2939417610693871E-3</v>
      </c>
    </row>
    <row r="413" spans="1:17" x14ac:dyDescent="0.25">
      <c r="A413" s="139">
        <v>43508</v>
      </c>
      <c r="B413" s="148">
        <v>152.85</v>
      </c>
      <c r="C413" s="148">
        <v>32.099997999999999</v>
      </c>
      <c r="D413" s="148">
        <v>2182.0500000000002</v>
      </c>
      <c r="E413" s="148">
        <v>1064.849976</v>
      </c>
      <c r="F413" s="148">
        <v>1452.1</v>
      </c>
      <c r="G413" s="148">
        <v>1256.400024</v>
      </c>
      <c r="H413" s="148">
        <v>172.65</v>
      </c>
      <c r="I413" s="125">
        <v>1794.5</v>
      </c>
      <c r="J413">
        <f t="shared" si="49"/>
        <v>1.426675514266759E-2</v>
      </c>
      <c r="K413">
        <f t="shared" si="50"/>
        <v>0</v>
      </c>
      <c r="L413">
        <f t="shared" si="51"/>
        <v>7.1774751903993456E-3</v>
      </c>
      <c r="M413">
        <f t="shared" si="52"/>
        <v>0</v>
      </c>
      <c r="N413">
        <f t="shared" si="53"/>
        <v>1.9625741670469977E-2</v>
      </c>
      <c r="O413">
        <f t="shared" si="54"/>
        <v>0</v>
      </c>
      <c r="P413">
        <f t="shared" si="55"/>
        <v>1.8884626733549823E-2</v>
      </c>
      <c r="Q413">
        <f t="shared" si="56"/>
        <v>0</v>
      </c>
    </row>
    <row r="414" spans="1:17" x14ac:dyDescent="0.25">
      <c r="A414" s="139">
        <v>43507</v>
      </c>
      <c r="B414" s="148">
        <v>152.15</v>
      </c>
      <c r="C414" s="148">
        <v>32.849997999999999</v>
      </c>
      <c r="D414" s="148">
        <v>2198</v>
      </c>
      <c r="E414" s="148">
        <v>1069.8199460000001</v>
      </c>
      <c r="F414" s="148">
        <v>1437.1</v>
      </c>
      <c r="G414" s="148">
        <v>1253.25</v>
      </c>
      <c r="H414" s="148">
        <v>173.25</v>
      </c>
      <c r="I414" s="125">
        <v>1804.8000489999999</v>
      </c>
      <c r="J414">
        <f t="shared" si="49"/>
        <v>-4.5796532548249176E-3</v>
      </c>
      <c r="K414">
        <f t="shared" si="50"/>
        <v>2.3364487437039717E-2</v>
      </c>
      <c r="L414">
        <f t="shared" si="51"/>
        <v>7.309640017414732E-3</v>
      </c>
      <c r="M414">
        <f t="shared" si="52"/>
        <v>4.6672959684605402E-3</v>
      </c>
      <c r="N414">
        <f t="shared" si="53"/>
        <v>-1.0329867089043454E-2</v>
      </c>
      <c r="O414">
        <f t="shared" si="54"/>
        <v>-2.5071823780863207E-3</v>
      </c>
      <c r="P414">
        <f t="shared" si="55"/>
        <v>3.4752389226759008E-3</v>
      </c>
      <c r="Q414">
        <f t="shared" si="56"/>
        <v>5.739787684591777E-3</v>
      </c>
    </row>
    <row r="415" spans="1:17" x14ac:dyDescent="0.25">
      <c r="A415" s="139">
        <v>43504</v>
      </c>
      <c r="B415" s="148">
        <v>154.15</v>
      </c>
      <c r="C415" s="148">
        <v>33.900002000000001</v>
      </c>
      <c r="D415" s="148">
        <v>2179.9499999999998</v>
      </c>
      <c r="E415" s="148">
        <v>1061.3199460000001</v>
      </c>
      <c r="F415" s="148">
        <v>1448.8</v>
      </c>
      <c r="G415" s="148">
        <v>1277.6999510000001</v>
      </c>
      <c r="H415" s="148">
        <v>175.1</v>
      </c>
      <c r="I415" s="125">
        <v>1817.3000489999999</v>
      </c>
      <c r="J415">
        <f t="shared" si="49"/>
        <v>1.3144922773578704E-2</v>
      </c>
      <c r="K415">
        <f t="shared" si="50"/>
        <v>3.1963594031269082E-2</v>
      </c>
      <c r="L415">
        <f t="shared" si="51"/>
        <v>-8.2120109190173714E-3</v>
      </c>
      <c r="M415">
        <f t="shared" si="52"/>
        <v>-7.9452622207886927E-3</v>
      </c>
      <c r="N415">
        <f t="shared" si="53"/>
        <v>8.1413958666759767E-3</v>
      </c>
      <c r="O415">
        <f t="shared" si="54"/>
        <v>1.9509236784360708E-2</v>
      </c>
      <c r="P415">
        <f t="shared" si="55"/>
        <v>1.0678210678210646E-2</v>
      </c>
      <c r="Q415">
        <f t="shared" si="56"/>
        <v>6.9259749892659718E-3</v>
      </c>
    </row>
    <row r="416" spans="1:17" x14ac:dyDescent="0.25">
      <c r="A416" s="139">
        <v>43503</v>
      </c>
      <c r="B416" s="148">
        <v>163.44999999999999</v>
      </c>
      <c r="C416" s="148">
        <v>34.400002000000001</v>
      </c>
      <c r="D416" s="148">
        <v>2181.4499999999998</v>
      </c>
      <c r="E416" s="148">
        <v>1058.619995</v>
      </c>
      <c r="F416" s="148">
        <v>1472.45</v>
      </c>
      <c r="G416" s="148">
        <v>1290.400024</v>
      </c>
      <c r="H416" s="148">
        <v>176.95</v>
      </c>
      <c r="I416" s="125">
        <v>1839.0500489999999</v>
      </c>
      <c r="J416">
        <f t="shared" si="49"/>
        <v>6.0330846578008322E-2</v>
      </c>
      <c r="K416">
        <f t="shared" si="50"/>
        <v>1.4749261666710227E-2</v>
      </c>
      <c r="L416">
        <f t="shared" si="51"/>
        <v>6.8808917635725597E-4</v>
      </c>
      <c r="M416">
        <f t="shared" si="52"/>
        <v>-2.5439557695828468E-3</v>
      </c>
      <c r="N416">
        <f t="shared" si="53"/>
        <v>1.6323854224185596E-2</v>
      </c>
      <c r="O416">
        <f t="shared" si="54"/>
        <v>9.9397929772636999E-3</v>
      </c>
      <c r="P416">
        <f t="shared" si="55"/>
        <v>1.0565391205025667E-2</v>
      </c>
      <c r="Q416">
        <f t="shared" si="56"/>
        <v>1.1968304305042145E-2</v>
      </c>
    </row>
    <row r="417" spans="1:17" x14ac:dyDescent="0.25">
      <c r="A417" s="139">
        <v>43502</v>
      </c>
      <c r="B417" s="148">
        <v>163.75</v>
      </c>
      <c r="C417" s="148">
        <v>33.099997999999999</v>
      </c>
      <c r="D417" s="148">
        <v>2214.65</v>
      </c>
      <c r="E417" s="148">
        <v>1061.3199460000001</v>
      </c>
      <c r="F417" s="148">
        <v>1469.4</v>
      </c>
      <c r="G417" s="148">
        <v>1310.25</v>
      </c>
      <c r="H417" s="148">
        <v>176.45</v>
      </c>
      <c r="I417" s="125">
        <v>1829.9499510000001</v>
      </c>
      <c r="J417">
        <f t="shared" si="49"/>
        <v>1.8354236769655026E-3</v>
      </c>
      <c r="K417">
        <f t="shared" si="50"/>
        <v>-3.7790811756348193E-2</v>
      </c>
      <c r="L417">
        <f t="shared" si="51"/>
        <v>1.5219234912558288E-2</v>
      </c>
      <c r="M417">
        <f t="shared" si="52"/>
        <v>2.5504439862767334E-3</v>
      </c>
      <c r="N417">
        <f t="shared" si="53"/>
        <v>-2.0713776359129032E-3</v>
      </c>
      <c r="O417">
        <f t="shared" si="54"/>
        <v>1.5382808145391022E-2</v>
      </c>
      <c r="P417">
        <f t="shared" si="55"/>
        <v>-2.8256569652444197E-3</v>
      </c>
      <c r="Q417">
        <f t="shared" si="56"/>
        <v>-4.9482601112178261E-3</v>
      </c>
    </row>
    <row r="418" spans="1:17" x14ac:dyDescent="0.25">
      <c r="A418" s="139">
        <v>43501</v>
      </c>
      <c r="B418" s="148">
        <v>162.6</v>
      </c>
      <c r="C418" s="148">
        <v>32.950001</v>
      </c>
      <c r="D418" s="148">
        <v>2228.5500000000002</v>
      </c>
      <c r="E418" s="148">
        <v>1057.030029</v>
      </c>
      <c r="F418" s="148">
        <v>1450.35</v>
      </c>
      <c r="G418" s="148">
        <v>1291.5500489999999</v>
      </c>
      <c r="H418" s="148">
        <v>176.1</v>
      </c>
      <c r="I418" s="125">
        <v>1821.4499510000001</v>
      </c>
      <c r="J418">
        <f t="shared" si="49"/>
        <v>-7.0229007633588131E-3</v>
      </c>
      <c r="K418">
        <f t="shared" si="50"/>
        <v>-4.5316316937541526E-3</v>
      </c>
      <c r="L418">
        <f t="shared" si="51"/>
        <v>6.2763867879800832E-3</v>
      </c>
      <c r="M418">
        <f t="shared" si="52"/>
        <v>-4.0420582089013704E-3</v>
      </c>
      <c r="N418">
        <f t="shared" si="53"/>
        <v>-1.2964475296039323E-2</v>
      </c>
      <c r="O418">
        <f t="shared" si="54"/>
        <v>-1.4272048082427061E-2</v>
      </c>
      <c r="P418">
        <f t="shared" si="55"/>
        <v>-1.9835647492207104E-3</v>
      </c>
      <c r="Q418">
        <f t="shared" si="56"/>
        <v>-4.6449357783556128E-3</v>
      </c>
    </row>
    <row r="419" spans="1:17" x14ac:dyDescent="0.25">
      <c r="A419" s="139">
        <v>43500</v>
      </c>
      <c r="B419" s="148">
        <v>161.35</v>
      </c>
      <c r="C419" s="148">
        <v>33.849997999999999</v>
      </c>
      <c r="D419" s="148">
        <v>2237.8000000000002</v>
      </c>
      <c r="E419" s="148">
        <v>1052.4499510000001</v>
      </c>
      <c r="F419" s="148">
        <v>1446.35</v>
      </c>
      <c r="G419" s="148">
        <v>1290.900024</v>
      </c>
      <c r="H419" s="148">
        <v>179.8</v>
      </c>
      <c r="I419" s="125">
        <v>1802.599976</v>
      </c>
      <c r="J419">
        <f t="shared" si="49"/>
        <v>-7.6875768757687576E-3</v>
      </c>
      <c r="K419">
        <f t="shared" si="50"/>
        <v>2.7314020415355952E-2</v>
      </c>
      <c r="L419">
        <f t="shared" si="51"/>
        <v>4.1506809360346408E-3</v>
      </c>
      <c r="M419">
        <f t="shared" si="52"/>
        <v>-4.3329686710347542E-3</v>
      </c>
      <c r="N419">
        <f t="shared" si="53"/>
        <v>-2.7579549763850106E-3</v>
      </c>
      <c r="O419">
        <f t="shared" si="54"/>
        <v>-5.0329060070355362E-4</v>
      </c>
      <c r="P419">
        <f t="shared" si="55"/>
        <v>2.1010789324247683E-2</v>
      </c>
      <c r="Q419">
        <f t="shared" si="56"/>
        <v>-1.0348884409176987E-2</v>
      </c>
    </row>
    <row r="420" spans="1:17" x14ac:dyDescent="0.25">
      <c r="A420" s="139">
        <v>43497</v>
      </c>
      <c r="B420" s="148">
        <v>162.15</v>
      </c>
      <c r="C420" s="148">
        <v>35.75</v>
      </c>
      <c r="D420" s="148">
        <v>2290.65</v>
      </c>
      <c r="E420" s="148">
        <v>1045.219971</v>
      </c>
      <c r="F420" s="148">
        <v>1457.2</v>
      </c>
      <c r="G420" s="148">
        <v>1249.9499510000001</v>
      </c>
      <c r="H420" s="148">
        <v>185.6</v>
      </c>
      <c r="I420" s="125">
        <v>1799.3000489999999</v>
      </c>
      <c r="J420">
        <f t="shared" si="49"/>
        <v>4.9581654787729246E-3</v>
      </c>
      <c r="K420">
        <f t="shared" si="50"/>
        <v>5.6130047629544932E-2</v>
      </c>
      <c r="L420">
        <f t="shared" si="51"/>
        <v>2.3616945214049469E-2</v>
      </c>
      <c r="M420">
        <f t="shared" si="52"/>
        <v>-6.8696663372262044E-3</v>
      </c>
      <c r="N420">
        <f t="shared" si="53"/>
        <v>7.5016420645073025E-3</v>
      </c>
      <c r="O420">
        <f t="shared" si="54"/>
        <v>-3.172211034059131E-2</v>
      </c>
      <c r="P420">
        <f t="shared" si="55"/>
        <v>3.2258064516128934E-2</v>
      </c>
      <c r="Q420">
        <f t="shared" si="56"/>
        <v>-1.830648532084539E-3</v>
      </c>
    </row>
    <row r="421" spans="1:17" x14ac:dyDescent="0.25">
      <c r="A421" s="139">
        <v>43496</v>
      </c>
      <c r="B421" s="148">
        <v>197.35</v>
      </c>
      <c r="C421" s="148">
        <v>35.599997999999999</v>
      </c>
      <c r="D421" s="148">
        <v>2268.5500000000002</v>
      </c>
      <c r="E421" s="148">
        <v>1039.969971</v>
      </c>
      <c r="F421" s="148">
        <v>1412.6</v>
      </c>
      <c r="G421" s="148">
        <v>1227.150024</v>
      </c>
      <c r="H421" s="148">
        <v>194.1</v>
      </c>
      <c r="I421" s="125">
        <v>1763.25</v>
      </c>
      <c r="J421">
        <f t="shared" si="49"/>
        <v>0.21708294788775817</v>
      </c>
      <c r="K421">
        <f t="shared" si="50"/>
        <v>-4.1958601398601574E-3</v>
      </c>
      <c r="L421">
        <f t="shared" si="51"/>
        <v>-9.6479165302424674E-3</v>
      </c>
      <c r="M421">
        <f t="shared" si="52"/>
        <v>-5.0228661388637018E-3</v>
      </c>
      <c r="N421">
        <f t="shared" si="53"/>
        <v>-3.0606642876750023E-2</v>
      </c>
      <c r="O421">
        <f t="shared" si="54"/>
        <v>-1.8240671941912034E-2</v>
      </c>
      <c r="P421">
        <f t="shared" si="55"/>
        <v>4.5797413793103453E-2</v>
      </c>
      <c r="Q421">
        <f t="shared" si="56"/>
        <v>-2.0035596075282464E-2</v>
      </c>
    </row>
    <row r="422" spans="1:17" x14ac:dyDescent="0.25">
      <c r="A422" s="139">
        <v>43495</v>
      </c>
      <c r="B422" s="148">
        <v>194.1</v>
      </c>
      <c r="C422" s="148">
        <v>37.299999</v>
      </c>
      <c r="D422" s="148">
        <v>2222.9499999999998</v>
      </c>
      <c r="E422" s="148">
        <v>1017.349976</v>
      </c>
      <c r="F422" s="148">
        <v>1390.4</v>
      </c>
      <c r="G422" s="148">
        <v>1195.6999510000001</v>
      </c>
      <c r="H422" s="148">
        <v>199.5</v>
      </c>
      <c r="I422" s="125">
        <v>1733.349976</v>
      </c>
      <c r="J422">
        <f t="shared" si="49"/>
        <v>-1.6468203699011908E-2</v>
      </c>
      <c r="K422">
        <f t="shared" si="50"/>
        <v>4.7752839761395501E-2</v>
      </c>
      <c r="L422">
        <f t="shared" si="51"/>
        <v>-2.0100945537898818E-2</v>
      </c>
      <c r="M422">
        <f t="shared" si="52"/>
        <v>-2.1750623220639143E-2</v>
      </c>
      <c r="N422">
        <f t="shared" si="53"/>
        <v>-1.5715701543253448E-2</v>
      </c>
      <c r="O422">
        <f t="shared" si="54"/>
        <v>-2.5628547761002998E-2</v>
      </c>
      <c r="P422">
        <f t="shared" si="55"/>
        <v>2.7820710973724915E-2</v>
      </c>
      <c r="Q422">
        <f t="shared" si="56"/>
        <v>-1.6957336736140666E-2</v>
      </c>
    </row>
    <row r="423" spans="1:17" x14ac:dyDescent="0.25">
      <c r="A423" s="139">
        <v>43494</v>
      </c>
      <c r="B423" s="148">
        <v>192.65</v>
      </c>
      <c r="C423" s="148">
        <v>34.900002000000001</v>
      </c>
      <c r="D423" s="148">
        <v>2193.65</v>
      </c>
      <c r="E423" s="148">
        <v>1028.8000489999999</v>
      </c>
      <c r="F423" s="148">
        <v>1393.3</v>
      </c>
      <c r="G423" s="148">
        <v>1210.650024</v>
      </c>
      <c r="H423" s="148">
        <v>202.9</v>
      </c>
      <c r="I423" s="125">
        <v>1756.6999510000001</v>
      </c>
      <c r="J423">
        <f t="shared" si="49"/>
        <v>-7.470376094796438E-3</v>
      </c>
      <c r="K423">
        <f t="shared" si="50"/>
        <v>-6.4343084834935227E-2</v>
      </c>
      <c r="L423">
        <f t="shared" si="51"/>
        <v>-1.3180683326210545E-2</v>
      </c>
      <c r="M423">
        <f t="shared" si="52"/>
        <v>1.1254802447648532E-2</v>
      </c>
      <c r="N423">
        <f t="shared" si="53"/>
        <v>2.0857307249711331E-3</v>
      </c>
      <c r="O423">
        <f t="shared" si="54"/>
        <v>1.2503197802673468E-2</v>
      </c>
      <c r="P423">
        <f t="shared" si="55"/>
        <v>1.7042606516290755E-2</v>
      </c>
      <c r="Q423">
        <f t="shared" si="56"/>
        <v>1.3471010080655568E-2</v>
      </c>
    </row>
    <row r="424" spans="1:17" x14ac:dyDescent="0.25">
      <c r="A424" s="139">
        <v>43493</v>
      </c>
      <c r="B424" s="148">
        <v>191.5</v>
      </c>
      <c r="C424" s="148">
        <v>32.5</v>
      </c>
      <c r="D424" s="148">
        <v>2167.35</v>
      </c>
      <c r="E424" s="148">
        <v>1042.0699460000001</v>
      </c>
      <c r="F424" s="148">
        <v>1379.5</v>
      </c>
      <c r="G424" s="148">
        <v>1229.5500489999999</v>
      </c>
      <c r="H424" s="148">
        <v>207.5</v>
      </c>
      <c r="I424" s="125">
        <v>1743</v>
      </c>
      <c r="J424">
        <f t="shared" si="49"/>
        <v>-5.9693745133662371E-3</v>
      </c>
      <c r="K424">
        <f t="shared" si="50"/>
        <v>-6.8767961675188463E-2</v>
      </c>
      <c r="L424">
        <f t="shared" si="51"/>
        <v>-1.1989150502587096E-2</v>
      </c>
      <c r="M424">
        <f t="shared" si="52"/>
        <v>1.2898421819573735E-2</v>
      </c>
      <c r="N424">
        <f t="shared" si="53"/>
        <v>-9.9045431708892229E-3</v>
      </c>
      <c r="O424">
        <f t="shared" si="54"/>
        <v>1.5611468736071254E-2</v>
      </c>
      <c r="P424">
        <f t="shared" si="55"/>
        <v>2.2671266633809729E-2</v>
      </c>
      <c r="Q424">
        <f t="shared" si="56"/>
        <v>-7.7986858212191383E-3</v>
      </c>
    </row>
    <row r="425" spans="1:17" x14ac:dyDescent="0.25">
      <c r="A425" s="139">
        <v>43490</v>
      </c>
      <c r="B425" s="148">
        <v>194.7</v>
      </c>
      <c r="C425" s="148">
        <v>35.099997999999999</v>
      </c>
      <c r="D425" s="148">
        <v>2246</v>
      </c>
      <c r="E425" s="148">
        <v>1048</v>
      </c>
      <c r="F425" s="148">
        <v>1372.15</v>
      </c>
      <c r="G425" s="148">
        <v>1246</v>
      </c>
      <c r="H425" s="148">
        <v>219.6</v>
      </c>
      <c r="I425" s="125">
        <v>1756.8000489999999</v>
      </c>
      <c r="J425">
        <f t="shared" si="49"/>
        <v>1.6710182767623961E-2</v>
      </c>
      <c r="K425">
        <f t="shared" si="50"/>
        <v>7.9999938461538439E-2</v>
      </c>
      <c r="L425">
        <f t="shared" si="51"/>
        <v>3.6288555147991827E-2</v>
      </c>
      <c r="M425">
        <f t="shared" si="52"/>
        <v>5.6906487158203938E-3</v>
      </c>
      <c r="N425">
        <f t="shared" si="53"/>
        <v>-5.3280173976077627E-3</v>
      </c>
      <c r="O425">
        <f t="shared" si="54"/>
        <v>1.3378838066314498E-2</v>
      </c>
      <c r="P425">
        <f t="shared" si="55"/>
        <v>5.8313253012048163E-2</v>
      </c>
      <c r="Q425">
        <f t="shared" si="56"/>
        <v>7.9174119334480455E-3</v>
      </c>
    </row>
    <row r="426" spans="1:17" x14ac:dyDescent="0.25">
      <c r="A426" s="139">
        <v>43489</v>
      </c>
      <c r="B426" s="148">
        <v>193.5</v>
      </c>
      <c r="C426" s="148">
        <v>37.349997999999999</v>
      </c>
      <c r="D426" s="148">
        <v>2267.5</v>
      </c>
      <c r="E426" s="148">
        <v>1051.119995</v>
      </c>
      <c r="F426" s="148">
        <v>1401.85</v>
      </c>
      <c r="G426" s="148">
        <v>1247.4499510000001</v>
      </c>
      <c r="H426" s="148">
        <v>215.4</v>
      </c>
      <c r="I426" s="125">
        <v>1759.5</v>
      </c>
      <c r="J426">
        <f t="shared" si="49"/>
        <v>-6.1633281972264444E-3</v>
      </c>
      <c r="K426">
        <f t="shared" si="50"/>
        <v>6.4102567755132067E-2</v>
      </c>
      <c r="L426">
        <f t="shared" si="51"/>
        <v>9.5725734639358854E-3</v>
      </c>
      <c r="M426">
        <f t="shared" si="52"/>
        <v>2.9770944656488715E-3</v>
      </c>
      <c r="N426">
        <f t="shared" si="53"/>
        <v>2.1644863899719285E-2</v>
      </c>
      <c r="O426">
        <f t="shared" si="54"/>
        <v>1.1636845906902531E-3</v>
      </c>
      <c r="P426">
        <f t="shared" si="55"/>
        <v>-1.9125683060109238E-2</v>
      </c>
      <c r="Q426">
        <f t="shared" si="56"/>
        <v>1.5368573114150999E-3</v>
      </c>
    </row>
    <row r="427" spans="1:17" x14ac:dyDescent="0.25">
      <c r="A427" s="139">
        <v>43488</v>
      </c>
      <c r="B427" s="148">
        <v>192.8</v>
      </c>
      <c r="C427" s="148">
        <v>37.950001</v>
      </c>
      <c r="D427" s="148">
        <v>2243.4</v>
      </c>
      <c r="E427" s="148">
        <v>1052.6999510000001</v>
      </c>
      <c r="F427" s="148">
        <v>1396.55</v>
      </c>
      <c r="G427" s="148">
        <v>1226.3000489999999</v>
      </c>
      <c r="H427" s="148">
        <v>197.25</v>
      </c>
      <c r="I427" s="125">
        <v>1767.1999510000001</v>
      </c>
      <c r="J427">
        <f t="shared" si="49"/>
        <v>-3.6175710594314658E-3</v>
      </c>
      <c r="K427">
        <f t="shared" si="50"/>
        <v>1.6064338209603141E-2</v>
      </c>
      <c r="L427">
        <f t="shared" si="51"/>
        <v>-1.0628445424476255E-2</v>
      </c>
      <c r="M427">
        <f t="shared" si="52"/>
        <v>1.5031166826961924E-3</v>
      </c>
      <c r="N427">
        <f t="shared" si="53"/>
        <v>-3.7807183364839E-3</v>
      </c>
      <c r="O427">
        <f t="shared" si="54"/>
        <v>-1.6954509463923264E-2</v>
      </c>
      <c r="P427">
        <f t="shared" si="55"/>
        <v>-8.4261838440111439E-2</v>
      </c>
      <c r="Q427">
        <f t="shared" si="56"/>
        <v>4.3762154021029015E-3</v>
      </c>
    </row>
    <row r="428" spans="1:17" x14ac:dyDescent="0.25">
      <c r="A428" s="139">
        <v>43487</v>
      </c>
      <c r="B428" s="148">
        <v>191.5</v>
      </c>
      <c r="C428" s="148">
        <v>37.75</v>
      </c>
      <c r="D428" s="148">
        <v>2177</v>
      </c>
      <c r="E428" s="148">
        <v>1067.9300539999999</v>
      </c>
      <c r="F428" s="148">
        <v>1406.95</v>
      </c>
      <c r="G428" s="148">
        <v>1235.150024</v>
      </c>
      <c r="H428" s="148">
        <v>192.2</v>
      </c>
      <c r="I428" s="125">
        <v>1750.1999510000001</v>
      </c>
      <c r="J428">
        <f t="shared" si="49"/>
        <v>-6.7427385892116767E-3</v>
      </c>
      <c r="K428">
        <f t="shared" si="50"/>
        <v>-5.2701184382050563E-3</v>
      </c>
      <c r="L428">
        <f t="shared" si="51"/>
        <v>-2.9597931710796152E-2</v>
      </c>
      <c r="M428">
        <f t="shared" si="52"/>
        <v>1.4467658125691193E-2</v>
      </c>
      <c r="N428">
        <f t="shared" si="53"/>
        <v>7.4469227739787985E-3</v>
      </c>
      <c r="O428">
        <f t="shared" si="54"/>
        <v>7.2168104431023193E-3</v>
      </c>
      <c r="P428">
        <f t="shared" si="55"/>
        <v>-2.5602027883396761E-2</v>
      </c>
      <c r="Q428">
        <f t="shared" si="56"/>
        <v>-9.6197377044857108E-3</v>
      </c>
    </row>
    <row r="429" spans="1:17" x14ac:dyDescent="0.25">
      <c r="A429" s="139">
        <v>43486</v>
      </c>
      <c r="B429" s="148">
        <v>198.45</v>
      </c>
      <c r="C429" s="148">
        <v>37.950001</v>
      </c>
      <c r="D429" s="148">
        <v>2179.6</v>
      </c>
      <c r="E429" s="148">
        <v>1074.0699460000001</v>
      </c>
      <c r="F429" s="148">
        <v>1422.1</v>
      </c>
      <c r="G429" s="148">
        <v>1237.6999510000001</v>
      </c>
      <c r="H429" s="148">
        <v>191.95</v>
      </c>
      <c r="I429" s="125">
        <v>1746.900024</v>
      </c>
      <c r="J429">
        <f t="shared" si="49"/>
        <v>3.6292428198433362E-2</v>
      </c>
      <c r="K429">
        <f t="shared" si="50"/>
        <v>5.298039735099346E-3</v>
      </c>
      <c r="L429">
        <f t="shared" si="51"/>
        <v>1.1943040881947217E-3</v>
      </c>
      <c r="M429">
        <f t="shared" si="52"/>
        <v>5.7493390854605033E-3</v>
      </c>
      <c r="N429">
        <f t="shared" si="53"/>
        <v>1.0767973275524974E-2</v>
      </c>
      <c r="O429">
        <f t="shared" si="54"/>
        <v>2.0644674334718916E-3</v>
      </c>
      <c r="P429">
        <f t="shared" si="55"/>
        <v>-1.3007284079084287E-3</v>
      </c>
      <c r="Q429">
        <f t="shared" si="56"/>
        <v>-1.8854571434049965E-3</v>
      </c>
    </row>
    <row r="430" spans="1:17" x14ac:dyDescent="0.25">
      <c r="A430" s="139">
        <v>43483</v>
      </c>
      <c r="B430" s="148">
        <v>198.7</v>
      </c>
      <c r="C430" s="148">
        <v>38.75</v>
      </c>
      <c r="D430" s="148">
        <v>2175.9</v>
      </c>
      <c r="E430" s="148">
        <v>1065.119995</v>
      </c>
      <c r="F430" s="148">
        <v>1400.45</v>
      </c>
      <c r="G430" s="148">
        <v>1184.349976</v>
      </c>
      <c r="H430" s="148">
        <v>198.6</v>
      </c>
      <c r="I430" s="125">
        <v>1744.099976</v>
      </c>
      <c r="J430">
        <f t="shared" si="49"/>
        <v>1.2597631645250695E-3</v>
      </c>
      <c r="K430">
        <f t="shared" si="50"/>
        <v>2.108034200051799E-2</v>
      </c>
      <c r="L430">
        <f t="shared" si="51"/>
        <v>-1.6975591851715076E-3</v>
      </c>
      <c r="M430">
        <f t="shared" si="52"/>
        <v>-8.332745025899882E-3</v>
      </c>
      <c r="N430">
        <f t="shared" si="53"/>
        <v>-1.5223964559454232E-2</v>
      </c>
      <c r="O430">
        <f t="shared" si="54"/>
        <v>-4.3104126292399021E-2</v>
      </c>
      <c r="P430">
        <f t="shared" si="55"/>
        <v>3.4644438655900008E-2</v>
      </c>
      <c r="Q430">
        <f t="shared" si="56"/>
        <v>-1.6028667705828945E-3</v>
      </c>
    </row>
    <row r="431" spans="1:17" x14ac:dyDescent="0.25">
      <c r="A431" s="139">
        <v>43482</v>
      </c>
      <c r="B431" s="148">
        <v>197.45</v>
      </c>
      <c r="C431" s="148">
        <v>39.650002000000001</v>
      </c>
      <c r="D431" s="148">
        <v>2180.1999999999998</v>
      </c>
      <c r="E431" s="148">
        <v>1066.150024</v>
      </c>
      <c r="F431" s="148">
        <v>1389.6</v>
      </c>
      <c r="G431" s="148">
        <v>1134.4499510000001</v>
      </c>
      <c r="H431" s="148">
        <v>201.5</v>
      </c>
      <c r="I431" s="125">
        <v>1751.5</v>
      </c>
      <c r="J431">
        <f t="shared" si="49"/>
        <v>-6.2908907901358833E-3</v>
      </c>
      <c r="K431">
        <f t="shared" si="50"/>
        <v>2.3225858064516144E-2</v>
      </c>
      <c r="L431">
        <f t="shared" si="51"/>
        <v>1.9761937589042361E-3</v>
      </c>
      <c r="M431">
        <f t="shared" si="52"/>
        <v>9.6705442094344792E-4</v>
      </c>
      <c r="N431">
        <f t="shared" si="53"/>
        <v>-7.747509729015771E-3</v>
      </c>
      <c r="O431">
        <f t="shared" si="54"/>
        <v>-4.2132837430816916E-2</v>
      </c>
      <c r="P431">
        <f t="shared" si="55"/>
        <v>1.4602215508559948E-2</v>
      </c>
      <c r="Q431">
        <f t="shared" si="56"/>
        <v>4.2428898009456949E-3</v>
      </c>
    </row>
    <row r="432" spans="1:17" x14ac:dyDescent="0.25">
      <c r="A432" s="139">
        <v>43481</v>
      </c>
      <c r="B432" s="148">
        <v>196.3</v>
      </c>
      <c r="C432" s="148">
        <v>39.150002000000001</v>
      </c>
      <c r="D432" s="148">
        <v>2202.75</v>
      </c>
      <c r="E432" s="148">
        <v>1060.099976</v>
      </c>
      <c r="F432" s="148">
        <v>1389.75</v>
      </c>
      <c r="G432" s="148">
        <v>1135.900024</v>
      </c>
      <c r="H432" s="148">
        <v>208.35</v>
      </c>
      <c r="I432" s="125">
        <v>1772.5500489999999</v>
      </c>
      <c r="J432">
        <f t="shared" si="49"/>
        <v>-5.8242593061533414E-3</v>
      </c>
      <c r="K432">
        <f t="shared" si="50"/>
        <v>-1.2610339843110222E-2</v>
      </c>
      <c r="L432">
        <f t="shared" si="51"/>
        <v>1.0343087790111083E-2</v>
      </c>
      <c r="M432">
        <f t="shared" si="52"/>
        <v>-5.6746685398940261E-3</v>
      </c>
      <c r="N432">
        <f t="shared" si="53"/>
        <v>1.0794473229712936E-4</v>
      </c>
      <c r="O432">
        <f t="shared" si="54"/>
        <v>1.2782168122284796E-3</v>
      </c>
      <c r="P432">
        <f t="shared" si="55"/>
        <v>3.3995037220843648E-2</v>
      </c>
      <c r="Q432">
        <f t="shared" si="56"/>
        <v>1.2018298030259746E-2</v>
      </c>
    </row>
    <row r="433" spans="1:17" x14ac:dyDescent="0.25">
      <c r="A433" s="139">
        <v>43480</v>
      </c>
      <c r="B433" s="148">
        <v>198.9</v>
      </c>
      <c r="C433" s="148">
        <v>38.75</v>
      </c>
      <c r="D433" s="148">
        <v>2166.9</v>
      </c>
      <c r="E433" s="148">
        <v>1060.9499510000001</v>
      </c>
      <c r="F433" s="148">
        <v>1405.95</v>
      </c>
      <c r="G433" s="148">
        <v>1129.650024</v>
      </c>
      <c r="H433" s="148">
        <v>203</v>
      </c>
      <c r="I433" s="125">
        <v>1789.849976</v>
      </c>
      <c r="J433">
        <f t="shared" si="49"/>
        <v>1.3245033112582752E-2</v>
      </c>
      <c r="K433">
        <f t="shared" si="50"/>
        <v>-1.021716422900823E-2</v>
      </c>
      <c r="L433">
        <f t="shared" si="51"/>
        <v>-1.6275110657133086E-2</v>
      </c>
      <c r="M433">
        <f t="shared" si="52"/>
        <v>8.0178758536269027E-4</v>
      </c>
      <c r="N433">
        <f t="shared" si="53"/>
        <v>1.1656772800863498E-2</v>
      </c>
      <c r="O433">
        <f t="shared" si="54"/>
        <v>-5.5022447996708555E-3</v>
      </c>
      <c r="P433">
        <f t="shared" si="55"/>
        <v>-2.5677945764338826E-2</v>
      </c>
      <c r="Q433">
        <f t="shared" si="56"/>
        <v>9.7599089006033622E-3</v>
      </c>
    </row>
    <row r="434" spans="1:17" x14ac:dyDescent="0.25">
      <c r="A434" s="139">
        <v>43479</v>
      </c>
      <c r="B434" s="148">
        <v>193.05</v>
      </c>
      <c r="C434" s="148">
        <v>39.599997999999999</v>
      </c>
      <c r="D434" s="148">
        <v>2051.1999999999998</v>
      </c>
      <c r="E434" s="148">
        <v>1050.8199460000001</v>
      </c>
      <c r="F434" s="148">
        <v>1388.6</v>
      </c>
      <c r="G434" s="148">
        <v>1096.8000489999999</v>
      </c>
      <c r="H434" s="148">
        <v>195.35</v>
      </c>
      <c r="I434" s="125">
        <v>1763.900024</v>
      </c>
      <c r="J434">
        <f t="shared" si="49"/>
        <v>-2.9411764705882325E-2</v>
      </c>
      <c r="K434">
        <f t="shared" si="50"/>
        <v>2.1935432258064498E-2</v>
      </c>
      <c r="L434">
        <f t="shared" si="51"/>
        <v>-5.3394249850016277E-2</v>
      </c>
      <c r="M434">
        <f t="shared" si="52"/>
        <v>-9.5480517157778555E-3</v>
      </c>
      <c r="N434">
        <f t="shared" si="53"/>
        <v>-1.2340410398662922E-2</v>
      </c>
      <c r="O434">
        <f t="shared" si="54"/>
        <v>-2.9079780730390251E-2</v>
      </c>
      <c r="P434">
        <f t="shared" si="55"/>
        <v>-3.7684729064039434E-2</v>
      </c>
      <c r="Q434">
        <f t="shared" si="56"/>
        <v>-1.4498395031964366E-2</v>
      </c>
    </row>
    <row r="435" spans="1:17" x14ac:dyDescent="0.25">
      <c r="A435" s="139">
        <v>43476</v>
      </c>
      <c r="B435" s="148">
        <v>196.6</v>
      </c>
      <c r="C435" s="148">
        <v>39.75</v>
      </c>
      <c r="D435" s="148">
        <v>2061.9499999999998</v>
      </c>
      <c r="E435" s="148">
        <v>1055.9499510000001</v>
      </c>
      <c r="F435" s="148">
        <v>1403.65</v>
      </c>
      <c r="G435" s="148">
        <v>1098.0500489999999</v>
      </c>
      <c r="H435" s="148">
        <v>184.25</v>
      </c>
      <c r="I435" s="125">
        <v>1769.400024</v>
      </c>
      <c r="J435">
        <f t="shared" si="49"/>
        <v>1.83890183890183E-2</v>
      </c>
      <c r="K435">
        <f t="shared" si="50"/>
        <v>3.7879294842388788E-3</v>
      </c>
      <c r="L435">
        <f t="shared" si="51"/>
        <v>5.2408346333853361E-3</v>
      </c>
      <c r="M435">
        <f t="shared" si="52"/>
        <v>4.8819067619791665E-3</v>
      </c>
      <c r="N435">
        <f t="shared" si="53"/>
        <v>1.0838254356906368E-2</v>
      </c>
      <c r="O435">
        <f t="shared" si="54"/>
        <v>1.1396790154592708E-3</v>
      </c>
      <c r="P435">
        <f t="shared" si="55"/>
        <v>-5.682109035065265E-2</v>
      </c>
      <c r="Q435">
        <f t="shared" si="56"/>
        <v>3.1180905522795095E-3</v>
      </c>
    </row>
    <row r="436" spans="1:17" x14ac:dyDescent="0.25">
      <c r="A436" s="139">
        <v>43475</v>
      </c>
      <c r="B436" s="148">
        <v>195.45</v>
      </c>
      <c r="C436" s="148">
        <v>40.650002000000001</v>
      </c>
      <c r="D436" s="148">
        <v>2077.6</v>
      </c>
      <c r="E436" s="148">
        <v>1054.25</v>
      </c>
      <c r="F436" s="148">
        <v>1396.35</v>
      </c>
      <c r="G436" s="148">
        <v>1107.5</v>
      </c>
      <c r="H436" s="148">
        <v>186.9</v>
      </c>
      <c r="I436" s="125">
        <v>1786.1999510000001</v>
      </c>
      <c r="J436">
        <f t="shared" si="49"/>
        <v>-5.8494404883011478E-3</v>
      </c>
      <c r="K436">
        <f t="shared" si="50"/>
        <v>2.264155974842769E-2</v>
      </c>
      <c r="L436">
        <f t="shared" si="51"/>
        <v>7.5899027619486855E-3</v>
      </c>
      <c r="M436">
        <f t="shared" si="52"/>
        <v>-1.6098783833364233E-3</v>
      </c>
      <c r="N436">
        <f t="shared" si="53"/>
        <v>-5.200726676878268E-3</v>
      </c>
      <c r="O436">
        <f t="shared" si="54"/>
        <v>8.6061204665544861E-3</v>
      </c>
      <c r="P436">
        <f t="shared" si="55"/>
        <v>1.4382632293080086E-2</v>
      </c>
      <c r="Q436">
        <f t="shared" si="56"/>
        <v>9.4947025953018883E-3</v>
      </c>
    </row>
    <row r="437" spans="1:17" x14ac:dyDescent="0.25">
      <c r="A437" s="139">
        <v>43474</v>
      </c>
      <c r="B437" s="148">
        <v>194.75</v>
      </c>
      <c r="C437" s="148">
        <v>40.650002000000001</v>
      </c>
      <c r="D437" s="148">
        <v>2096.1999999999998</v>
      </c>
      <c r="E437" s="148">
        <v>1058.400024</v>
      </c>
      <c r="F437" s="148">
        <v>1402</v>
      </c>
      <c r="G437" s="148">
        <v>1110.75</v>
      </c>
      <c r="H437" s="148">
        <v>186.45</v>
      </c>
      <c r="I437" s="125">
        <v>1785</v>
      </c>
      <c r="J437">
        <f t="shared" si="49"/>
        <v>-3.5814786390380594E-3</v>
      </c>
      <c r="K437">
        <f t="shared" si="50"/>
        <v>0</v>
      </c>
      <c r="L437">
        <f t="shared" si="51"/>
        <v>8.9526376588370763E-3</v>
      </c>
      <c r="M437">
        <f t="shared" si="52"/>
        <v>3.9364704766421911E-3</v>
      </c>
      <c r="N437">
        <f t="shared" si="53"/>
        <v>4.0462634726251235E-3</v>
      </c>
      <c r="O437">
        <f t="shared" si="54"/>
        <v>2.9345372460496612E-3</v>
      </c>
      <c r="P437">
        <f t="shared" si="55"/>
        <v>-2.4077046548957575E-3</v>
      </c>
      <c r="Q437">
        <f t="shared" si="56"/>
        <v>-6.7178985159431091E-4</v>
      </c>
    </row>
    <row r="438" spans="1:17" x14ac:dyDescent="0.25">
      <c r="A438" s="139">
        <v>43473</v>
      </c>
      <c r="B438" s="148">
        <v>195.65</v>
      </c>
      <c r="C438" s="148">
        <v>40.75</v>
      </c>
      <c r="D438" s="148">
        <v>2015.3</v>
      </c>
      <c r="E438" s="148">
        <v>1051.5</v>
      </c>
      <c r="F438" s="148">
        <v>1401.25</v>
      </c>
      <c r="G438" s="148">
        <v>1104.650024</v>
      </c>
      <c r="H438" s="148">
        <v>192.35</v>
      </c>
      <c r="I438" s="125">
        <v>1770.849976</v>
      </c>
      <c r="J438">
        <f t="shared" si="49"/>
        <v>4.6213093709884757E-3</v>
      </c>
      <c r="K438">
        <f t="shared" si="50"/>
        <v>2.4599752787219879E-3</v>
      </c>
      <c r="L438">
        <f t="shared" si="51"/>
        <v>-3.8593645644499512E-2</v>
      </c>
      <c r="M438">
        <f t="shared" si="52"/>
        <v>-6.5192969043243619E-3</v>
      </c>
      <c r="N438">
        <f t="shared" si="53"/>
        <v>-5.3495007132667619E-4</v>
      </c>
      <c r="O438">
        <f t="shared" si="54"/>
        <v>-5.4917632230474635E-3</v>
      </c>
      <c r="P438">
        <f t="shared" si="55"/>
        <v>3.1643872351836987E-2</v>
      </c>
      <c r="Q438">
        <f t="shared" si="56"/>
        <v>-7.9271843137255077E-3</v>
      </c>
    </row>
    <row r="439" spans="1:17" x14ac:dyDescent="0.25">
      <c r="A439" s="139">
        <v>43472</v>
      </c>
      <c r="B439" s="148">
        <v>193.45</v>
      </c>
      <c r="C439" s="148">
        <v>41.099997999999999</v>
      </c>
      <c r="D439" s="148">
        <v>2007.9</v>
      </c>
      <c r="E439" s="148">
        <v>1060.3199460000001</v>
      </c>
      <c r="F439" s="148">
        <v>1396</v>
      </c>
      <c r="G439" s="148">
        <v>1104.75</v>
      </c>
      <c r="H439" s="148">
        <v>187.15</v>
      </c>
      <c r="I439" s="125">
        <v>1784.9499510000001</v>
      </c>
      <c r="J439">
        <f t="shared" si="49"/>
        <v>-1.1244569384104355E-2</v>
      </c>
      <c r="K439">
        <f t="shared" si="50"/>
        <v>8.5889079754601066E-3</v>
      </c>
      <c r="L439">
        <f t="shared" si="51"/>
        <v>-3.6719098893464317E-3</v>
      </c>
      <c r="M439">
        <f t="shared" si="52"/>
        <v>8.387965763195504E-3</v>
      </c>
      <c r="N439">
        <f t="shared" si="53"/>
        <v>-3.7466547725245316E-3</v>
      </c>
      <c r="O439">
        <f t="shared" si="54"/>
        <v>9.0504682775410537E-5</v>
      </c>
      <c r="P439">
        <f t="shared" si="55"/>
        <v>-2.7034052508448082E-2</v>
      </c>
      <c r="Q439">
        <f t="shared" si="56"/>
        <v>7.9622639924863316E-3</v>
      </c>
    </row>
    <row r="440" spans="1:17" x14ac:dyDescent="0.25">
      <c r="A440" s="139">
        <v>43469</v>
      </c>
      <c r="B440" s="148">
        <v>192.9</v>
      </c>
      <c r="C440" s="148">
        <v>40.549999</v>
      </c>
      <c r="D440" s="148">
        <v>2044.2</v>
      </c>
      <c r="E440" s="148">
        <v>1058.719971</v>
      </c>
      <c r="F440" s="148">
        <v>1385.85</v>
      </c>
      <c r="G440" s="148">
        <v>1098.650024</v>
      </c>
      <c r="H440" s="148">
        <v>189.65</v>
      </c>
      <c r="I440" s="125">
        <v>1781.6999510000001</v>
      </c>
      <c r="J440">
        <f t="shared" si="49"/>
        <v>-2.843111915223484E-3</v>
      </c>
      <c r="K440">
        <f t="shared" si="50"/>
        <v>-1.3381971454110525E-2</v>
      </c>
      <c r="L440">
        <f t="shared" si="51"/>
        <v>1.8078589571193762E-2</v>
      </c>
      <c r="M440">
        <f t="shared" si="52"/>
        <v>-1.5089549206689032E-3</v>
      </c>
      <c r="N440">
        <f t="shared" si="53"/>
        <v>-7.2707736389685468E-3</v>
      </c>
      <c r="O440">
        <f t="shared" si="54"/>
        <v>-5.521589499886825E-3</v>
      </c>
      <c r="P440">
        <f t="shared" si="55"/>
        <v>1.3358268768367619E-2</v>
      </c>
      <c r="Q440">
        <f t="shared" si="56"/>
        <v>-1.8207793435212121E-3</v>
      </c>
    </row>
    <row r="441" spans="1:17" x14ac:dyDescent="0.25">
      <c r="A441" s="139">
        <v>43468</v>
      </c>
      <c r="B441" s="148">
        <v>187.95</v>
      </c>
      <c r="C441" s="148">
        <v>40.950001</v>
      </c>
      <c r="D441" s="148">
        <v>2036.25</v>
      </c>
      <c r="E441" s="148">
        <v>1055.900024</v>
      </c>
      <c r="F441" s="148">
        <v>1388.3</v>
      </c>
      <c r="G441" s="148">
        <v>1092.75</v>
      </c>
      <c r="H441" s="148">
        <v>184.1</v>
      </c>
      <c r="I441" s="125">
        <v>1788.400024</v>
      </c>
      <c r="J441">
        <f t="shared" si="49"/>
        <v>-2.5660964230171161E-2</v>
      </c>
      <c r="K441">
        <f t="shared" si="50"/>
        <v>9.864414546594702E-3</v>
      </c>
      <c r="L441">
        <f t="shared" si="51"/>
        <v>-3.8890519518638318E-3</v>
      </c>
      <c r="M441">
        <f t="shared" si="52"/>
        <v>-2.6635437861216621E-3</v>
      </c>
      <c r="N441">
        <f t="shared" si="53"/>
        <v>1.7678680953927522E-3</v>
      </c>
      <c r="O441">
        <f t="shared" si="54"/>
        <v>-5.3702488245702075E-3</v>
      </c>
      <c r="P441">
        <f t="shared" si="55"/>
        <v>-2.9264434484576912E-2</v>
      </c>
      <c r="Q441">
        <f t="shared" si="56"/>
        <v>3.7604945749925402E-3</v>
      </c>
    </row>
    <row r="442" spans="1:17" x14ac:dyDescent="0.25">
      <c r="A442" s="139">
        <v>43467</v>
      </c>
      <c r="B442" s="148">
        <v>193.15</v>
      </c>
      <c r="C442" s="148">
        <v>41.150002000000001</v>
      </c>
      <c r="D442" s="148">
        <v>2010.55</v>
      </c>
      <c r="E442" s="148">
        <v>1064.25</v>
      </c>
      <c r="F442" s="148">
        <v>1383.3</v>
      </c>
      <c r="G442" s="148">
        <v>1106.400024</v>
      </c>
      <c r="H442" s="148">
        <v>184.65</v>
      </c>
      <c r="I442" s="125">
        <v>1784.599976</v>
      </c>
      <c r="J442">
        <f t="shared" si="49"/>
        <v>2.7666932694865747E-2</v>
      </c>
      <c r="K442">
        <f t="shared" si="50"/>
        <v>4.8840291847612001E-3</v>
      </c>
      <c r="L442">
        <f t="shared" si="51"/>
        <v>-1.2621240024554965E-2</v>
      </c>
      <c r="M442">
        <f t="shared" si="52"/>
        <v>7.907922919035722E-3</v>
      </c>
      <c r="N442">
        <f t="shared" si="53"/>
        <v>-3.6015270474681264E-3</v>
      </c>
      <c r="O442">
        <f t="shared" si="54"/>
        <v>1.2491442690459877E-2</v>
      </c>
      <c r="P442">
        <f t="shared" si="55"/>
        <v>2.9875067897882205E-3</v>
      </c>
      <c r="Q442">
        <f t="shared" si="56"/>
        <v>-2.1248311054596924E-3</v>
      </c>
    </row>
    <row r="443" spans="1:17" x14ac:dyDescent="0.25">
      <c r="A443" s="139">
        <v>43466</v>
      </c>
      <c r="B443" s="148">
        <v>202.1</v>
      </c>
      <c r="C443" s="148">
        <v>41.400002000000001</v>
      </c>
      <c r="D443" s="148">
        <v>2043.1</v>
      </c>
      <c r="E443" s="148">
        <v>1074.0500489999999</v>
      </c>
      <c r="F443" s="148">
        <v>1371.55</v>
      </c>
      <c r="G443" s="148">
        <v>1121</v>
      </c>
      <c r="H443" s="148">
        <v>184.25</v>
      </c>
      <c r="I443" s="125">
        <v>1801.099976</v>
      </c>
      <c r="J443">
        <f t="shared" si="49"/>
        <v>4.6337043748382024E-2</v>
      </c>
      <c r="K443">
        <f t="shared" si="50"/>
        <v>6.0753338481004202E-3</v>
      </c>
      <c r="L443">
        <f t="shared" si="51"/>
        <v>1.6189599860734604E-2</v>
      </c>
      <c r="M443">
        <f t="shared" si="52"/>
        <v>9.2084087385482221E-3</v>
      </c>
      <c r="N443">
        <f t="shared" si="53"/>
        <v>-8.4941805826646427E-3</v>
      </c>
      <c r="O443">
        <f t="shared" si="54"/>
        <v>1.3195928853305927E-2</v>
      </c>
      <c r="P443">
        <f t="shared" si="55"/>
        <v>-2.1662604928242928E-3</v>
      </c>
      <c r="Q443">
        <f t="shared" si="56"/>
        <v>9.2457694844214205E-3</v>
      </c>
    </row>
    <row r="444" spans="1:17" x14ac:dyDescent="0.25">
      <c r="A444" s="139">
        <v>43465</v>
      </c>
      <c r="B444" s="148">
        <v>202.2</v>
      </c>
      <c r="C444" s="148">
        <v>41.849997999999999</v>
      </c>
      <c r="D444" s="148">
        <v>2062.9</v>
      </c>
      <c r="E444" s="148">
        <v>1060.849976</v>
      </c>
      <c r="F444" s="148">
        <v>1373.05</v>
      </c>
      <c r="G444" s="148">
        <v>1121.25</v>
      </c>
      <c r="H444" s="148">
        <v>181.8</v>
      </c>
      <c r="I444" s="125">
        <v>1819.650024</v>
      </c>
      <c r="J444">
        <f t="shared" si="49"/>
        <v>4.9480455220185212E-4</v>
      </c>
      <c r="K444">
        <f t="shared" si="50"/>
        <v>1.086946807393871E-2</v>
      </c>
      <c r="L444">
        <f t="shared" si="51"/>
        <v>9.6911555968871733E-3</v>
      </c>
      <c r="M444">
        <f t="shared" si="52"/>
        <v>-1.2289998042726196E-2</v>
      </c>
      <c r="N444">
        <f t="shared" si="53"/>
        <v>1.093653166125916E-3</v>
      </c>
      <c r="O444">
        <f t="shared" si="54"/>
        <v>2.2301516503122213E-4</v>
      </c>
      <c r="P444">
        <f t="shared" si="55"/>
        <v>-1.3297150610583385E-2</v>
      </c>
      <c r="Q444">
        <f t="shared" si="56"/>
        <v>1.0299288349998879E-2</v>
      </c>
    </row>
    <row r="445" spans="1:17" x14ac:dyDescent="0.25">
      <c r="A445" s="139">
        <v>43462</v>
      </c>
      <c r="B445" s="148">
        <v>199.4</v>
      </c>
      <c r="C445" s="148">
        <v>41.700001</v>
      </c>
      <c r="D445" s="148">
        <v>2062.1</v>
      </c>
      <c r="E445" s="148">
        <v>1061.4499510000001</v>
      </c>
      <c r="F445" s="148">
        <v>1366</v>
      </c>
      <c r="G445" s="148">
        <v>1125.5500489999999</v>
      </c>
      <c r="H445" s="148">
        <v>181.45</v>
      </c>
      <c r="I445" s="125">
        <v>1822.0500489999999</v>
      </c>
      <c r="J445">
        <f t="shared" si="49"/>
        <v>-1.3847675568743735E-2</v>
      </c>
      <c r="K445">
        <f t="shared" si="50"/>
        <v>-3.5841578773790875E-3</v>
      </c>
      <c r="L445">
        <f t="shared" si="51"/>
        <v>-3.8780357748809048E-4</v>
      </c>
      <c r="M445">
        <f t="shared" si="52"/>
        <v>5.6556064813455384E-4</v>
      </c>
      <c r="N445">
        <f t="shared" si="53"/>
        <v>-5.1345544590509851E-3</v>
      </c>
      <c r="O445">
        <f t="shared" si="54"/>
        <v>3.8350492753622695E-3</v>
      </c>
      <c r="P445">
        <f t="shared" si="55"/>
        <v>-1.92519251925205E-3</v>
      </c>
      <c r="Q445">
        <f t="shared" si="56"/>
        <v>1.3189486815294951E-3</v>
      </c>
    </row>
    <row r="446" spans="1:17" x14ac:dyDescent="0.25">
      <c r="A446" s="139">
        <v>43461</v>
      </c>
      <c r="B446" s="148">
        <v>195.85</v>
      </c>
      <c r="C446" s="148">
        <v>41.450001</v>
      </c>
      <c r="D446" s="148">
        <v>2079.5</v>
      </c>
      <c r="E446" s="148">
        <v>1052.530029</v>
      </c>
      <c r="F446" s="148">
        <v>1372.5</v>
      </c>
      <c r="G446" s="148">
        <v>1120.1999510000001</v>
      </c>
      <c r="H446" s="148">
        <v>178.1</v>
      </c>
      <c r="I446" s="125">
        <v>1814.900024</v>
      </c>
      <c r="J446">
        <f t="shared" si="49"/>
        <v>-1.7803410230692134E-2</v>
      </c>
      <c r="K446">
        <f t="shared" si="50"/>
        <v>-5.9952036931605829E-3</v>
      </c>
      <c r="L446">
        <f t="shared" si="51"/>
        <v>8.4380000969885519E-3</v>
      </c>
      <c r="M446">
        <f t="shared" si="52"/>
        <v>-8.4035257541785324E-3</v>
      </c>
      <c r="N446">
        <f t="shared" si="53"/>
        <v>4.7584187408491949E-3</v>
      </c>
      <c r="O446">
        <f t="shared" si="54"/>
        <v>-4.7533186149769239E-3</v>
      </c>
      <c r="P446">
        <f t="shared" si="55"/>
        <v>-1.8462386332322923E-2</v>
      </c>
      <c r="Q446">
        <f t="shared" si="56"/>
        <v>-3.9241649832418594E-3</v>
      </c>
    </row>
    <row r="447" spans="1:17" x14ac:dyDescent="0.25">
      <c r="A447" s="139">
        <v>43460</v>
      </c>
      <c r="B447" s="148">
        <v>196.4</v>
      </c>
      <c r="C447" s="148">
        <v>41.549999</v>
      </c>
      <c r="D447" s="148">
        <v>2059.1999999999998</v>
      </c>
      <c r="E447" s="148">
        <v>1061.1800539999999</v>
      </c>
      <c r="F447" s="148">
        <v>1363</v>
      </c>
      <c r="G447" s="148">
        <v>1098.349976</v>
      </c>
      <c r="H447" s="148">
        <v>179.45</v>
      </c>
      <c r="I447" s="125">
        <v>1791.599976</v>
      </c>
      <c r="J447">
        <f t="shared" si="49"/>
        <v>2.80827163645653E-3</v>
      </c>
      <c r="K447">
        <f t="shared" si="50"/>
        <v>2.4124969261158612E-3</v>
      </c>
      <c r="L447">
        <f t="shared" si="51"/>
        <v>-9.7619620100986692E-3</v>
      </c>
      <c r="M447">
        <f t="shared" si="52"/>
        <v>8.2183165911363411E-3</v>
      </c>
      <c r="N447">
        <f t="shared" si="53"/>
        <v>-6.9216757741347905E-3</v>
      </c>
      <c r="O447">
        <f t="shared" si="54"/>
        <v>-1.9505423991935243E-2</v>
      </c>
      <c r="P447">
        <f t="shared" si="55"/>
        <v>7.5800112296462345E-3</v>
      </c>
      <c r="Q447">
        <f t="shared" si="56"/>
        <v>-1.2838199180055805E-2</v>
      </c>
    </row>
    <row r="448" spans="1:17" x14ac:dyDescent="0.25">
      <c r="A448" s="139">
        <v>43458</v>
      </c>
      <c r="B448" s="148">
        <v>196.4</v>
      </c>
      <c r="C448" s="148">
        <v>42.150002000000001</v>
      </c>
      <c r="D448" s="148">
        <v>2101.1</v>
      </c>
      <c r="E448" s="148">
        <v>1040.3199460000001</v>
      </c>
      <c r="F448" s="148">
        <v>1357.05</v>
      </c>
      <c r="G448" s="148">
        <v>1089.150024</v>
      </c>
      <c r="H448" s="148">
        <v>182.3</v>
      </c>
      <c r="I448" s="125">
        <v>1784.650024</v>
      </c>
      <c r="J448">
        <f t="shared" si="49"/>
        <v>0</v>
      </c>
      <c r="K448">
        <f t="shared" si="50"/>
        <v>1.4440505762707743E-2</v>
      </c>
      <c r="L448">
        <f t="shared" si="51"/>
        <v>2.0347707847707893E-2</v>
      </c>
      <c r="M448">
        <f t="shared" si="52"/>
        <v>-1.965746333185401E-2</v>
      </c>
      <c r="N448">
        <f t="shared" si="53"/>
        <v>-4.3653705062362772E-3</v>
      </c>
      <c r="O448">
        <f t="shared" si="54"/>
        <v>-8.376157145743808E-3</v>
      </c>
      <c r="P448">
        <f t="shared" si="55"/>
        <v>1.5881861242686111E-2</v>
      </c>
      <c r="Q448">
        <f t="shared" si="56"/>
        <v>-3.8791873705628691E-3</v>
      </c>
    </row>
    <row r="449" spans="1:17" x14ac:dyDescent="0.25">
      <c r="A449" s="139">
        <v>43455</v>
      </c>
      <c r="B449" s="148">
        <v>200.05</v>
      </c>
      <c r="C449" s="148">
        <v>42.5</v>
      </c>
      <c r="D449" s="148">
        <v>2144.9499999999998</v>
      </c>
      <c r="E449" s="148">
        <v>1055.5699460000001</v>
      </c>
      <c r="F449" s="148">
        <v>1388.2</v>
      </c>
      <c r="G449" s="148">
        <v>1100.1999510000001</v>
      </c>
      <c r="H449" s="148">
        <v>182.95</v>
      </c>
      <c r="I449" s="125">
        <v>1803.5</v>
      </c>
      <c r="J449">
        <f t="shared" si="49"/>
        <v>1.8584521384928745E-2</v>
      </c>
      <c r="K449">
        <f t="shared" si="50"/>
        <v>8.3036294992346465E-3</v>
      </c>
      <c r="L449">
        <f t="shared" si="51"/>
        <v>2.0870020465470426E-2</v>
      </c>
      <c r="M449">
        <f t="shared" si="52"/>
        <v>1.4658951852875461E-2</v>
      </c>
      <c r="N449">
        <f t="shared" si="53"/>
        <v>2.2954202129619464E-2</v>
      </c>
      <c r="O449">
        <f t="shared" si="54"/>
        <v>1.0145459079565723E-2</v>
      </c>
      <c r="P449">
        <f t="shared" si="55"/>
        <v>3.5655512890838026E-3</v>
      </c>
      <c r="Q449">
        <f t="shared" si="56"/>
        <v>1.0562281537839471E-2</v>
      </c>
    </row>
    <row r="450" spans="1:17" x14ac:dyDescent="0.25">
      <c r="A450" s="139">
        <v>43454</v>
      </c>
      <c r="B450" s="148">
        <v>202.75</v>
      </c>
      <c r="C450" s="148">
        <v>43.950001</v>
      </c>
      <c r="D450" s="148">
        <v>2111</v>
      </c>
      <c r="E450" s="148">
        <v>1068.719971</v>
      </c>
      <c r="F450" s="148">
        <v>1425.8</v>
      </c>
      <c r="G450" s="148">
        <v>1128.4499510000001</v>
      </c>
      <c r="H450" s="148">
        <v>186.75</v>
      </c>
      <c r="I450" s="125">
        <v>1834.25</v>
      </c>
      <c r="J450">
        <f t="shared" si="49"/>
        <v>1.3496625843539058E-2</v>
      </c>
      <c r="K450">
        <f t="shared" si="50"/>
        <v>3.4117670588235303E-2</v>
      </c>
      <c r="L450">
        <f t="shared" si="51"/>
        <v>-1.5827874775635711E-2</v>
      </c>
      <c r="M450">
        <f t="shared" si="52"/>
        <v>1.2457748583910433E-2</v>
      </c>
      <c r="N450">
        <f t="shared" si="53"/>
        <v>2.7085434375450156E-2</v>
      </c>
      <c r="O450">
        <f t="shared" si="54"/>
        <v>2.5677150752754396E-2</v>
      </c>
      <c r="P450">
        <f t="shared" si="55"/>
        <v>2.0770702377698888E-2</v>
      </c>
      <c r="Q450">
        <f t="shared" si="56"/>
        <v>1.705018020515664E-2</v>
      </c>
    </row>
    <row r="451" spans="1:17" x14ac:dyDescent="0.25">
      <c r="A451" s="139">
        <v>43453</v>
      </c>
      <c r="B451" s="148">
        <v>206.85</v>
      </c>
      <c r="C451" s="148">
        <v>44.150002000000001</v>
      </c>
      <c r="D451" s="148">
        <v>2121.65</v>
      </c>
      <c r="E451" s="148">
        <v>1061.719971</v>
      </c>
      <c r="F451" s="148">
        <v>1400.25</v>
      </c>
      <c r="G451" s="148">
        <v>1136.8000489999999</v>
      </c>
      <c r="H451" s="148">
        <v>179.55</v>
      </c>
      <c r="I451" s="125">
        <v>1844.8000489999999</v>
      </c>
      <c r="J451">
        <f t="shared" si="49"/>
        <v>2.0221948212083819E-2</v>
      </c>
      <c r="K451">
        <f t="shared" si="50"/>
        <v>4.5506483606223428E-3</v>
      </c>
      <c r="L451">
        <f t="shared" si="51"/>
        <v>5.0450023685457562E-3</v>
      </c>
      <c r="M451">
        <f t="shared" si="52"/>
        <v>-6.5498916366745806E-3</v>
      </c>
      <c r="N451">
        <f t="shared" si="53"/>
        <v>-1.7919764342825051E-2</v>
      </c>
      <c r="O451">
        <f t="shared" si="54"/>
        <v>7.3996174953087383E-3</v>
      </c>
      <c r="P451">
        <f t="shared" si="55"/>
        <v>-3.855421686746982E-2</v>
      </c>
      <c r="Q451">
        <f t="shared" si="56"/>
        <v>5.7516963336513259E-3</v>
      </c>
    </row>
    <row r="452" spans="1:17" x14ac:dyDescent="0.25">
      <c r="A452" s="139">
        <v>43452</v>
      </c>
      <c r="B452" s="148">
        <v>208.55</v>
      </c>
      <c r="C452" s="148">
        <v>44.25</v>
      </c>
      <c r="D452" s="148">
        <v>2030.75</v>
      </c>
      <c r="E452" s="148">
        <v>1067.719971</v>
      </c>
      <c r="F452" s="148">
        <v>1355.7</v>
      </c>
      <c r="G452" s="148">
        <v>1136.400024</v>
      </c>
      <c r="H452" s="148">
        <v>179</v>
      </c>
      <c r="I452" s="125">
        <v>1840.75</v>
      </c>
      <c r="J452">
        <f t="shared" ref="J452:J491" si="57">(B452-B451)/B451</f>
        <v>8.218515832729114E-3</v>
      </c>
      <c r="K452">
        <f t="shared" ref="K452:K491" si="58">(C452-C451)/C451</f>
        <v>2.2649602597979352E-3</v>
      </c>
      <c r="L452">
        <f t="shared" ref="L452:L491" si="59">(D452-D451)/D451</f>
        <v>-4.2844012914476981E-2</v>
      </c>
      <c r="M452">
        <f t="shared" ref="M452:M491" si="60">(E452-E451)/E451</f>
        <v>5.6512076290217957E-3</v>
      </c>
      <c r="N452">
        <f t="shared" ref="N452:N491" si="61">(F452-F451)/F451</f>
        <v>-3.1815747188002112E-2</v>
      </c>
      <c r="O452">
        <f t="shared" ref="O452:O491" si="62">(G452-G451)/G451</f>
        <v>-3.5188686027221852E-4</v>
      </c>
      <c r="P452">
        <f t="shared" ref="P452:P491" si="63">(H452-H451)/H451</f>
        <v>-3.0632135895294422E-3</v>
      </c>
      <c r="Q452">
        <f t="shared" ref="Q452:Q491" si="64">(I452-I451)/I451</f>
        <v>-2.1953864334486174E-3</v>
      </c>
    </row>
    <row r="453" spans="1:17" x14ac:dyDescent="0.25">
      <c r="A453" s="139">
        <v>43451</v>
      </c>
      <c r="B453" s="148">
        <v>205.5</v>
      </c>
      <c r="C453" s="148">
        <v>44.650002000000001</v>
      </c>
      <c r="D453" s="148">
        <v>2011.85</v>
      </c>
      <c r="E453" s="148">
        <v>1065.099976</v>
      </c>
      <c r="F453" s="148">
        <v>1335.85</v>
      </c>
      <c r="G453" s="148">
        <v>1129.900024</v>
      </c>
      <c r="H453" s="148">
        <v>181</v>
      </c>
      <c r="I453" s="125">
        <v>1850.6999510000001</v>
      </c>
      <c r="J453">
        <f t="shared" si="57"/>
        <v>-1.4624790218173154E-2</v>
      </c>
      <c r="K453">
        <f t="shared" si="58"/>
        <v>9.0395932203389973E-3</v>
      </c>
      <c r="L453">
        <f t="shared" si="59"/>
        <v>-9.3069063154007595E-3</v>
      </c>
      <c r="M453">
        <f t="shared" si="60"/>
        <v>-2.4538222297614187E-3</v>
      </c>
      <c r="N453">
        <f t="shared" si="61"/>
        <v>-1.464188242236493E-2</v>
      </c>
      <c r="O453">
        <f t="shared" si="62"/>
        <v>-5.719816845058426E-3</v>
      </c>
      <c r="P453">
        <f t="shared" si="63"/>
        <v>1.11731843575419E-2</v>
      </c>
      <c r="Q453">
        <f t="shared" si="64"/>
        <v>5.4053787858210269E-3</v>
      </c>
    </row>
    <row r="454" spans="1:17" x14ac:dyDescent="0.25">
      <c r="A454" s="139">
        <v>43448</v>
      </c>
      <c r="B454" s="148">
        <v>201.6</v>
      </c>
      <c r="C454" s="148">
        <v>44.150002000000001</v>
      </c>
      <c r="D454" s="148">
        <v>1960.4</v>
      </c>
      <c r="E454" s="148">
        <v>1047.849976</v>
      </c>
      <c r="F454" s="148">
        <v>1340.95</v>
      </c>
      <c r="G454" s="148">
        <v>1112.1999510000001</v>
      </c>
      <c r="H454" s="148">
        <v>180.35</v>
      </c>
      <c r="I454" s="125">
        <v>1860.5500489999999</v>
      </c>
      <c r="J454">
        <f t="shared" si="57"/>
        <v>-1.8978102189781049E-2</v>
      </c>
      <c r="K454">
        <f t="shared" si="58"/>
        <v>-1.1198207785074679E-2</v>
      </c>
      <c r="L454">
        <f t="shared" si="59"/>
        <v>-2.5573477147898611E-2</v>
      </c>
      <c r="M454">
        <f t="shared" si="60"/>
        <v>-1.6195662744057746E-2</v>
      </c>
      <c r="N454">
        <f t="shared" si="61"/>
        <v>3.8177939139874511E-3</v>
      </c>
      <c r="O454">
        <f t="shared" si="62"/>
        <v>-1.5665167381216E-2</v>
      </c>
      <c r="P454">
        <f t="shared" si="63"/>
        <v>-3.5911602209945065E-3</v>
      </c>
      <c r="Q454">
        <f t="shared" si="64"/>
        <v>5.3223635709708237E-3</v>
      </c>
    </row>
    <row r="455" spans="1:17" x14ac:dyDescent="0.25">
      <c r="A455" s="139">
        <v>43447</v>
      </c>
      <c r="B455" s="148">
        <v>200.65</v>
      </c>
      <c r="C455" s="148">
        <v>44.299999</v>
      </c>
      <c r="D455" s="148">
        <v>1964.25</v>
      </c>
      <c r="E455" s="148">
        <v>1050.650024</v>
      </c>
      <c r="F455" s="148">
        <v>1320.2</v>
      </c>
      <c r="G455" s="148">
        <v>1107.0500489999999</v>
      </c>
      <c r="H455" s="148">
        <v>174.7</v>
      </c>
      <c r="I455" s="125">
        <v>1855.5500489999999</v>
      </c>
      <c r="J455">
        <f t="shared" si="57"/>
        <v>-4.7123015873015307E-3</v>
      </c>
      <c r="K455">
        <f t="shared" si="58"/>
        <v>3.3974403896969031E-3</v>
      </c>
      <c r="L455">
        <f t="shared" si="59"/>
        <v>1.9638849214445564E-3</v>
      </c>
      <c r="M455">
        <f t="shared" si="60"/>
        <v>2.6721840570047986E-3</v>
      </c>
      <c r="N455">
        <f t="shared" si="61"/>
        <v>-1.5474104179872479E-2</v>
      </c>
      <c r="O455">
        <f t="shared" si="62"/>
        <v>-4.6303742374469055E-3</v>
      </c>
      <c r="P455">
        <f t="shared" si="63"/>
        <v>-3.1327973385084591E-2</v>
      </c>
      <c r="Q455">
        <f t="shared" si="64"/>
        <v>-2.6873773176310832E-3</v>
      </c>
    </row>
    <row r="456" spans="1:17" x14ac:dyDescent="0.25">
      <c r="A456" s="139">
        <v>43446</v>
      </c>
      <c r="B456" s="148">
        <v>199.3</v>
      </c>
      <c r="C456" s="148">
        <v>44.799999</v>
      </c>
      <c r="D456" s="148">
        <v>1952.55</v>
      </c>
      <c r="E456" s="148">
        <v>1042.650024</v>
      </c>
      <c r="F456" s="148">
        <v>1330.9</v>
      </c>
      <c r="G456" s="148">
        <v>1110.5</v>
      </c>
      <c r="H456" s="148">
        <v>186.6</v>
      </c>
      <c r="I456" s="125">
        <v>1839.099976</v>
      </c>
      <c r="J456">
        <f t="shared" si="57"/>
        <v>-6.7281335659107617E-3</v>
      </c>
      <c r="K456">
        <f t="shared" si="58"/>
        <v>1.1286681970353995E-2</v>
      </c>
      <c r="L456">
        <f t="shared" si="59"/>
        <v>-5.9564719358534022E-3</v>
      </c>
      <c r="M456">
        <f t="shared" si="60"/>
        <v>-7.6143338097901187E-3</v>
      </c>
      <c r="N456">
        <f t="shared" si="61"/>
        <v>8.1048326011210758E-3</v>
      </c>
      <c r="O456">
        <f t="shared" si="62"/>
        <v>3.1163460072256006E-3</v>
      </c>
      <c r="P456">
        <f t="shared" si="63"/>
        <v>6.8116771608471696E-2</v>
      </c>
      <c r="Q456">
        <f t="shared" si="64"/>
        <v>-8.8653351112061417E-3</v>
      </c>
    </row>
    <row r="457" spans="1:17" x14ac:dyDescent="0.25">
      <c r="A457" s="139">
        <v>43445</v>
      </c>
      <c r="B457" s="148">
        <v>193.55</v>
      </c>
      <c r="C457" s="148">
        <v>43.349997999999999</v>
      </c>
      <c r="D457" s="148">
        <v>1933.1</v>
      </c>
      <c r="E457" s="148">
        <v>1029.780029</v>
      </c>
      <c r="F457" s="148">
        <v>1323.6</v>
      </c>
      <c r="G457" s="148">
        <v>1097.5500489999999</v>
      </c>
      <c r="H457" s="148">
        <v>177.85</v>
      </c>
      <c r="I457" s="125">
        <v>1794.900024</v>
      </c>
      <c r="J457">
        <f t="shared" si="57"/>
        <v>-2.8850978424485699E-2</v>
      </c>
      <c r="K457">
        <f t="shared" si="58"/>
        <v>-3.2366094472457474E-2</v>
      </c>
      <c r="L457">
        <f t="shared" si="59"/>
        <v>-9.9613326163222691E-3</v>
      </c>
      <c r="M457">
        <f t="shared" si="60"/>
        <v>-1.2343542611379653E-2</v>
      </c>
      <c r="N457">
        <f t="shared" si="61"/>
        <v>-5.4850101435120454E-3</v>
      </c>
      <c r="O457">
        <f t="shared" si="62"/>
        <v>-1.166136965330937E-2</v>
      </c>
      <c r="P457">
        <f t="shared" si="63"/>
        <v>-4.6891747052518758E-2</v>
      </c>
      <c r="Q457">
        <f t="shared" si="64"/>
        <v>-2.4033468858030118E-2</v>
      </c>
    </row>
    <row r="458" spans="1:17" x14ac:dyDescent="0.25">
      <c r="A458" s="139">
        <v>43444</v>
      </c>
      <c r="B458" s="148">
        <v>192.55</v>
      </c>
      <c r="C458" s="148">
        <v>41.299999</v>
      </c>
      <c r="D458" s="148">
        <v>1914.8</v>
      </c>
      <c r="E458" s="148">
        <v>1044.380005</v>
      </c>
      <c r="F458" s="148">
        <v>1274.2</v>
      </c>
      <c r="G458" s="148">
        <v>1090.25</v>
      </c>
      <c r="H458" s="148">
        <v>165.65</v>
      </c>
      <c r="I458" s="125">
        <v>1795.8000489999999</v>
      </c>
      <c r="J458">
        <f t="shared" si="57"/>
        <v>-5.1666236114699038E-3</v>
      </c>
      <c r="K458">
        <f t="shared" si="58"/>
        <v>-4.7289483150610517E-2</v>
      </c>
      <c r="L458">
        <f t="shared" si="59"/>
        <v>-9.4666597692824768E-3</v>
      </c>
      <c r="M458">
        <f t="shared" si="60"/>
        <v>1.4177761841213537E-2</v>
      </c>
      <c r="N458">
        <f t="shared" si="61"/>
        <v>-3.7322453913568955E-2</v>
      </c>
      <c r="O458">
        <f t="shared" si="62"/>
        <v>-6.6512219708351038E-3</v>
      </c>
      <c r="P458">
        <f t="shared" si="63"/>
        <v>-6.8597132414956366E-2</v>
      </c>
      <c r="Q458">
        <f t="shared" si="64"/>
        <v>5.0143461360826981E-4</v>
      </c>
    </row>
    <row r="459" spans="1:17" x14ac:dyDescent="0.25">
      <c r="A459" s="139">
        <v>43441</v>
      </c>
      <c r="B459" s="148">
        <v>195.7</v>
      </c>
      <c r="C459" s="148">
        <v>44.450001</v>
      </c>
      <c r="D459" s="148">
        <v>1957.3</v>
      </c>
      <c r="E459" s="148">
        <v>1053.8000489999999</v>
      </c>
      <c r="F459" s="148">
        <v>1318.65</v>
      </c>
      <c r="G459" s="148">
        <v>1133.8000489999999</v>
      </c>
      <c r="H459" s="148">
        <v>166.2</v>
      </c>
      <c r="I459" s="125">
        <v>1824.3000489999999</v>
      </c>
      <c r="J459">
        <f t="shared" si="57"/>
        <v>1.6359387172162957E-2</v>
      </c>
      <c r="K459">
        <f t="shared" si="58"/>
        <v>7.6271236713589277E-2</v>
      </c>
      <c r="L459">
        <f t="shared" si="59"/>
        <v>2.2195529559222896E-2</v>
      </c>
      <c r="M459">
        <f t="shared" si="60"/>
        <v>9.019747558265406E-3</v>
      </c>
      <c r="N459">
        <f t="shared" si="61"/>
        <v>3.4884633495526639E-2</v>
      </c>
      <c r="O459">
        <f t="shared" si="62"/>
        <v>3.9945011694565415E-2</v>
      </c>
      <c r="P459">
        <f t="shared" si="63"/>
        <v>3.3202535466343671E-3</v>
      </c>
      <c r="Q459">
        <f t="shared" si="64"/>
        <v>1.5870363750056897E-2</v>
      </c>
    </row>
    <row r="460" spans="1:17" x14ac:dyDescent="0.25">
      <c r="A460" s="139">
        <v>43440</v>
      </c>
      <c r="B460" s="148">
        <v>195.35</v>
      </c>
      <c r="C460" s="148">
        <v>45.200001</v>
      </c>
      <c r="D460" s="148">
        <v>1983.2</v>
      </c>
      <c r="E460" s="148">
        <v>1048.530029</v>
      </c>
      <c r="F460" s="148">
        <v>1295.0999999999999</v>
      </c>
      <c r="G460" s="148">
        <v>1123.650024</v>
      </c>
      <c r="H460" s="148">
        <v>168.45</v>
      </c>
      <c r="I460" s="125">
        <v>1801.5</v>
      </c>
      <c r="J460">
        <f t="shared" si="57"/>
        <v>-1.7884517118037524E-3</v>
      </c>
      <c r="K460">
        <f t="shared" si="58"/>
        <v>1.6872890509046334E-2</v>
      </c>
      <c r="L460">
        <f t="shared" si="59"/>
        <v>1.3232514177693808E-2</v>
      </c>
      <c r="M460">
        <f t="shared" si="60"/>
        <v>-5.0009676930655861E-3</v>
      </c>
      <c r="N460">
        <f t="shared" si="61"/>
        <v>-1.7859174155386327E-2</v>
      </c>
      <c r="O460">
        <f t="shared" si="62"/>
        <v>-8.9522178173762935E-3</v>
      </c>
      <c r="P460">
        <f t="shared" si="63"/>
        <v>1.3537906137184117E-2</v>
      </c>
      <c r="Q460">
        <f t="shared" si="64"/>
        <v>-1.2497970940963311E-2</v>
      </c>
    </row>
    <row r="461" spans="1:17" x14ac:dyDescent="0.25">
      <c r="A461" s="139">
        <v>43439</v>
      </c>
      <c r="B461" s="148">
        <v>198.4</v>
      </c>
      <c r="C461" s="148">
        <v>46.799999</v>
      </c>
      <c r="D461" s="148">
        <v>2027.1</v>
      </c>
      <c r="E461" s="148">
        <v>1049.599976</v>
      </c>
      <c r="F461" s="148">
        <v>1329.5</v>
      </c>
      <c r="G461" s="148">
        <v>1155.150024</v>
      </c>
      <c r="H461" s="148">
        <v>173.4</v>
      </c>
      <c r="I461" s="125">
        <v>1848.099976</v>
      </c>
      <c r="J461">
        <f t="shared" si="57"/>
        <v>1.5613002303557775E-2</v>
      </c>
      <c r="K461">
        <f t="shared" si="58"/>
        <v>3.5398185057562266E-2</v>
      </c>
      <c r="L461">
        <f t="shared" si="59"/>
        <v>2.2135941912061245E-2</v>
      </c>
      <c r="M461">
        <f t="shared" si="60"/>
        <v>1.0204257106688514E-3</v>
      </c>
      <c r="N461">
        <f t="shared" si="61"/>
        <v>2.6561655470620102E-2</v>
      </c>
      <c r="O461">
        <f t="shared" si="62"/>
        <v>2.8033639769672623E-2</v>
      </c>
      <c r="P461">
        <f t="shared" si="63"/>
        <v>2.9385574354407938E-2</v>
      </c>
      <c r="Q461">
        <f t="shared" si="64"/>
        <v>2.5867319456008866E-2</v>
      </c>
    </row>
    <row r="462" spans="1:17" x14ac:dyDescent="0.25">
      <c r="A462" s="139">
        <v>43438</v>
      </c>
      <c r="B462" s="148">
        <v>206.2</v>
      </c>
      <c r="C462" s="148">
        <v>45.099997999999999</v>
      </c>
      <c r="D462" s="148">
        <v>2053.1</v>
      </c>
      <c r="E462" s="148">
        <v>1042.780029</v>
      </c>
      <c r="F462" s="148">
        <v>1329.45</v>
      </c>
      <c r="G462" s="148">
        <v>1152.3000489999999</v>
      </c>
      <c r="H462" s="148">
        <v>176.5</v>
      </c>
      <c r="I462" s="125">
        <v>1807.650024</v>
      </c>
      <c r="J462">
        <f t="shared" si="57"/>
        <v>3.9314516129032168E-2</v>
      </c>
      <c r="K462">
        <f t="shared" si="58"/>
        <v>-3.6324808468478818E-2</v>
      </c>
      <c r="L462">
        <f t="shared" si="59"/>
        <v>1.2826204923289428E-2</v>
      </c>
      <c r="M462">
        <f t="shared" si="60"/>
        <v>-6.4976630677818885E-3</v>
      </c>
      <c r="N462">
        <f t="shared" si="61"/>
        <v>-3.7608123354610397E-5</v>
      </c>
      <c r="O462">
        <f t="shared" si="62"/>
        <v>-2.467190356912537E-3</v>
      </c>
      <c r="P462">
        <f t="shared" si="63"/>
        <v>1.7877739331026495E-2</v>
      </c>
      <c r="Q462">
        <f t="shared" si="64"/>
        <v>-2.1887318070069571E-2</v>
      </c>
    </row>
    <row r="463" spans="1:17" x14ac:dyDescent="0.25">
      <c r="A463" s="139">
        <v>43437</v>
      </c>
      <c r="B463" s="148">
        <v>202.95</v>
      </c>
      <c r="C463" s="148">
        <v>46.049999</v>
      </c>
      <c r="D463" s="148">
        <v>2051.1999999999998</v>
      </c>
      <c r="E463" s="148">
        <v>1056.650024</v>
      </c>
      <c r="F463" s="148">
        <v>1338.7</v>
      </c>
      <c r="G463" s="148">
        <v>1156.4499510000001</v>
      </c>
      <c r="H463" s="148">
        <v>178</v>
      </c>
      <c r="I463" s="125">
        <v>1825.599976</v>
      </c>
      <c r="J463">
        <f t="shared" si="57"/>
        <v>-1.5761396702230843E-2</v>
      </c>
      <c r="K463">
        <f t="shared" si="58"/>
        <v>2.1064324659171834E-2</v>
      </c>
      <c r="L463">
        <f t="shared" si="59"/>
        <v>-9.254298378062885E-4</v>
      </c>
      <c r="M463">
        <f t="shared" si="60"/>
        <v>1.3300978743619588E-2</v>
      </c>
      <c r="N463">
        <f t="shared" si="61"/>
        <v>6.9577644890744294E-3</v>
      </c>
      <c r="O463">
        <f t="shared" si="62"/>
        <v>3.6014074663986333E-3</v>
      </c>
      <c r="P463">
        <f t="shared" si="63"/>
        <v>8.4985835694051E-3</v>
      </c>
      <c r="Q463">
        <f t="shared" si="64"/>
        <v>9.92999295310492E-3</v>
      </c>
    </row>
    <row r="464" spans="1:17" x14ac:dyDescent="0.25">
      <c r="A464" s="139">
        <v>43434</v>
      </c>
      <c r="B464" s="148">
        <v>195.85</v>
      </c>
      <c r="C464" s="148">
        <v>46.75</v>
      </c>
      <c r="D464" s="148">
        <v>2038.05</v>
      </c>
      <c r="E464" s="148">
        <v>1064.219971</v>
      </c>
      <c r="F464" s="148">
        <v>1345.95</v>
      </c>
      <c r="G464" s="148">
        <v>1167.5500489999999</v>
      </c>
      <c r="H464" s="148">
        <v>169.8</v>
      </c>
      <c r="I464" s="125">
        <v>1754</v>
      </c>
      <c r="J464">
        <f t="shared" si="57"/>
        <v>-3.4983986203498373E-2</v>
      </c>
      <c r="K464">
        <f t="shared" si="58"/>
        <v>1.5200890666686015E-2</v>
      </c>
      <c r="L464">
        <f t="shared" si="59"/>
        <v>-6.4108814352573443E-3</v>
      </c>
      <c r="M464">
        <f t="shared" si="60"/>
        <v>7.1641005328742192E-3</v>
      </c>
      <c r="N464">
        <f t="shared" si="61"/>
        <v>5.4157018002539779E-3</v>
      </c>
      <c r="O464">
        <f t="shared" si="62"/>
        <v>9.5984248954323215E-3</v>
      </c>
      <c r="P464">
        <f t="shared" si="63"/>
        <v>-4.6067415730337014E-2</v>
      </c>
      <c r="Q464">
        <f t="shared" si="64"/>
        <v>-3.9219969840753315E-2</v>
      </c>
    </row>
    <row r="465" spans="1:17" x14ac:dyDescent="0.25">
      <c r="A465" s="139">
        <v>43433</v>
      </c>
      <c r="B465" s="148">
        <v>198.8</v>
      </c>
      <c r="C465" s="148">
        <v>47.450001</v>
      </c>
      <c r="D465" s="148">
        <v>2065</v>
      </c>
      <c r="E465" s="148">
        <v>1065.530029</v>
      </c>
      <c r="F465" s="148">
        <v>1350.3</v>
      </c>
      <c r="G465" s="148">
        <v>1168.5</v>
      </c>
      <c r="H465" s="148">
        <v>160.44999999999999</v>
      </c>
      <c r="I465" s="125">
        <v>1768.5</v>
      </c>
      <c r="J465">
        <f t="shared" si="57"/>
        <v>1.5062547868266617E-2</v>
      </c>
      <c r="K465">
        <f t="shared" si="58"/>
        <v>1.4973283422459899E-2</v>
      </c>
      <c r="L465">
        <f t="shared" si="59"/>
        <v>1.3223424351708764E-2</v>
      </c>
      <c r="M465">
        <f t="shared" si="60"/>
        <v>1.2310030216488264E-3</v>
      </c>
      <c r="N465">
        <f t="shared" si="61"/>
        <v>3.2319179761506065E-3</v>
      </c>
      <c r="O465">
        <f t="shared" si="62"/>
        <v>8.136276477515317E-4</v>
      </c>
      <c r="P465">
        <f t="shared" si="63"/>
        <v>-5.5064782096584344E-2</v>
      </c>
      <c r="Q465">
        <f t="shared" si="64"/>
        <v>8.2668187001140245E-3</v>
      </c>
    </row>
    <row r="466" spans="1:17" x14ac:dyDescent="0.25">
      <c r="A466" s="139">
        <v>43432</v>
      </c>
      <c r="B466" s="148">
        <v>192.95</v>
      </c>
      <c r="C466" s="148">
        <v>48.400002000000001</v>
      </c>
      <c r="D466" s="148">
        <v>2049.4</v>
      </c>
      <c r="E466" s="148">
        <v>1044.619995</v>
      </c>
      <c r="F466" s="148">
        <v>1324.25</v>
      </c>
      <c r="G466" s="148">
        <v>1152.650024</v>
      </c>
      <c r="H466" s="148">
        <v>162.1</v>
      </c>
      <c r="I466" s="125">
        <v>1732.1999510000001</v>
      </c>
      <c r="J466">
        <f t="shared" si="57"/>
        <v>-2.9426559356136934E-2</v>
      </c>
      <c r="K466">
        <f t="shared" si="58"/>
        <v>2.0021095468470071E-2</v>
      </c>
      <c r="L466">
        <f t="shared" si="59"/>
        <v>-7.5544794188861543E-3</v>
      </c>
      <c r="M466">
        <f t="shared" si="60"/>
        <v>-1.9624068239188025E-2</v>
      </c>
      <c r="N466">
        <f t="shared" si="61"/>
        <v>-1.9292009183144453E-2</v>
      </c>
      <c r="O466">
        <f t="shared" si="62"/>
        <v>-1.356437826272997E-2</v>
      </c>
      <c r="P466">
        <f t="shared" si="63"/>
        <v>1.0283577438454383E-2</v>
      </c>
      <c r="Q466">
        <f t="shared" si="64"/>
        <v>-2.052589708792759E-2</v>
      </c>
    </row>
    <row r="467" spans="1:17" x14ac:dyDescent="0.25">
      <c r="A467" s="139">
        <v>43431</v>
      </c>
      <c r="B467" s="148">
        <v>195</v>
      </c>
      <c r="C467" s="148">
        <v>49.450001</v>
      </c>
      <c r="D467" s="148">
        <v>2066.8000000000002</v>
      </c>
      <c r="E467" s="148">
        <v>1032</v>
      </c>
      <c r="F467" s="148">
        <v>1339.6</v>
      </c>
      <c r="G467" s="148">
        <v>1128.1999510000001</v>
      </c>
      <c r="H467" s="148">
        <v>182.65</v>
      </c>
      <c r="I467" s="125">
        <v>1733.3000489999999</v>
      </c>
      <c r="J467">
        <f t="shared" si="57"/>
        <v>1.0624514122829809E-2</v>
      </c>
      <c r="K467">
        <f t="shared" si="58"/>
        <v>2.1694193318421758E-2</v>
      </c>
      <c r="L467">
        <f t="shared" si="59"/>
        <v>8.490289840929097E-3</v>
      </c>
      <c r="M467">
        <f t="shared" si="60"/>
        <v>-1.2080943367353424E-2</v>
      </c>
      <c r="N467">
        <f t="shared" si="61"/>
        <v>1.1591466868038443E-2</v>
      </c>
      <c r="O467">
        <f t="shared" si="62"/>
        <v>-2.1212052653373278E-2</v>
      </c>
      <c r="P467">
        <f t="shared" si="63"/>
        <v>0.12677359654534245</v>
      </c>
      <c r="Q467">
        <f t="shared" si="64"/>
        <v>6.3508719034705073E-4</v>
      </c>
    </row>
    <row r="468" spans="1:17" x14ac:dyDescent="0.25">
      <c r="A468" s="139">
        <v>43430</v>
      </c>
      <c r="B468" s="148">
        <v>195.8</v>
      </c>
      <c r="C468" s="148">
        <v>47.900002000000001</v>
      </c>
      <c r="D468" s="148">
        <v>2050.5500000000002</v>
      </c>
      <c r="E468" s="148">
        <v>1024.900024</v>
      </c>
      <c r="F468" s="148">
        <v>1349.5</v>
      </c>
      <c r="G468" s="148">
        <v>1109.75</v>
      </c>
      <c r="H468" s="148">
        <v>187.9</v>
      </c>
      <c r="I468" s="125">
        <v>1744</v>
      </c>
      <c r="J468">
        <f t="shared" si="57"/>
        <v>4.1025641025641607E-3</v>
      </c>
      <c r="K468">
        <f t="shared" si="58"/>
        <v>-3.1344771863604202E-2</v>
      </c>
      <c r="L468">
        <f t="shared" si="59"/>
        <v>-7.8623959744532606E-3</v>
      </c>
      <c r="M468">
        <f t="shared" si="60"/>
        <v>-6.8798217054263271E-3</v>
      </c>
      <c r="N468">
        <f t="shared" si="61"/>
        <v>7.3902657509705072E-3</v>
      </c>
      <c r="O468">
        <f t="shared" si="62"/>
        <v>-1.6353440703172E-2</v>
      </c>
      <c r="P468">
        <f t="shared" si="63"/>
        <v>2.8743498494388172E-2</v>
      </c>
      <c r="Q468">
        <f t="shared" si="64"/>
        <v>6.1731671940892302E-3</v>
      </c>
    </row>
    <row r="469" spans="1:17" x14ac:dyDescent="0.25">
      <c r="A469" s="139">
        <v>43426</v>
      </c>
      <c r="B469" s="148">
        <v>199.6</v>
      </c>
      <c r="C469" s="148">
        <v>45.650002000000001</v>
      </c>
      <c r="D469" s="148">
        <v>2059.8000000000002</v>
      </c>
      <c r="E469" s="148">
        <v>1002.75</v>
      </c>
      <c r="F469" s="148">
        <v>1314.4</v>
      </c>
      <c r="G469" s="148">
        <v>1102.849976</v>
      </c>
      <c r="H469" s="148">
        <v>195.55</v>
      </c>
      <c r="I469" s="125">
        <v>1675.099976</v>
      </c>
      <c r="J469">
        <f t="shared" si="57"/>
        <v>1.9407558733401341E-2</v>
      </c>
      <c r="K469">
        <f t="shared" si="58"/>
        <v>-4.6972858163972515E-2</v>
      </c>
      <c r="L469">
        <f t="shared" si="59"/>
        <v>4.510984857721099E-3</v>
      </c>
      <c r="M469">
        <f t="shared" si="60"/>
        <v>-2.1611887482988319E-2</v>
      </c>
      <c r="N469">
        <f t="shared" si="61"/>
        <v>-2.6009633197480481E-2</v>
      </c>
      <c r="O469">
        <f t="shared" si="62"/>
        <v>-6.2176382068033611E-3</v>
      </c>
      <c r="P469">
        <f t="shared" si="63"/>
        <v>4.0713145290047929E-2</v>
      </c>
      <c r="Q469">
        <f t="shared" si="64"/>
        <v>-3.9506894495412864E-2</v>
      </c>
    </row>
    <row r="470" spans="1:17" x14ac:dyDescent="0.25">
      <c r="A470" s="139">
        <v>43425</v>
      </c>
      <c r="B470" s="148">
        <v>201.9</v>
      </c>
      <c r="C470" s="148">
        <v>43.5</v>
      </c>
      <c r="D470" s="148">
        <v>2039.75</v>
      </c>
      <c r="E470" s="148">
        <v>1009.380005</v>
      </c>
      <c r="F470" s="148">
        <v>1324.2</v>
      </c>
      <c r="G470" s="148">
        <v>1112.900024</v>
      </c>
      <c r="H470" s="148">
        <v>198.15</v>
      </c>
      <c r="I470" s="125">
        <v>1689.9499510000001</v>
      </c>
      <c r="J470">
        <f t="shared" si="57"/>
        <v>1.1523046092184425E-2</v>
      </c>
      <c r="K470">
        <f t="shared" si="58"/>
        <v>-4.7097522580612387E-2</v>
      </c>
      <c r="L470">
        <f t="shared" si="59"/>
        <v>-9.7339547528887179E-3</v>
      </c>
      <c r="M470">
        <f t="shared" si="60"/>
        <v>6.6118224881575498E-3</v>
      </c>
      <c r="N470">
        <f t="shared" si="61"/>
        <v>7.4558734023128072E-3</v>
      </c>
      <c r="O470">
        <f t="shared" si="62"/>
        <v>9.1127970428500609E-3</v>
      </c>
      <c r="P470">
        <f t="shared" si="63"/>
        <v>1.3295832267962129E-2</v>
      </c>
      <c r="Q470">
        <f t="shared" si="64"/>
        <v>8.8651275820925014E-3</v>
      </c>
    </row>
    <row r="471" spans="1:17" x14ac:dyDescent="0.25">
      <c r="A471" s="139">
        <v>43424</v>
      </c>
      <c r="B471" s="148">
        <v>205.25</v>
      </c>
      <c r="C471" s="148">
        <v>41.450001</v>
      </c>
      <c r="D471" s="148">
        <v>2033.5</v>
      </c>
      <c r="E471" s="148">
        <v>1006.219971</v>
      </c>
      <c r="F471" s="148">
        <v>1306.8499999999999</v>
      </c>
      <c r="G471" s="148">
        <v>1137.400024</v>
      </c>
      <c r="H471" s="148">
        <v>192.1</v>
      </c>
      <c r="I471" s="125">
        <v>1694</v>
      </c>
      <c r="J471">
        <f t="shared" si="57"/>
        <v>1.6592372461614633E-2</v>
      </c>
      <c r="K471">
        <f t="shared" si="58"/>
        <v>-4.7126413793103443E-2</v>
      </c>
      <c r="L471">
        <f t="shared" si="59"/>
        <v>-3.0641009927687216E-3</v>
      </c>
      <c r="M471">
        <f t="shared" si="60"/>
        <v>-3.1306683155468253E-3</v>
      </c>
      <c r="N471">
        <f t="shared" si="61"/>
        <v>-1.3102250415345216E-2</v>
      </c>
      <c r="O471">
        <f t="shared" si="62"/>
        <v>2.2014556089182003E-2</v>
      </c>
      <c r="P471">
        <f t="shared" si="63"/>
        <v>-3.0532424930608183E-2</v>
      </c>
      <c r="Q471">
        <f t="shared" si="64"/>
        <v>2.396549671547015E-3</v>
      </c>
    </row>
    <row r="472" spans="1:17" x14ac:dyDescent="0.25">
      <c r="A472" s="139">
        <v>43423</v>
      </c>
      <c r="B472" s="148">
        <v>211.35</v>
      </c>
      <c r="C472" s="148">
        <v>41.25</v>
      </c>
      <c r="D472" s="148">
        <v>2049.0500000000002</v>
      </c>
      <c r="E472" s="148">
        <v>1006.950012</v>
      </c>
      <c r="F472" s="148">
        <v>1312.15</v>
      </c>
      <c r="G472" s="148">
        <v>1150</v>
      </c>
      <c r="H472" s="148">
        <v>204.8</v>
      </c>
      <c r="I472" s="125">
        <v>1701.400024</v>
      </c>
      <c r="J472">
        <f t="shared" si="57"/>
        <v>2.9719853836784382E-2</v>
      </c>
      <c r="K472">
        <f t="shared" si="58"/>
        <v>-4.8251144794906114E-3</v>
      </c>
      <c r="L472">
        <f t="shared" si="59"/>
        <v>7.6469141873617809E-3</v>
      </c>
      <c r="M472">
        <f t="shared" si="60"/>
        <v>7.2552823541605928E-4</v>
      </c>
      <c r="N472">
        <f t="shared" si="61"/>
        <v>4.055553430003583E-3</v>
      </c>
      <c r="O472">
        <f t="shared" si="62"/>
        <v>1.1077875623466639E-2</v>
      </c>
      <c r="P472">
        <f t="shared" si="63"/>
        <v>6.6111400312337421E-2</v>
      </c>
      <c r="Q472">
        <f t="shared" si="64"/>
        <v>4.3683730814640083E-3</v>
      </c>
    </row>
    <row r="473" spans="1:17" x14ac:dyDescent="0.25">
      <c r="A473" s="139">
        <v>43420</v>
      </c>
      <c r="B473" s="148">
        <v>206.8</v>
      </c>
      <c r="C473" s="148">
        <v>42.349997999999999</v>
      </c>
      <c r="D473" s="148">
        <v>1994.1</v>
      </c>
      <c r="E473" s="148">
        <v>1002.150024</v>
      </c>
      <c r="F473" s="148">
        <v>1321.3</v>
      </c>
      <c r="G473" s="148">
        <v>1127.400024</v>
      </c>
      <c r="H473" s="148">
        <v>191</v>
      </c>
      <c r="I473" s="125">
        <v>1689.099976</v>
      </c>
      <c r="J473">
        <f t="shared" si="57"/>
        <v>-2.1528270641116551E-2</v>
      </c>
      <c r="K473">
        <f t="shared" si="58"/>
        <v>2.6666618181818168E-2</v>
      </c>
      <c r="L473">
        <f t="shared" si="59"/>
        <v>-2.681730558063506E-2</v>
      </c>
      <c r="M473">
        <f t="shared" si="60"/>
        <v>-4.766858277767203E-3</v>
      </c>
      <c r="N473">
        <f t="shared" si="61"/>
        <v>6.9732881149257809E-3</v>
      </c>
      <c r="O473">
        <f t="shared" si="62"/>
        <v>-1.9652153043478233E-2</v>
      </c>
      <c r="P473">
        <f t="shared" si="63"/>
        <v>-6.7382812500000056E-2</v>
      </c>
      <c r="Q473">
        <f t="shared" si="64"/>
        <v>-7.229368653165166E-3</v>
      </c>
    </row>
    <row r="474" spans="1:17" x14ac:dyDescent="0.25">
      <c r="A474" s="139">
        <v>43419</v>
      </c>
      <c r="B474" s="148">
        <v>207.55</v>
      </c>
      <c r="C474" s="148">
        <v>43.349997999999999</v>
      </c>
      <c r="D474" s="148">
        <v>2055.6999999999998</v>
      </c>
      <c r="E474" s="148">
        <v>987.57501200000002</v>
      </c>
      <c r="F474" s="148">
        <v>1318.3</v>
      </c>
      <c r="G474" s="148">
        <v>1096.849976</v>
      </c>
      <c r="H474" s="148">
        <v>205.85</v>
      </c>
      <c r="I474" s="125">
        <v>1706.0500489999999</v>
      </c>
      <c r="J474">
        <f t="shared" si="57"/>
        <v>3.6266924564796904E-3</v>
      </c>
      <c r="K474">
        <f t="shared" si="58"/>
        <v>2.361275200060222E-2</v>
      </c>
      <c r="L474">
        <f t="shared" si="59"/>
        <v>3.08911288300486E-2</v>
      </c>
      <c r="M474">
        <f t="shared" si="60"/>
        <v>-1.4543742604350839E-2</v>
      </c>
      <c r="N474">
        <f t="shared" si="61"/>
        <v>-2.2704911829259065E-3</v>
      </c>
      <c r="O474">
        <f t="shared" si="62"/>
        <v>-2.7097789027544016E-2</v>
      </c>
      <c r="P474">
        <f t="shared" si="63"/>
        <v>7.7748691099476408E-2</v>
      </c>
      <c r="Q474">
        <f t="shared" si="64"/>
        <v>1.0034973205162117E-2</v>
      </c>
    </row>
    <row r="475" spans="1:17" x14ac:dyDescent="0.25">
      <c r="A475" s="139">
        <v>43418</v>
      </c>
      <c r="B475" s="148">
        <v>204.1</v>
      </c>
      <c r="C475" s="148">
        <v>42.700001</v>
      </c>
      <c r="D475" s="148">
        <v>2104.5</v>
      </c>
      <c r="E475" s="148">
        <v>978.875</v>
      </c>
      <c r="F475" s="148">
        <v>1320.55</v>
      </c>
      <c r="G475" s="148">
        <v>1097.9499510000001</v>
      </c>
      <c r="H475" s="148">
        <v>222.4</v>
      </c>
      <c r="I475" s="125">
        <v>1715.5</v>
      </c>
      <c r="J475">
        <f t="shared" si="57"/>
        <v>-1.6622500602264594E-2</v>
      </c>
      <c r="K475">
        <f t="shared" si="58"/>
        <v>-1.4994164474932596E-2</v>
      </c>
      <c r="L475">
        <f t="shared" si="59"/>
        <v>2.3738872403560922E-2</v>
      </c>
      <c r="M475">
        <f t="shared" si="60"/>
        <v>-8.8094695534884741E-3</v>
      </c>
      <c r="N475">
        <f t="shared" si="61"/>
        <v>1.7067435333383903E-3</v>
      </c>
      <c r="O475">
        <f t="shared" si="62"/>
        <v>1.00284908972828E-3</v>
      </c>
      <c r="P475">
        <f t="shared" si="63"/>
        <v>8.0398348311877643E-2</v>
      </c>
      <c r="Q475">
        <f t="shared" si="64"/>
        <v>5.5390819311186903E-3</v>
      </c>
    </row>
    <row r="476" spans="1:17" x14ac:dyDescent="0.25">
      <c r="A476" s="139">
        <v>43417</v>
      </c>
      <c r="B476" s="148">
        <v>205.6</v>
      </c>
      <c r="C476" s="148">
        <v>42.099997999999999</v>
      </c>
      <c r="D476" s="148">
        <v>2116.35</v>
      </c>
      <c r="E476" s="148">
        <v>963.875</v>
      </c>
      <c r="F476" s="148">
        <v>1284.9000000000001</v>
      </c>
      <c r="G476" s="148">
        <v>1099.4499510000001</v>
      </c>
      <c r="H476" s="148">
        <v>225.45</v>
      </c>
      <c r="I476" s="125">
        <v>1671.099976</v>
      </c>
      <c r="J476">
        <f t="shared" si="57"/>
        <v>7.3493385595296426E-3</v>
      </c>
      <c r="K476">
        <f t="shared" si="58"/>
        <v>-1.4051592176777723E-2</v>
      </c>
      <c r="L476">
        <f t="shared" si="59"/>
        <v>5.6307911617961082E-3</v>
      </c>
      <c r="M476">
        <f t="shared" si="60"/>
        <v>-1.532371344655855E-2</v>
      </c>
      <c r="N476">
        <f t="shared" si="61"/>
        <v>-2.6996327287872376E-2</v>
      </c>
      <c r="O476">
        <f t="shared" si="62"/>
        <v>1.3661824918647862E-3</v>
      </c>
      <c r="P476">
        <f t="shared" si="63"/>
        <v>1.3714028776978341E-2</v>
      </c>
      <c r="Q476">
        <f t="shared" si="64"/>
        <v>-2.5881681142524062E-2</v>
      </c>
    </row>
    <row r="477" spans="1:17" x14ac:dyDescent="0.25">
      <c r="A477" s="139">
        <v>43416</v>
      </c>
      <c r="B477" s="148">
        <v>203.15</v>
      </c>
      <c r="C477" s="148">
        <v>43.099997999999999</v>
      </c>
      <c r="D477" s="148">
        <v>2142.1999999999998</v>
      </c>
      <c r="E477" s="148">
        <v>960.52502400000003</v>
      </c>
      <c r="F477" s="148">
        <v>1278.8</v>
      </c>
      <c r="G477" s="148">
        <v>1080</v>
      </c>
      <c r="H477" s="148">
        <v>223.05</v>
      </c>
      <c r="I477" s="125">
        <v>1654.3000489999999</v>
      </c>
      <c r="J477">
        <f t="shared" si="57"/>
        <v>-1.1916342412451307E-2</v>
      </c>
      <c r="K477">
        <f t="shared" si="58"/>
        <v>2.375297024954728E-2</v>
      </c>
      <c r="L477">
        <f t="shared" si="59"/>
        <v>1.2214425780234796E-2</v>
      </c>
      <c r="M477">
        <f t="shared" si="60"/>
        <v>-3.4755295033069328E-3</v>
      </c>
      <c r="N477">
        <f t="shared" si="61"/>
        <v>-4.7474511635147761E-3</v>
      </c>
      <c r="O477">
        <f t="shared" si="62"/>
        <v>-1.7690619734267516E-2</v>
      </c>
      <c r="P477">
        <f t="shared" si="63"/>
        <v>-1.0645375914836892E-2</v>
      </c>
      <c r="Q477">
        <f t="shared" si="64"/>
        <v>-1.0053214793415822E-2</v>
      </c>
    </row>
    <row r="478" spans="1:17" x14ac:dyDescent="0.25">
      <c r="A478" s="139">
        <v>43413</v>
      </c>
      <c r="B478" s="148">
        <v>209.05</v>
      </c>
      <c r="C478" s="148">
        <v>45.25</v>
      </c>
      <c r="D478" s="148">
        <v>2140.6</v>
      </c>
      <c r="E478" s="148">
        <v>972.70001200000002</v>
      </c>
      <c r="F478" s="148">
        <v>1295.5999999999999</v>
      </c>
      <c r="G478" s="148">
        <v>1093.4499510000001</v>
      </c>
      <c r="H478" s="148">
        <v>227.9</v>
      </c>
      <c r="I478" s="125">
        <v>1672.599976</v>
      </c>
      <c r="J478">
        <f t="shared" si="57"/>
        <v>2.9042579374846202E-2</v>
      </c>
      <c r="K478">
        <f t="shared" si="58"/>
        <v>4.9884039437774468E-2</v>
      </c>
      <c r="L478">
        <f t="shared" si="59"/>
        <v>-7.4689571468579462E-4</v>
      </c>
      <c r="M478">
        <f t="shared" si="60"/>
        <v>1.2675347019381751E-2</v>
      </c>
      <c r="N478">
        <f t="shared" si="61"/>
        <v>1.3137316233969311E-2</v>
      </c>
      <c r="O478">
        <f t="shared" si="62"/>
        <v>1.2453658333333385E-2</v>
      </c>
      <c r="P478">
        <f t="shared" si="63"/>
        <v>2.1744003586639742E-2</v>
      </c>
      <c r="Q478">
        <f t="shared" si="64"/>
        <v>1.1062036183255911E-2</v>
      </c>
    </row>
    <row r="479" spans="1:17" x14ac:dyDescent="0.25">
      <c r="A479" s="139">
        <v>43411</v>
      </c>
      <c r="B479" s="148">
        <v>209.75</v>
      </c>
      <c r="C479" s="148">
        <v>45.049999</v>
      </c>
      <c r="D479" s="148">
        <v>2136.25</v>
      </c>
      <c r="E479" s="148">
        <v>978.97497599999997</v>
      </c>
      <c r="F479" s="148">
        <v>1250.95</v>
      </c>
      <c r="G479" s="148">
        <v>1110.6999510000001</v>
      </c>
      <c r="H479" s="148">
        <v>215.95</v>
      </c>
      <c r="I479" s="125">
        <v>1643.849976</v>
      </c>
      <c r="J479">
        <f t="shared" si="57"/>
        <v>3.3484812245873647E-3</v>
      </c>
      <c r="K479">
        <f t="shared" si="58"/>
        <v>-4.4199116022099515E-3</v>
      </c>
      <c r="L479">
        <f t="shared" si="59"/>
        <v>-2.0321405213491119E-3</v>
      </c>
      <c r="M479">
        <f t="shared" si="60"/>
        <v>6.4510783618659546E-3</v>
      </c>
      <c r="N479">
        <f t="shared" si="61"/>
        <v>-3.4462797159617066E-2</v>
      </c>
      <c r="O479">
        <f t="shared" si="62"/>
        <v>1.5775756342779331E-2</v>
      </c>
      <c r="P479">
        <f t="shared" si="63"/>
        <v>-5.243527863097857E-2</v>
      </c>
      <c r="Q479">
        <f t="shared" si="64"/>
        <v>-1.718880809071589E-2</v>
      </c>
    </row>
    <row r="480" spans="1:17" x14ac:dyDescent="0.25">
      <c r="A480" s="139">
        <v>43410</v>
      </c>
      <c r="B480" s="148">
        <v>207.4</v>
      </c>
      <c r="C480" s="148">
        <v>43.099997999999999</v>
      </c>
      <c r="D480" s="148">
        <v>2124.4499999999998</v>
      </c>
      <c r="E480" s="148">
        <v>973.27502400000003</v>
      </c>
      <c r="F480" s="148">
        <v>1238.5</v>
      </c>
      <c r="G480" s="148">
        <v>1104.099976</v>
      </c>
      <c r="H480" s="148">
        <v>214.45</v>
      </c>
      <c r="I480" s="125">
        <v>1631.9499510000001</v>
      </c>
      <c r="J480">
        <f t="shared" si="57"/>
        <v>-1.1203814064362308E-2</v>
      </c>
      <c r="K480">
        <f t="shared" si="58"/>
        <v>-4.3285261782136784E-2</v>
      </c>
      <c r="L480">
        <f t="shared" si="59"/>
        <v>-5.5236980690463108E-3</v>
      </c>
      <c r="M480">
        <f t="shared" si="60"/>
        <v>-5.8223674146293388E-3</v>
      </c>
      <c r="N480">
        <f t="shared" si="61"/>
        <v>-9.9524361485271561E-3</v>
      </c>
      <c r="O480">
        <f t="shared" si="62"/>
        <v>-5.9421763673059578E-3</v>
      </c>
      <c r="P480">
        <f t="shared" si="63"/>
        <v>-6.9460523269275296E-3</v>
      </c>
      <c r="Q480">
        <f t="shared" si="64"/>
        <v>-7.2391186384029938E-3</v>
      </c>
    </row>
    <row r="481" spans="1:17" x14ac:dyDescent="0.25">
      <c r="A481" s="139">
        <v>43409</v>
      </c>
      <c r="B481" s="148">
        <v>222.45</v>
      </c>
      <c r="C481" s="148">
        <v>43.349997999999999</v>
      </c>
      <c r="D481" s="148">
        <v>2149.8000000000002</v>
      </c>
      <c r="E481" s="148">
        <v>978</v>
      </c>
      <c r="F481" s="148">
        <v>1244.05</v>
      </c>
      <c r="G481" s="148">
        <v>1090.3000489999999</v>
      </c>
      <c r="H481" s="148">
        <v>210.1</v>
      </c>
      <c r="I481" s="125">
        <v>1640.0500489999999</v>
      </c>
      <c r="J481">
        <f t="shared" si="57"/>
        <v>7.2565091610414578E-2</v>
      </c>
      <c r="K481">
        <f t="shared" si="58"/>
        <v>5.8004643062860468E-3</v>
      </c>
      <c r="L481">
        <f t="shared" si="59"/>
        <v>1.1932500176516448E-2</v>
      </c>
      <c r="M481">
        <f t="shared" si="60"/>
        <v>4.8547182281336023E-3</v>
      </c>
      <c r="N481">
        <f t="shared" si="61"/>
        <v>4.4812272910778805E-3</v>
      </c>
      <c r="O481">
        <f t="shared" si="62"/>
        <v>-1.2498802010661419E-2</v>
      </c>
      <c r="P481">
        <f t="shared" si="63"/>
        <v>-2.0284448589414757E-2</v>
      </c>
      <c r="Q481">
        <f t="shared" si="64"/>
        <v>4.9634475585703108E-3</v>
      </c>
    </row>
    <row r="482" spans="1:17" x14ac:dyDescent="0.25">
      <c r="A482" s="139">
        <v>43406</v>
      </c>
      <c r="B482" s="148">
        <v>225.9</v>
      </c>
      <c r="C482" s="148">
        <v>41.299999</v>
      </c>
      <c r="D482" s="148">
        <v>2140.3000000000002</v>
      </c>
      <c r="E482" s="148">
        <v>974.72497599999997</v>
      </c>
      <c r="F482" s="148">
        <v>1247</v>
      </c>
      <c r="G482" s="148">
        <v>1074.900024</v>
      </c>
      <c r="H482" s="148">
        <v>209.1</v>
      </c>
      <c r="I482" s="125">
        <v>1638.4499510000001</v>
      </c>
      <c r="J482">
        <f t="shared" si="57"/>
        <v>1.5509103169251595E-2</v>
      </c>
      <c r="K482">
        <f t="shared" si="58"/>
        <v>-4.7289483150610517E-2</v>
      </c>
      <c r="L482">
        <f t="shared" si="59"/>
        <v>-4.4190157223927802E-3</v>
      </c>
      <c r="M482">
        <f t="shared" si="60"/>
        <v>-3.3486952965235484E-3</v>
      </c>
      <c r="N482">
        <f t="shared" si="61"/>
        <v>2.3712873276797923E-3</v>
      </c>
      <c r="O482">
        <f t="shared" si="62"/>
        <v>-1.4124575170041027E-2</v>
      </c>
      <c r="P482">
        <f t="shared" si="63"/>
        <v>-4.7596382674916704E-3</v>
      </c>
      <c r="Q482">
        <f t="shared" si="64"/>
        <v>-9.7563973793088126E-4</v>
      </c>
    </row>
    <row r="483" spans="1:17" x14ac:dyDescent="0.25">
      <c r="A483" s="139">
        <v>43405</v>
      </c>
      <c r="B483" s="148">
        <v>212.8</v>
      </c>
      <c r="C483" s="148">
        <v>41.049999</v>
      </c>
      <c r="D483" s="148">
        <v>2098.85</v>
      </c>
      <c r="E483" s="148">
        <v>956.09997599999997</v>
      </c>
      <c r="F483" s="148">
        <v>1217.8</v>
      </c>
      <c r="G483" s="148">
        <v>1056.25</v>
      </c>
      <c r="H483" s="148">
        <v>204.05</v>
      </c>
      <c r="I483" s="125">
        <v>1607.650024</v>
      </c>
      <c r="J483">
        <f t="shared" si="57"/>
        <v>-5.7990261177512145E-2</v>
      </c>
      <c r="K483">
        <f t="shared" si="58"/>
        <v>-6.0532689117014267E-3</v>
      </c>
      <c r="L483">
        <f t="shared" si="59"/>
        <v>-1.9366443956454829E-2</v>
      </c>
      <c r="M483">
        <f t="shared" si="60"/>
        <v>-1.9107953995835644E-2</v>
      </c>
      <c r="N483">
        <f t="shared" si="61"/>
        <v>-2.3416198877305571E-2</v>
      </c>
      <c r="O483">
        <f t="shared" si="62"/>
        <v>-1.7350473145026211E-2</v>
      </c>
      <c r="P483">
        <f t="shared" si="63"/>
        <v>-2.4151123864179738E-2</v>
      </c>
      <c r="Q483">
        <f t="shared" si="64"/>
        <v>-1.8798210455682099E-2</v>
      </c>
    </row>
    <row r="484" spans="1:17" x14ac:dyDescent="0.25">
      <c r="A484" s="139">
        <v>43404</v>
      </c>
      <c r="B484" s="148">
        <v>211.15</v>
      </c>
      <c r="C484" s="148">
        <v>39.650002000000001</v>
      </c>
      <c r="D484" s="148">
        <v>2094.4</v>
      </c>
      <c r="E484" s="148">
        <v>955.875</v>
      </c>
      <c r="F484" s="148">
        <v>1230.4000000000001</v>
      </c>
      <c r="G484" s="148">
        <v>1061.25</v>
      </c>
      <c r="H484" s="148">
        <v>188.1</v>
      </c>
      <c r="I484" s="125">
        <v>1621.6999510000001</v>
      </c>
      <c r="J484">
        <f t="shared" si="57"/>
        <v>-7.7537593984962671E-3</v>
      </c>
      <c r="K484">
        <f t="shared" si="58"/>
        <v>-3.4104678053707115E-2</v>
      </c>
      <c r="L484">
        <f t="shared" si="59"/>
        <v>-2.1202086857087538E-3</v>
      </c>
      <c r="M484">
        <f t="shared" si="60"/>
        <v>-2.3530593624862683E-4</v>
      </c>
      <c r="N484">
        <f t="shared" si="61"/>
        <v>1.0346526523238739E-2</v>
      </c>
      <c r="O484">
        <f t="shared" si="62"/>
        <v>4.7337278106508876E-3</v>
      </c>
      <c r="P484">
        <f t="shared" si="63"/>
        <v>-7.8167115902965045E-2</v>
      </c>
      <c r="Q484">
        <f t="shared" si="64"/>
        <v>8.739418897305987E-3</v>
      </c>
    </row>
    <row r="485" spans="1:17" x14ac:dyDescent="0.25">
      <c r="A485" s="139">
        <v>43403</v>
      </c>
      <c r="B485" s="148">
        <v>211.2</v>
      </c>
      <c r="C485" s="148">
        <v>39.299999</v>
      </c>
      <c r="D485" s="148">
        <v>2080.0500000000002</v>
      </c>
      <c r="E485" s="148">
        <v>956.375</v>
      </c>
      <c r="F485" s="148">
        <v>1196.3</v>
      </c>
      <c r="G485" s="148">
        <v>1057</v>
      </c>
      <c r="H485" s="148">
        <v>182.05</v>
      </c>
      <c r="I485" s="125">
        <v>1593.0500489999999</v>
      </c>
      <c r="J485">
        <f t="shared" si="57"/>
        <v>2.3679848448961849E-4</v>
      </c>
      <c r="K485">
        <f t="shared" si="58"/>
        <v>-8.8273135522162378E-3</v>
      </c>
      <c r="L485">
        <f t="shared" si="59"/>
        <v>-6.8516042780748226E-3</v>
      </c>
      <c r="M485">
        <f t="shared" si="60"/>
        <v>5.2308094677651362E-4</v>
      </c>
      <c r="N485">
        <f t="shared" si="61"/>
        <v>-2.7714564369310902E-2</v>
      </c>
      <c r="O485">
        <f t="shared" si="62"/>
        <v>-4.0047114252061249E-3</v>
      </c>
      <c r="P485">
        <f t="shared" si="63"/>
        <v>-3.2163742690058388E-2</v>
      </c>
      <c r="Q485">
        <f t="shared" si="64"/>
        <v>-1.7666586215491664E-2</v>
      </c>
    </row>
    <row r="486" spans="1:17" x14ac:dyDescent="0.25">
      <c r="A486" s="139">
        <v>43402</v>
      </c>
      <c r="B486" s="148">
        <v>211.4</v>
      </c>
      <c r="C486" s="148">
        <v>38</v>
      </c>
      <c r="D486" s="148">
        <v>2102.1999999999998</v>
      </c>
      <c r="E486" s="148">
        <v>963.15002400000003</v>
      </c>
      <c r="F486" s="148">
        <v>1196.05</v>
      </c>
      <c r="G486" s="148">
        <v>1087.8000489999999</v>
      </c>
      <c r="H486" s="148">
        <v>181.3</v>
      </c>
      <c r="I486" s="125">
        <v>1552.900024</v>
      </c>
      <c r="J486">
        <f t="shared" si="57"/>
        <v>9.4696969696977777E-4</v>
      </c>
      <c r="K486">
        <f t="shared" si="58"/>
        <v>-3.3078855803533216E-2</v>
      </c>
      <c r="L486">
        <f t="shared" si="59"/>
        <v>1.064878248119018E-2</v>
      </c>
      <c r="M486">
        <f t="shared" si="60"/>
        <v>7.0840663965495024E-3</v>
      </c>
      <c r="N486">
        <f t="shared" si="61"/>
        <v>-2.0897768118364958E-4</v>
      </c>
      <c r="O486">
        <f t="shared" si="62"/>
        <v>2.9139119205297961E-2</v>
      </c>
      <c r="P486">
        <f t="shared" si="63"/>
        <v>-4.1197473221642406E-3</v>
      </c>
      <c r="Q486">
        <f t="shared" si="64"/>
        <v>-2.5203241433125818E-2</v>
      </c>
    </row>
    <row r="487" spans="1:17" x14ac:dyDescent="0.25">
      <c r="A487" s="139">
        <v>43399</v>
      </c>
      <c r="B487" s="148">
        <v>203.65</v>
      </c>
      <c r="C487" s="148">
        <v>36.200001</v>
      </c>
      <c r="D487" s="148">
        <v>2084.25</v>
      </c>
      <c r="E487" s="148">
        <v>980.59997599999997</v>
      </c>
      <c r="F487" s="148">
        <v>1190.3</v>
      </c>
      <c r="G487" s="148">
        <v>1044.900024</v>
      </c>
      <c r="H487" s="148">
        <v>180.7</v>
      </c>
      <c r="I487" s="125">
        <v>1558.25</v>
      </c>
      <c r="J487">
        <f t="shared" si="57"/>
        <v>-3.6660359508041626E-2</v>
      </c>
      <c r="K487">
        <f t="shared" si="58"/>
        <v>-4.7368394736842095E-2</v>
      </c>
      <c r="L487">
        <f t="shared" si="59"/>
        <v>-8.5386737703357536E-3</v>
      </c>
      <c r="M487">
        <f t="shared" si="60"/>
        <v>1.8117584556069054E-2</v>
      </c>
      <c r="N487">
        <f t="shared" si="61"/>
        <v>-4.8074913256134777E-3</v>
      </c>
      <c r="O487">
        <f t="shared" si="62"/>
        <v>-3.9437417785959224E-2</v>
      </c>
      <c r="P487">
        <f t="shared" si="63"/>
        <v>-3.3094318808605775E-3</v>
      </c>
      <c r="Q487">
        <f t="shared" si="64"/>
        <v>3.4451515985036586E-3</v>
      </c>
    </row>
    <row r="488" spans="1:17" x14ac:dyDescent="0.25">
      <c r="A488" s="139">
        <v>43398</v>
      </c>
      <c r="B488" s="148">
        <v>204.6</v>
      </c>
      <c r="C488" s="148">
        <v>36.200001</v>
      </c>
      <c r="D488" s="148">
        <v>2105.3000000000002</v>
      </c>
      <c r="E488" s="148">
        <v>984.40002400000003</v>
      </c>
      <c r="F488" s="148">
        <v>1200.05</v>
      </c>
      <c r="G488" s="148">
        <v>1030.8000489999999</v>
      </c>
      <c r="H488" s="148">
        <v>198.35</v>
      </c>
      <c r="I488" s="125">
        <v>1571.5500489999999</v>
      </c>
      <c r="J488">
        <f t="shared" si="57"/>
        <v>4.6648661919960156E-3</v>
      </c>
      <c r="K488">
        <f t="shared" si="58"/>
        <v>0</v>
      </c>
      <c r="L488">
        <f t="shared" si="59"/>
        <v>1.0099556195274167E-2</v>
      </c>
      <c r="M488">
        <f t="shared" si="60"/>
        <v>3.8752275066342248E-3</v>
      </c>
      <c r="N488">
        <f t="shared" si="61"/>
        <v>8.1912122994203147E-3</v>
      </c>
      <c r="O488">
        <f t="shared" si="62"/>
        <v>-1.3494090033631854E-2</v>
      </c>
      <c r="P488">
        <f t="shared" si="63"/>
        <v>9.7675705589374689E-2</v>
      </c>
      <c r="Q488">
        <f t="shared" si="64"/>
        <v>8.535247232472289E-3</v>
      </c>
    </row>
    <row r="489" spans="1:17" x14ac:dyDescent="0.25">
      <c r="A489" s="139">
        <v>43397</v>
      </c>
      <c r="B489" s="148">
        <v>211.9</v>
      </c>
      <c r="C489" s="148">
        <v>37</v>
      </c>
      <c r="D489" s="148">
        <v>2170.75</v>
      </c>
      <c r="E489" s="148">
        <v>996.125</v>
      </c>
      <c r="F489" s="148">
        <v>1186.9000000000001</v>
      </c>
      <c r="G489" s="148">
        <v>1045.75</v>
      </c>
      <c r="H489" s="148">
        <v>204</v>
      </c>
      <c r="I489" s="125">
        <v>1585.9499510000001</v>
      </c>
      <c r="J489">
        <f t="shared" si="57"/>
        <v>3.5679374389051867E-2</v>
      </c>
      <c r="K489">
        <f t="shared" si="58"/>
        <v>2.2099419279021558E-2</v>
      </c>
      <c r="L489">
        <f t="shared" si="59"/>
        <v>3.1088205956395675E-2</v>
      </c>
      <c r="M489">
        <f t="shared" si="60"/>
        <v>1.1910783943662287E-2</v>
      </c>
      <c r="N489">
        <f t="shared" si="61"/>
        <v>-1.095787675513509E-2</v>
      </c>
      <c r="O489">
        <f t="shared" si="62"/>
        <v>1.450325018368335E-2</v>
      </c>
      <c r="P489">
        <f t="shared" si="63"/>
        <v>2.8485001260398317E-2</v>
      </c>
      <c r="Q489">
        <f t="shared" si="64"/>
        <v>9.1628656746649446E-3</v>
      </c>
    </row>
    <row r="490" spans="1:17" x14ac:dyDescent="0.25">
      <c r="A490" s="139">
        <v>43396</v>
      </c>
      <c r="B490" s="148">
        <v>210.35</v>
      </c>
      <c r="C490" s="148">
        <v>35.25</v>
      </c>
      <c r="D490" s="148">
        <v>2198.4499999999998</v>
      </c>
      <c r="E490" s="148">
        <v>992.42498799999998</v>
      </c>
      <c r="F490" s="148">
        <v>1138.45</v>
      </c>
      <c r="G490" s="148">
        <v>1054.6999510000001</v>
      </c>
      <c r="H490" s="148">
        <v>213.2</v>
      </c>
      <c r="I490" s="125">
        <v>1552.0500489999999</v>
      </c>
      <c r="J490">
        <f t="shared" si="57"/>
        <v>-7.3147711184521538E-3</v>
      </c>
      <c r="K490">
        <f t="shared" si="58"/>
        <v>-4.72972972972973E-2</v>
      </c>
      <c r="L490">
        <f t="shared" si="59"/>
        <v>1.2760566624438474E-2</v>
      </c>
      <c r="M490">
        <f t="shared" si="60"/>
        <v>-3.7144053206174077E-3</v>
      </c>
      <c r="N490">
        <f t="shared" si="61"/>
        <v>-4.0820625157974591E-2</v>
      </c>
      <c r="O490">
        <f t="shared" si="62"/>
        <v>8.5584040162563282E-3</v>
      </c>
      <c r="P490">
        <f t="shared" si="63"/>
        <v>4.5098039215686218E-2</v>
      </c>
      <c r="Q490">
        <f t="shared" si="64"/>
        <v>-2.1375139851434133E-2</v>
      </c>
    </row>
    <row r="491" spans="1:17" ht="15.75" thickBot="1" x14ac:dyDescent="0.3">
      <c r="A491" s="142">
        <v>43395</v>
      </c>
      <c r="B491" s="149">
        <v>213.55</v>
      </c>
      <c r="C491" s="149">
        <v>35.75</v>
      </c>
      <c r="D491" s="149">
        <v>2240.15</v>
      </c>
      <c r="E491" s="149">
        <v>999.45001200000002</v>
      </c>
      <c r="F491" s="149">
        <v>1200.4000000000001</v>
      </c>
      <c r="G491" s="149">
        <v>1062.650024</v>
      </c>
      <c r="H491" s="149">
        <v>211.5</v>
      </c>
      <c r="I491" s="150">
        <v>1584.900024</v>
      </c>
      <c r="J491">
        <f t="shared" si="57"/>
        <v>1.5212740670311467E-2</v>
      </c>
      <c r="K491">
        <f t="shared" si="58"/>
        <v>1.4184397163120567E-2</v>
      </c>
      <c r="L491">
        <f t="shared" si="59"/>
        <v>1.8967909208760843E-2</v>
      </c>
      <c r="M491">
        <f t="shared" si="60"/>
        <v>7.0786448194511105E-3</v>
      </c>
      <c r="N491">
        <f t="shared" si="61"/>
        <v>5.4416092054987084E-2</v>
      </c>
      <c r="O491">
        <f t="shared" si="62"/>
        <v>7.5377580064000345E-3</v>
      </c>
      <c r="P491">
        <f t="shared" si="63"/>
        <v>-7.9737335834896284E-3</v>
      </c>
      <c r="Q491">
        <f t="shared" si="64"/>
        <v>2.1165538457452209E-2</v>
      </c>
    </row>
  </sheetData>
  <mergeCells count="1">
    <mergeCell ref="J1:Q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FB74-2F83-4D17-B49C-A8F6290BC81A}">
  <dimension ref="A1:O44"/>
  <sheetViews>
    <sheetView topLeftCell="A4" workbookViewId="0">
      <selection activeCell="G32" sqref="G32"/>
    </sheetView>
  </sheetViews>
  <sheetFormatPr defaultRowHeight="15" x14ac:dyDescent="0.25"/>
  <cols>
    <col min="1" max="1" width="10.28515625" customWidth="1"/>
    <col min="2" max="2" width="18.5703125" customWidth="1"/>
    <col min="3" max="7" width="12" customWidth="1"/>
    <col min="8" max="8" width="12.42578125" bestFit="1" customWidth="1"/>
    <col min="12" max="12" width="10.85546875" customWidth="1"/>
    <col min="13" max="13" width="10.5703125" customWidth="1"/>
    <col min="14" max="14" width="11" customWidth="1"/>
    <col min="15" max="15" width="10.7109375" customWidth="1"/>
  </cols>
  <sheetData>
    <row r="1" spans="1:8" x14ac:dyDescent="0.25">
      <c r="A1" t="s">
        <v>240</v>
      </c>
    </row>
    <row r="3" spans="1:8" ht="15.75" thickBot="1" x14ac:dyDescent="0.3">
      <c r="C3" s="372" t="s">
        <v>242</v>
      </c>
      <c r="D3" s="372"/>
      <c r="E3" s="372"/>
      <c r="F3" s="372"/>
      <c r="G3" s="372"/>
    </row>
    <row r="4" spans="1:8" x14ac:dyDescent="0.25">
      <c r="B4" t="s">
        <v>241</v>
      </c>
      <c r="C4" s="151"/>
      <c r="D4" s="151" t="s">
        <v>232</v>
      </c>
      <c r="E4" s="151" t="s">
        <v>233</v>
      </c>
      <c r="F4" s="151" t="s">
        <v>234</v>
      </c>
      <c r="G4" s="151" t="s">
        <v>235</v>
      </c>
      <c r="H4" s="155" t="s">
        <v>246</v>
      </c>
    </row>
    <row r="5" spans="1:8" x14ac:dyDescent="0.25">
      <c r="B5">
        <v>0.25</v>
      </c>
      <c r="C5" t="s">
        <v>232</v>
      </c>
      <c r="D5">
        <f>VARP(data1!$F$3:$F$491)</f>
        <v>7.6159702094910381E-4</v>
      </c>
      <c r="E5" cm="1">
        <f t="array" ref="E5:G5">TRANSPOSE(D6:D8)</f>
        <v>2.6094956957307004E-4</v>
      </c>
      <c r="F5">
        <v>1.6236271859145149E-4</v>
      </c>
      <c r="G5">
        <v>2.1836669135714833E-5</v>
      </c>
      <c r="H5" s="104">
        <f>AVERAGE(data1!F3:F491)</f>
        <v>3.2259027313000614E-3</v>
      </c>
    </row>
    <row r="6" spans="1:8" x14ac:dyDescent="0.25">
      <c r="B6">
        <v>0.25</v>
      </c>
      <c r="C6" t="s">
        <v>233</v>
      </c>
      <c r="D6">
        <v>2.6094956957307004E-4</v>
      </c>
      <c r="E6">
        <f>VARP(data1!$G$3:$G$491)</f>
        <v>1.0408853489145319E-3</v>
      </c>
      <c r="F6" cm="1">
        <f t="array" ref="F6:G6">TRANSPOSE(E7:E8)</f>
        <v>1.6937080372064252E-4</v>
      </c>
      <c r="G6">
        <v>1.1822610840219716E-4</v>
      </c>
      <c r="H6" s="104">
        <f>AVERAGE(data1!G3:G491)</f>
        <v>-1.0183332426052379E-3</v>
      </c>
    </row>
    <row r="7" spans="1:8" x14ac:dyDescent="0.25">
      <c r="B7">
        <v>0.25</v>
      </c>
      <c r="C7" t="s">
        <v>234</v>
      </c>
      <c r="D7">
        <v>1.6236271859145149E-4</v>
      </c>
      <c r="E7">
        <v>1.6937080372064252E-4</v>
      </c>
      <c r="F7">
        <f>VARP(data1!$H$3:$H$491)</f>
        <v>3.5344803631148661E-4</v>
      </c>
      <c r="G7" cm="1">
        <f t="array" ref="G7">TRANSPOSE(F8)</f>
        <v>-1.0446517820870792E-5</v>
      </c>
      <c r="H7" s="156">
        <f>AVERAGE(data1!H3:H491)</f>
        <v>1.2872830630290886E-3</v>
      </c>
    </row>
    <row r="8" spans="1:8" ht="15.75" thickBot="1" x14ac:dyDescent="0.3">
      <c r="B8">
        <v>0.25</v>
      </c>
      <c r="C8" s="49" t="s">
        <v>235</v>
      </c>
      <c r="D8" s="49">
        <v>2.1836669135714833E-5</v>
      </c>
      <c r="E8" s="49">
        <v>1.1822610840219716E-4</v>
      </c>
      <c r="F8" s="49">
        <v>-1.0446517820870792E-5</v>
      </c>
      <c r="G8" s="49">
        <f>VARP(data1!$I$3:$I$491)</f>
        <v>5.2310710202003088E-3</v>
      </c>
      <c r="H8" s="156">
        <f>AVERAGE(data1!I3:I491)</f>
        <v>-3.0490895023403014E-3</v>
      </c>
    </row>
    <row r="9" spans="1:8" x14ac:dyDescent="0.25">
      <c r="B9">
        <f>SUM(B5:B8)</f>
        <v>1</v>
      </c>
    </row>
    <row r="10" spans="1:8" x14ac:dyDescent="0.25">
      <c r="B10" t="s">
        <v>247</v>
      </c>
      <c r="C10" s="161" cm="1">
        <f t="array" ref="C10:F10">MMULT(TRANSPOSE(B5:B8),D5:G8)</f>
        <v>3.01686494562335E-4</v>
      </c>
      <c r="D10" s="161">
        <v>3.9735795765261035E-4</v>
      </c>
      <c r="E10" s="161">
        <v>1.6868376020067746E-4</v>
      </c>
      <c r="F10" s="161">
        <v>1.3401718199793375E-3</v>
      </c>
    </row>
    <row r="12" spans="1:8" x14ac:dyDescent="0.25">
      <c r="B12" t="s">
        <v>245</v>
      </c>
      <c r="C12" s="160">
        <f>SUMPRODUCT(B5:B8,H5:H8)</f>
        <v>1.1144076234590274E-4</v>
      </c>
      <c r="E12" s="155"/>
      <c r="F12" s="155"/>
      <c r="G12" s="155"/>
    </row>
    <row r="13" spans="1:8" x14ac:dyDescent="0.25">
      <c r="B13" t="s">
        <v>243</v>
      </c>
      <c r="C13" s="15">
        <f>C12*252</f>
        <v>2.8083072111167492E-2</v>
      </c>
    </row>
    <row r="15" spans="1:8" x14ac:dyDescent="0.25">
      <c r="B15" t="s">
        <v>79</v>
      </c>
      <c r="C15" s="15" cm="1">
        <f t="array" ref="C15">MMULT(_xlfn.ANCHORARRAY(C10),B5:B8)</f>
        <v>5.5197500809874012E-4</v>
      </c>
    </row>
    <row r="16" spans="1:8" x14ac:dyDescent="0.25">
      <c r="B16" t="s">
        <v>244</v>
      </c>
    </row>
    <row r="17" spans="1:8" x14ac:dyDescent="0.25">
      <c r="B17" t="s">
        <v>243</v>
      </c>
      <c r="C17" s="15">
        <f>C15*252</f>
        <v>0.13909770204088251</v>
      </c>
    </row>
    <row r="19" spans="1:8" x14ac:dyDescent="0.25">
      <c r="B19" t="s">
        <v>248</v>
      </c>
      <c r="C19" s="15">
        <f>SQRT(C15)</f>
        <v>2.3494148379942188E-2</v>
      </c>
    </row>
    <row r="20" spans="1:8" x14ac:dyDescent="0.25">
      <c r="B20" t="s">
        <v>243</v>
      </c>
      <c r="C20" s="15">
        <f>SQRT(C17)</f>
        <v>0.37295804327146842</v>
      </c>
    </row>
    <row r="22" spans="1:8" x14ac:dyDescent="0.25">
      <c r="B22" t="s">
        <v>295</v>
      </c>
      <c r="C22" s="26">
        <v>0.99750000000000005</v>
      </c>
    </row>
    <row r="23" spans="1:8" x14ac:dyDescent="0.25">
      <c r="B23" t="s">
        <v>296</v>
      </c>
      <c r="C23" s="163">
        <f>_xlfn.NORM.S.INV(C22)</f>
        <v>2.8070337683438114</v>
      </c>
    </row>
    <row r="24" spans="1:8" x14ac:dyDescent="0.25">
      <c r="B24" t="s">
        <v>300</v>
      </c>
      <c r="C24" s="15">
        <f>C23*C19</f>
        <v>6.594886786097777E-2</v>
      </c>
    </row>
    <row r="25" spans="1:8" x14ac:dyDescent="0.25">
      <c r="B25" t="s">
        <v>297</v>
      </c>
      <c r="C25" s="15">
        <f>C24*SQRT(10/252)</f>
        <v>1.313732893677569E-2</v>
      </c>
    </row>
    <row r="26" spans="1:8" x14ac:dyDescent="0.25">
      <c r="B26" t="s">
        <v>298</v>
      </c>
      <c r="C26" s="15">
        <f>C25*SQRT(1/252)</f>
        <v>8.275739347228826E-4</v>
      </c>
    </row>
    <row r="27" spans="1:8" x14ac:dyDescent="0.25">
      <c r="B27" s="153" t="s">
        <v>299</v>
      </c>
      <c r="C27" s="153">
        <f>C26*100</f>
        <v>8.2757393472288263E-2</v>
      </c>
      <c r="D27" s="154"/>
      <c r="H27" s="156"/>
    </row>
    <row r="28" spans="1:8" x14ac:dyDescent="0.25">
      <c r="B28" s="153"/>
      <c r="H28" s="156"/>
    </row>
    <row r="29" spans="1:8" x14ac:dyDescent="0.25">
      <c r="A29" t="s">
        <v>249</v>
      </c>
      <c r="B29" s="153"/>
      <c r="H29" s="156"/>
    </row>
    <row r="30" spans="1:8" x14ac:dyDescent="0.25">
      <c r="B30" s="153"/>
      <c r="H30" s="156"/>
    </row>
    <row r="31" spans="1:8" x14ac:dyDescent="0.25">
      <c r="B31" s="153"/>
    </row>
    <row r="33" spans="2:15" x14ac:dyDescent="0.25">
      <c r="L33" s="157"/>
      <c r="M33" s="157"/>
      <c r="N33" s="157"/>
      <c r="O33" s="157"/>
    </row>
    <row r="35" spans="2:15" x14ac:dyDescent="0.25">
      <c r="G35" s="157"/>
    </row>
    <row r="36" spans="2:15" x14ac:dyDescent="0.25">
      <c r="D36" s="158"/>
    </row>
    <row r="37" spans="2:15" x14ac:dyDescent="0.25">
      <c r="D37" s="158"/>
    </row>
    <row r="39" spans="2:15" x14ac:dyDescent="0.25">
      <c r="D39" s="159"/>
    </row>
    <row r="40" spans="2:15" x14ac:dyDescent="0.25">
      <c r="B40" s="371"/>
      <c r="C40" s="371"/>
    </row>
    <row r="43" spans="2:15" x14ac:dyDescent="0.25">
      <c r="D43" s="156"/>
    </row>
    <row r="44" spans="2:15" x14ac:dyDescent="0.25">
      <c r="D44" s="158"/>
    </row>
  </sheetData>
  <mergeCells count="2">
    <mergeCell ref="B40:C40"/>
    <mergeCell ref="C3:G3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C5E4-6EFE-4A1C-8971-5AC80C88F2B2}">
  <dimension ref="A2:N41"/>
  <sheetViews>
    <sheetView workbookViewId="0">
      <selection activeCell="Q12" sqref="Q12"/>
    </sheetView>
  </sheetViews>
  <sheetFormatPr defaultRowHeight="15" x14ac:dyDescent="0.25"/>
  <cols>
    <col min="1" max="1" width="3.28515625" bestFit="1" customWidth="1"/>
  </cols>
  <sheetData>
    <row r="2" spans="1:13" x14ac:dyDescent="0.25">
      <c r="A2" s="31" t="s">
        <v>128</v>
      </c>
      <c r="B2" t="s">
        <v>269</v>
      </c>
    </row>
    <row r="4" spans="1:13" x14ac:dyDescent="0.25">
      <c r="B4" t="s">
        <v>270</v>
      </c>
    </row>
    <row r="6" spans="1:13" x14ac:dyDescent="0.25">
      <c r="B6" t="s">
        <v>271</v>
      </c>
    </row>
    <row r="7" spans="1:13" x14ac:dyDescent="0.25">
      <c r="B7" t="s">
        <v>272</v>
      </c>
    </row>
    <row r="9" spans="1:13" x14ac:dyDescent="0.25">
      <c r="B9" t="s">
        <v>199</v>
      </c>
    </row>
    <row r="11" spans="1:13" ht="15.75" thickBot="1" x14ac:dyDescent="0.3"/>
    <row r="12" spans="1:13" x14ac:dyDescent="0.25">
      <c r="D12" s="60" t="s">
        <v>121</v>
      </c>
      <c r="E12" s="36" t="s">
        <v>69</v>
      </c>
      <c r="F12" s="36" t="s">
        <v>124</v>
      </c>
      <c r="G12" s="37" t="s">
        <v>138</v>
      </c>
      <c r="J12" s="60" t="s">
        <v>121</v>
      </c>
      <c r="K12" s="36" t="s">
        <v>69</v>
      </c>
      <c r="L12" s="36" t="s">
        <v>124</v>
      </c>
      <c r="M12" s="37" t="s">
        <v>138</v>
      </c>
    </row>
    <row r="13" spans="1:13" x14ac:dyDescent="0.25">
      <c r="D13" s="54" t="s">
        <v>204</v>
      </c>
      <c r="E13" s="5">
        <v>0.2</v>
      </c>
      <c r="F13" s="5">
        <v>0.32</v>
      </c>
      <c r="G13" s="40">
        <v>0.1</v>
      </c>
      <c r="J13" s="54" t="s">
        <v>204</v>
      </c>
      <c r="K13" s="5">
        <v>0.2</v>
      </c>
      <c r="L13" s="5">
        <v>0.32</v>
      </c>
      <c r="M13" s="40">
        <v>0.45572916666666746</v>
      </c>
    </row>
    <row r="14" spans="1:13" x14ac:dyDescent="0.25">
      <c r="D14" s="54" t="s">
        <v>205</v>
      </c>
      <c r="E14" s="5">
        <v>0.06</v>
      </c>
      <c r="F14" s="5">
        <v>0</v>
      </c>
      <c r="G14" s="40">
        <f>1-G13</f>
        <v>0.9</v>
      </c>
      <c r="J14" s="54" t="s">
        <v>205</v>
      </c>
      <c r="K14" s="5">
        <v>0.06</v>
      </c>
      <c r="L14" s="5">
        <v>0</v>
      </c>
      <c r="M14" s="126">
        <v>0.54427083333333248</v>
      </c>
    </row>
    <row r="15" spans="1:13" x14ac:dyDescent="0.25">
      <c r="D15" s="54"/>
      <c r="G15" s="40"/>
      <c r="J15" s="54"/>
      <c r="M15" s="40">
        <f>M13+M14</f>
        <v>1</v>
      </c>
    </row>
    <row r="16" spans="1:13" x14ac:dyDescent="0.25">
      <c r="D16" s="54"/>
      <c r="G16" s="40"/>
      <c r="J16" s="54"/>
      <c r="M16" s="40"/>
    </row>
    <row r="17" spans="1:14" x14ac:dyDescent="0.25">
      <c r="D17" s="54"/>
      <c r="E17" t="s">
        <v>206</v>
      </c>
      <c r="G17" s="129">
        <f>SUMPRODUCT(G13:G14,E13:E14)</f>
        <v>7.400000000000001E-2</v>
      </c>
      <c r="J17" s="54"/>
      <c r="K17" t="s">
        <v>206</v>
      </c>
      <c r="M17" s="129">
        <f>SUMPRODUCT(M13:M14,K13:K14)</f>
        <v>0.12380208333333345</v>
      </c>
    </row>
    <row r="18" spans="1:14" x14ac:dyDescent="0.25">
      <c r="D18" s="54"/>
      <c r="G18" s="40"/>
      <c r="J18" s="54"/>
      <c r="M18" s="40"/>
    </row>
    <row r="19" spans="1:14" x14ac:dyDescent="0.25">
      <c r="D19" s="54"/>
      <c r="E19" t="s">
        <v>260</v>
      </c>
      <c r="G19" s="129">
        <f>G13*F13</f>
        <v>3.2000000000000001E-2</v>
      </c>
      <c r="J19" s="54"/>
      <c r="K19" t="s">
        <v>260</v>
      </c>
      <c r="M19" s="129">
        <f>M13*L13</f>
        <v>0.14583333333333359</v>
      </c>
    </row>
    <row r="20" spans="1:14" x14ac:dyDescent="0.25">
      <c r="D20" s="54"/>
      <c r="G20" s="40"/>
      <c r="J20" s="54"/>
      <c r="M20" s="40"/>
    </row>
    <row r="21" spans="1:14" ht="15.75" thickBot="1" x14ac:dyDescent="0.3">
      <c r="D21" s="56"/>
      <c r="E21" s="49" t="s">
        <v>273</v>
      </c>
      <c r="F21" s="49"/>
      <c r="G21" s="184">
        <f>G17-1/2*3*G19^2</f>
        <v>7.2464000000000015E-2</v>
      </c>
      <c r="J21" s="56"/>
      <c r="K21" s="49" t="s">
        <v>273</v>
      </c>
      <c r="L21" s="49"/>
      <c r="M21" s="184">
        <f>M17-1/2*3*M19^2</f>
        <v>9.1901041666666669E-2</v>
      </c>
    </row>
    <row r="24" spans="1:14" x14ac:dyDescent="0.25">
      <c r="E24" t="s">
        <v>274</v>
      </c>
      <c r="F24" t="s">
        <v>30</v>
      </c>
      <c r="G24" s="193">
        <f>E13-E14</f>
        <v>0.14000000000000001</v>
      </c>
      <c r="H24" t="s">
        <v>30</v>
      </c>
      <c r="I24">
        <f>G24/G25</f>
        <v>0.45572916666666669</v>
      </c>
    </row>
    <row r="25" spans="1:14" x14ac:dyDescent="0.25">
      <c r="G25">
        <f>3*F13^2</f>
        <v>0.30720000000000003</v>
      </c>
    </row>
    <row r="27" spans="1:14" x14ac:dyDescent="0.25">
      <c r="A27" s="31" t="s">
        <v>146</v>
      </c>
      <c r="E27" t="s">
        <v>56</v>
      </c>
      <c r="F27" t="s">
        <v>124</v>
      </c>
      <c r="G27" t="s">
        <v>138</v>
      </c>
      <c r="L27" t="s">
        <v>56</v>
      </c>
      <c r="M27" t="s">
        <v>124</v>
      </c>
      <c r="N27" t="s">
        <v>138</v>
      </c>
    </row>
    <row r="28" spans="1:14" x14ac:dyDescent="0.25">
      <c r="D28" t="s">
        <v>139</v>
      </c>
      <c r="E28" s="5">
        <v>0.27</v>
      </c>
      <c r="F28" s="5">
        <v>0.18</v>
      </c>
      <c r="G28">
        <v>0.25</v>
      </c>
      <c r="K28" t="s">
        <v>139</v>
      </c>
      <c r="L28" s="5">
        <v>0.27</v>
      </c>
      <c r="M28" s="5">
        <v>0.18</v>
      </c>
      <c r="N28">
        <v>0.13898916971125541</v>
      </c>
    </row>
    <row r="29" spans="1:14" x14ac:dyDescent="0.25">
      <c r="D29" t="s">
        <v>140</v>
      </c>
      <c r="E29" s="5">
        <v>0.09</v>
      </c>
      <c r="F29" s="5">
        <v>0.06</v>
      </c>
      <c r="G29" s="116">
        <f>1-G28</f>
        <v>0.75</v>
      </c>
      <c r="K29" t="s">
        <v>140</v>
      </c>
      <c r="L29" s="5">
        <v>0.09</v>
      </c>
      <c r="M29" s="5">
        <v>0.06</v>
      </c>
      <c r="N29" s="116">
        <v>0.86101083028874448</v>
      </c>
    </row>
    <row r="30" spans="1:14" x14ac:dyDescent="0.25">
      <c r="E30" s="5"/>
      <c r="F30" s="5"/>
      <c r="G30" s="116">
        <f>G28+G29</f>
        <v>1</v>
      </c>
      <c r="L30" s="5"/>
      <c r="M30" s="5"/>
      <c r="N30" s="116">
        <f>N28+N29</f>
        <v>0.99999999999999989</v>
      </c>
    </row>
    <row r="32" spans="1:14" x14ac:dyDescent="0.25">
      <c r="F32" t="s">
        <v>141</v>
      </c>
      <c r="G32">
        <v>-0.18</v>
      </c>
      <c r="M32" t="s">
        <v>141</v>
      </c>
      <c r="N32">
        <v>-0.18</v>
      </c>
    </row>
    <row r="34" spans="1:14" x14ac:dyDescent="0.25">
      <c r="E34" t="s">
        <v>260</v>
      </c>
      <c r="G34" s="15">
        <f>SQRT(G28^2*F28^2+G29^2*F29^2+2*G28*G29*F28*F29*G32)</f>
        <v>5.7628118136895633E-2</v>
      </c>
      <c r="L34" t="s">
        <v>260</v>
      </c>
      <c r="N34" s="15">
        <f>SQRT(N28^2*M28^2+N29^2*M29^2+2*N28*N29*M28*M29*N32)</f>
        <v>5.3192518678112047E-2</v>
      </c>
    </row>
    <row r="36" spans="1:14" x14ac:dyDescent="0.25">
      <c r="B36">
        <f>F28^2</f>
        <v>3.2399999999999998E-2</v>
      </c>
      <c r="E36" t="s">
        <v>275</v>
      </c>
      <c r="G36" s="116">
        <f>B36-B38</f>
        <v>3.4344E-2</v>
      </c>
      <c r="H36" t="s">
        <v>30</v>
      </c>
      <c r="I36">
        <f>G36/G37</f>
        <v>0.86101083032490977</v>
      </c>
    </row>
    <row r="37" spans="1:14" x14ac:dyDescent="0.25">
      <c r="B37">
        <f>F29^2</f>
        <v>3.5999999999999999E-3</v>
      </c>
      <c r="G37">
        <f>B36+B37-2*B38</f>
        <v>3.9888E-2</v>
      </c>
    </row>
    <row r="38" spans="1:14" x14ac:dyDescent="0.25">
      <c r="B38">
        <f>F28*F29*G32</f>
        <v>-1.9439999999999998E-3</v>
      </c>
    </row>
    <row r="41" spans="1:14" x14ac:dyDescent="0.25">
      <c r="A41" s="31" t="s">
        <v>276</v>
      </c>
      <c r="E41" s="15">
        <f>18%*SQRT(1/12)</f>
        <v>5.1961524227066312E-2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DFDF-6243-4809-AF44-DCDC563B6540}">
  <dimension ref="B3:N24"/>
  <sheetViews>
    <sheetView workbookViewId="0">
      <selection activeCell="P18" sqref="P18"/>
    </sheetView>
  </sheetViews>
  <sheetFormatPr defaultRowHeight="15" x14ac:dyDescent="0.25"/>
  <cols>
    <col min="2" max="2" width="10.5703125" customWidth="1"/>
  </cols>
  <sheetData>
    <row r="3" spans="2:13" x14ac:dyDescent="0.25">
      <c r="C3" t="s">
        <v>277</v>
      </c>
    </row>
    <row r="5" spans="2:13" x14ac:dyDescent="0.25">
      <c r="B5" s="31" t="s">
        <v>278</v>
      </c>
      <c r="C5" t="s">
        <v>279</v>
      </c>
    </row>
    <row r="7" spans="2:13" x14ac:dyDescent="0.25">
      <c r="B7" s="194" t="s">
        <v>85</v>
      </c>
      <c r="C7" s="29" t="s">
        <v>280</v>
      </c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2:13" x14ac:dyDescent="0.25">
      <c r="B8" s="29"/>
      <c r="C8" s="29" t="s">
        <v>281</v>
      </c>
      <c r="D8" s="29"/>
      <c r="E8" s="29"/>
      <c r="F8" s="29"/>
      <c r="G8" s="29"/>
      <c r="H8" s="29"/>
      <c r="I8" s="29"/>
      <c r="J8" s="29"/>
      <c r="K8" s="29"/>
      <c r="L8" s="29"/>
      <c r="M8" s="29"/>
    </row>
    <row r="10" spans="2:13" x14ac:dyDescent="0.25">
      <c r="F10" t="s">
        <v>282</v>
      </c>
    </row>
    <row r="11" spans="2:13" x14ac:dyDescent="0.25">
      <c r="D11" s="195"/>
      <c r="E11" s="195" t="s">
        <v>283</v>
      </c>
      <c r="F11" s="195" t="s">
        <v>284</v>
      </c>
      <c r="G11" s="195"/>
      <c r="H11" s="195"/>
    </row>
    <row r="14" spans="2:13" s="10" customFormat="1" x14ac:dyDescent="0.25">
      <c r="E14" s="10" t="s">
        <v>285</v>
      </c>
      <c r="F14" s="10" t="s">
        <v>286</v>
      </c>
      <c r="G14" s="196" t="s">
        <v>287</v>
      </c>
      <c r="H14" s="10" t="s">
        <v>288</v>
      </c>
    </row>
    <row r="15" spans="2:13" s="10" customFormat="1" x14ac:dyDescent="0.25">
      <c r="G15" s="91" t="s">
        <v>158</v>
      </c>
    </row>
    <row r="17" spans="5:14" x14ac:dyDescent="0.25">
      <c r="E17" s="10" t="s">
        <v>289</v>
      </c>
      <c r="F17" s="10" t="s">
        <v>290</v>
      </c>
      <c r="G17" s="10" t="s">
        <v>30</v>
      </c>
      <c r="H17" s="10" t="s">
        <v>287</v>
      </c>
    </row>
    <row r="19" spans="5:14" ht="15.75" thickBot="1" x14ac:dyDescent="0.3"/>
    <row r="20" spans="5:14" x14ac:dyDescent="0.25">
      <c r="E20" s="187"/>
      <c r="F20" s="188"/>
      <c r="G20" s="188"/>
      <c r="H20" s="188"/>
      <c r="I20" s="188"/>
      <c r="J20" s="188"/>
      <c r="K20" s="188"/>
      <c r="L20" s="188"/>
      <c r="M20" s="188"/>
      <c r="N20" s="189"/>
    </row>
    <row r="21" spans="5:14" x14ac:dyDescent="0.25">
      <c r="E21" s="190"/>
      <c r="F21" s="113" t="s">
        <v>291</v>
      </c>
      <c r="G21" s="113"/>
      <c r="H21" s="113" t="s">
        <v>292</v>
      </c>
      <c r="I21" s="113"/>
      <c r="J21" s="113"/>
      <c r="K21" s="113"/>
      <c r="L21" s="113"/>
      <c r="M21" s="113"/>
      <c r="N21" s="191"/>
    </row>
    <row r="22" spans="5:14" x14ac:dyDescent="0.25">
      <c r="E22" s="190"/>
      <c r="F22" s="113"/>
      <c r="G22" s="113"/>
      <c r="H22" s="113"/>
      <c r="I22" s="113"/>
      <c r="J22" s="113"/>
      <c r="K22" s="113"/>
      <c r="L22" s="113"/>
      <c r="M22" s="113"/>
      <c r="N22" s="191"/>
    </row>
    <row r="23" spans="5:14" x14ac:dyDescent="0.25">
      <c r="E23" s="190"/>
      <c r="F23" s="113" t="s">
        <v>293</v>
      </c>
      <c r="G23" s="113"/>
      <c r="H23" s="113" t="s">
        <v>294</v>
      </c>
      <c r="I23" s="113"/>
      <c r="J23" s="113"/>
      <c r="K23" s="113"/>
      <c r="L23" s="113"/>
      <c r="M23" s="113"/>
      <c r="N23" s="191"/>
    </row>
    <row r="24" spans="5:14" ht="15.75" thickBot="1" x14ac:dyDescent="0.3">
      <c r="E24" s="192"/>
      <c r="F24" s="197"/>
      <c r="G24" s="197"/>
      <c r="H24" s="197"/>
      <c r="I24" s="197"/>
      <c r="J24" s="197"/>
      <c r="K24" s="197"/>
      <c r="L24" s="197"/>
      <c r="M24" s="197"/>
      <c r="N24" s="19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AEA6-FA25-4473-A6BF-C2579E64E093}">
  <dimension ref="B3:R60"/>
  <sheetViews>
    <sheetView topLeftCell="A19" workbookViewId="0">
      <selection activeCell="L22" sqref="L22"/>
    </sheetView>
  </sheetViews>
  <sheetFormatPr defaultRowHeight="15" x14ac:dyDescent="0.25"/>
  <cols>
    <col min="2" max="2" width="3.28515625" bestFit="1" customWidth="1"/>
    <col min="14" max="14" width="9.28515625" bestFit="1" customWidth="1"/>
    <col min="15" max="17" width="9" bestFit="1" customWidth="1"/>
    <col min="18" max="18" width="9" customWidth="1"/>
  </cols>
  <sheetData>
    <row r="3" spans="2:14" x14ac:dyDescent="0.25">
      <c r="B3" s="31" t="s">
        <v>128</v>
      </c>
      <c r="C3" t="s">
        <v>442</v>
      </c>
    </row>
    <row r="4" spans="2:14" x14ac:dyDescent="0.25">
      <c r="B4" s="31"/>
    </row>
    <row r="5" spans="2:14" x14ac:dyDescent="0.25">
      <c r="B5" s="31"/>
      <c r="E5" t="s">
        <v>443</v>
      </c>
      <c r="F5" s="248">
        <f>_xlfn.NORM.S.INV(99.75%)</f>
        <v>2.8070337683438114</v>
      </c>
      <c r="I5" t="s">
        <v>444</v>
      </c>
      <c r="L5" s="15">
        <f>F5*F6</f>
        <v>0.70175844208595284</v>
      </c>
      <c r="N5" t="s">
        <v>445</v>
      </c>
    </row>
    <row r="6" spans="2:14" x14ac:dyDescent="0.25">
      <c r="B6" s="31"/>
      <c r="E6" s="203" t="s">
        <v>158</v>
      </c>
      <c r="F6" s="5">
        <v>0.25</v>
      </c>
      <c r="I6" t="s">
        <v>446</v>
      </c>
      <c r="L6" s="15">
        <f>L5*SQRT(10/252)</f>
        <v>0.139793627803844</v>
      </c>
    </row>
    <row r="7" spans="2:14" x14ac:dyDescent="0.25">
      <c r="B7" s="31"/>
      <c r="I7" s="195" t="s">
        <v>447</v>
      </c>
      <c r="J7" s="195"/>
      <c r="K7" s="195"/>
      <c r="L7" s="249">
        <f>100*L6</f>
        <v>13.979362780384399</v>
      </c>
    </row>
    <row r="8" spans="2:14" x14ac:dyDescent="0.25">
      <c r="B8" s="31"/>
    </row>
    <row r="9" spans="2:14" x14ac:dyDescent="0.25">
      <c r="B9" s="31" t="s">
        <v>146</v>
      </c>
      <c r="C9" t="s">
        <v>448</v>
      </c>
    </row>
    <row r="10" spans="2:14" x14ac:dyDescent="0.25">
      <c r="B10" s="31"/>
    </row>
    <row r="11" spans="2:14" x14ac:dyDescent="0.25">
      <c r="I11" t="s">
        <v>444</v>
      </c>
      <c r="L11" s="15">
        <f>F12*F13</f>
        <v>0.31749015732775143</v>
      </c>
    </row>
    <row r="12" spans="2:14" x14ac:dyDescent="0.25">
      <c r="E12" t="s">
        <v>443</v>
      </c>
      <c r="F12" s="248">
        <f>_xlfn.NORM.S.INV(95%)</f>
        <v>1.6448536269514715</v>
      </c>
      <c r="I12" t="s">
        <v>449</v>
      </c>
      <c r="L12" s="15">
        <f>L11*SQRT(1/252)</f>
        <v>2.0000000000000035E-2</v>
      </c>
    </row>
    <row r="13" spans="2:14" x14ac:dyDescent="0.25">
      <c r="E13" s="250" t="s">
        <v>158</v>
      </c>
      <c r="F13" s="251">
        <v>0.19302031021214899</v>
      </c>
      <c r="I13" s="195" t="s">
        <v>450</v>
      </c>
      <c r="J13" s="195"/>
      <c r="K13" s="195"/>
      <c r="L13" s="249">
        <f>100*L12</f>
        <v>2.0000000000000036</v>
      </c>
    </row>
    <row r="17" spans="2:16" x14ac:dyDescent="0.25">
      <c r="B17" s="31" t="s">
        <v>276</v>
      </c>
      <c r="C17" t="s">
        <v>451</v>
      </c>
    </row>
    <row r="18" spans="2:16" x14ac:dyDescent="0.25">
      <c r="D18" t="s">
        <v>452</v>
      </c>
      <c r="E18" s="4" t="s">
        <v>15</v>
      </c>
      <c r="F18" s="4" t="s">
        <v>72</v>
      </c>
      <c r="G18" s="4" t="s">
        <v>423</v>
      </c>
      <c r="H18" s="4" t="s">
        <v>453</v>
      </c>
      <c r="I18" s="4" t="s">
        <v>454</v>
      </c>
      <c r="J18" s="4"/>
    </row>
    <row r="19" spans="2:16" ht="15.75" thickBot="1" x14ac:dyDescent="0.3">
      <c r="C19" t="s">
        <v>455</v>
      </c>
    </row>
    <row r="20" spans="2:16" x14ac:dyDescent="0.25">
      <c r="C20" t="s">
        <v>71</v>
      </c>
      <c r="D20" s="4">
        <v>0</v>
      </c>
      <c r="E20" s="252">
        <v>100</v>
      </c>
      <c r="F20" s="253">
        <v>100</v>
      </c>
      <c r="G20" s="253">
        <v>100</v>
      </c>
      <c r="H20" s="253">
        <v>100</v>
      </c>
      <c r="I20" s="254">
        <v>100</v>
      </c>
      <c r="J20" s="148"/>
    </row>
    <row r="21" spans="2:16" x14ac:dyDescent="0.25">
      <c r="D21" s="4">
        <v>1</v>
      </c>
      <c r="E21" s="255">
        <f>E20*1.12</f>
        <v>112.00000000000001</v>
      </c>
      <c r="F21" s="256">
        <f>1.21*F20</f>
        <v>121</v>
      </c>
      <c r="G21" s="256">
        <f>1.125*G20</f>
        <v>112.5</v>
      </c>
      <c r="H21" s="256">
        <f>1.31*H20</f>
        <v>131</v>
      </c>
      <c r="I21" s="257">
        <f>1.12*I20</f>
        <v>112.00000000000001</v>
      </c>
      <c r="J21" s="148"/>
    </row>
    <row r="22" spans="2:16" x14ac:dyDescent="0.25">
      <c r="D22" s="4">
        <v>2</v>
      </c>
      <c r="E22" s="255">
        <f>E21*1.08</f>
        <v>120.96000000000002</v>
      </c>
      <c r="F22" s="256">
        <f>1.15*F21</f>
        <v>139.14999999999998</v>
      </c>
      <c r="G22" s="256">
        <f>1.25*G21</f>
        <v>140.625</v>
      </c>
      <c r="H22" s="256">
        <f>1.25*H21</f>
        <v>163.75</v>
      </c>
      <c r="I22" s="257">
        <f>1.13*I21</f>
        <v>126.56</v>
      </c>
      <c r="J22" s="148"/>
    </row>
    <row r="23" spans="2:16" x14ac:dyDescent="0.25">
      <c r="D23" s="4">
        <v>3</v>
      </c>
      <c r="E23" s="255">
        <f>E22*1.76</f>
        <v>212.88960000000003</v>
      </c>
      <c r="F23" s="256">
        <f>F22*1.16</f>
        <v>161.41399999999996</v>
      </c>
      <c r="G23" s="256">
        <f>0.95*G22</f>
        <v>133.59375</v>
      </c>
      <c r="H23" s="256">
        <f>0.81*H22</f>
        <v>132.63750000000002</v>
      </c>
      <c r="I23" s="257">
        <f>I22*1.11</f>
        <v>140.48160000000001</v>
      </c>
      <c r="J23" s="148"/>
    </row>
    <row r="24" spans="2:16" x14ac:dyDescent="0.25">
      <c r="D24" s="4">
        <v>4</v>
      </c>
      <c r="E24" s="255">
        <f>E23*1.09</f>
        <v>232.04966400000004</v>
      </c>
      <c r="F24" s="256">
        <f>1.29*F23</f>
        <v>208.22405999999995</v>
      </c>
      <c r="G24" s="256">
        <f>1.32*G23</f>
        <v>176.34375</v>
      </c>
      <c r="H24" s="256">
        <f>1.01*H23</f>
        <v>133.96387500000003</v>
      </c>
      <c r="I24" s="257">
        <f>1.15*I23</f>
        <v>161.55384000000001</v>
      </c>
      <c r="J24" s="148"/>
    </row>
    <row r="25" spans="2:16" ht="15.75" thickBot="1" x14ac:dyDescent="0.3">
      <c r="C25" t="s">
        <v>456</v>
      </c>
      <c r="D25" s="4">
        <v>5</v>
      </c>
      <c r="E25" s="258">
        <f>E24*1.101</f>
        <v>255.48668006400004</v>
      </c>
      <c r="F25" s="259">
        <f>1.09*F24</f>
        <v>226.96422539999998</v>
      </c>
      <c r="G25" s="259">
        <f>1.07*G24</f>
        <v>188.68781250000001</v>
      </c>
      <c r="H25" s="259">
        <f>1.07*H24</f>
        <v>143.34134625000004</v>
      </c>
      <c r="I25" s="260">
        <f>1.14*I24</f>
        <v>184.1713776</v>
      </c>
      <c r="J25" s="148"/>
    </row>
    <row r="27" spans="2:16" x14ac:dyDescent="0.25">
      <c r="C27" s="29" t="s">
        <v>457</v>
      </c>
      <c r="D27" s="29"/>
      <c r="E27" s="29"/>
      <c r="F27" s="29"/>
    </row>
    <row r="29" spans="2:16" x14ac:dyDescent="0.25">
      <c r="D29" t="s">
        <v>452</v>
      </c>
      <c r="E29" s="4" t="s">
        <v>15</v>
      </c>
      <c r="F29" s="4" t="s">
        <v>72</v>
      </c>
      <c r="G29" s="4" t="s">
        <v>423</v>
      </c>
      <c r="H29" s="4" t="s">
        <v>453</v>
      </c>
      <c r="I29" s="4" t="s">
        <v>454</v>
      </c>
      <c r="J29" s="4"/>
    </row>
    <row r="30" spans="2:16" ht="15.75" thickBot="1" x14ac:dyDescent="0.3"/>
    <row r="31" spans="2:16" x14ac:dyDescent="0.25">
      <c r="D31" s="4">
        <v>0</v>
      </c>
      <c r="E31" s="252">
        <v>100</v>
      </c>
      <c r="F31" s="253">
        <v>100</v>
      </c>
      <c r="G31" s="253">
        <v>100</v>
      </c>
      <c r="H31" s="253">
        <v>100</v>
      </c>
      <c r="I31" s="254">
        <v>100</v>
      </c>
      <c r="J31" s="148"/>
      <c r="K31" s="4"/>
      <c r="L31" s="4" t="s">
        <v>15</v>
      </c>
      <c r="M31" s="4" t="s">
        <v>72</v>
      </c>
      <c r="N31" s="4" t="s">
        <v>423</v>
      </c>
      <c r="O31" s="4" t="s">
        <v>453</v>
      </c>
      <c r="P31" s="4" t="s">
        <v>454</v>
      </c>
    </row>
    <row r="32" spans="2:16" x14ac:dyDescent="0.25">
      <c r="D32" s="4">
        <v>1</v>
      </c>
      <c r="E32" s="255">
        <f>E31*1.12</f>
        <v>112.00000000000001</v>
      </c>
      <c r="F32" s="256">
        <f>1.21*F31</f>
        <v>121</v>
      </c>
      <c r="G32" s="256">
        <f>1.125*G31</f>
        <v>112.5</v>
      </c>
      <c r="H32" s="256">
        <f>1.31*H31</f>
        <v>131</v>
      </c>
      <c r="I32" s="257">
        <f>1.12*I31</f>
        <v>112.00000000000001</v>
      </c>
      <c r="J32" s="148"/>
      <c r="K32" s="4">
        <v>1</v>
      </c>
      <c r="L32" s="15">
        <f>LN(E32/E31)</f>
        <v>0.11332868530700327</v>
      </c>
      <c r="M32" s="15">
        <f t="shared" ref="M32:P36" si="0">LN(F32/F31)</f>
        <v>0.1906203596086497</v>
      </c>
      <c r="N32" s="15">
        <f t="shared" si="0"/>
        <v>0.11778303565638346</v>
      </c>
      <c r="O32" s="15">
        <f t="shared" si="0"/>
        <v>0.27002713721306021</v>
      </c>
      <c r="P32" s="15">
        <f t="shared" si="0"/>
        <v>0.11332868530700327</v>
      </c>
    </row>
    <row r="33" spans="4:18" x14ac:dyDescent="0.25">
      <c r="D33" s="4">
        <v>2</v>
      </c>
      <c r="E33" s="255">
        <f>E32*1.08</f>
        <v>120.96000000000002</v>
      </c>
      <c r="F33" s="256">
        <f>1.15*F32</f>
        <v>139.14999999999998</v>
      </c>
      <c r="G33" s="256">
        <f>1.25*G32</f>
        <v>140.625</v>
      </c>
      <c r="H33" s="256">
        <f>1.25*H32</f>
        <v>163.75</v>
      </c>
      <c r="I33" s="257">
        <f>1.13*I32</f>
        <v>126.56</v>
      </c>
      <c r="J33" s="148"/>
      <c r="K33" s="4">
        <v>2</v>
      </c>
      <c r="L33" s="15">
        <f t="shared" ref="L33:L36" si="1">LN(E33/E32)</f>
        <v>7.6961041136128394E-2</v>
      </c>
      <c r="M33" s="15">
        <f t="shared" si="0"/>
        <v>0.13976194237515863</v>
      </c>
      <c r="N33" s="15">
        <f t="shared" si="0"/>
        <v>0.22314355131420976</v>
      </c>
      <c r="O33" s="15">
        <f t="shared" si="0"/>
        <v>0.22314355131420976</v>
      </c>
      <c r="P33" s="15">
        <f t="shared" si="0"/>
        <v>0.12221763272424911</v>
      </c>
    </row>
    <row r="34" spans="4:18" x14ac:dyDescent="0.25">
      <c r="D34" s="4">
        <v>3</v>
      </c>
      <c r="E34" s="255">
        <f>E33*1.76</f>
        <v>212.88960000000003</v>
      </c>
      <c r="F34" s="256">
        <f>F33*1.16</f>
        <v>161.41399999999996</v>
      </c>
      <c r="G34" s="256">
        <f>0.95*G33</f>
        <v>133.59375</v>
      </c>
      <c r="H34" s="256">
        <f>0.81*H33</f>
        <v>132.63750000000002</v>
      </c>
      <c r="I34" s="257">
        <f>I33*1.11</f>
        <v>140.48160000000001</v>
      </c>
      <c r="J34" s="148"/>
      <c r="K34" s="4">
        <v>3</v>
      </c>
      <c r="L34" s="15">
        <f t="shared" si="1"/>
        <v>0.56531380905006046</v>
      </c>
      <c r="M34" s="15">
        <f t="shared" si="0"/>
        <v>0.14842000511827322</v>
      </c>
      <c r="N34" s="15">
        <f t="shared" si="0"/>
        <v>-5.1293294387550578E-2</v>
      </c>
      <c r="O34" s="15">
        <f t="shared" si="0"/>
        <v>-0.21072103131565253</v>
      </c>
      <c r="P34" s="15">
        <f t="shared" si="0"/>
        <v>0.10436001532424286</v>
      </c>
    </row>
    <row r="35" spans="4:18" x14ac:dyDescent="0.25">
      <c r="D35" s="4">
        <v>4</v>
      </c>
      <c r="E35" s="255">
        <f>E34*1.09</f>
        <v>232.04966400000004</v>
      </c>
      <c r="F35" s="256">
        <f>1.29*F34</f>
        <v>208.22405999999995</v>
      </c>
      <c r="G35" s="256">
        <f>1.32*G34</f>
        <v>176.34375</v>
      </c>
      <c r="H35" s="256">
        <f>1.01*H34</f>
        <v>133.96387500000003</v>
      </c>
      <c r="I35" s="257">
        <f>1.15*I34</f>
        <v>161.55384000000001</v>
      </c>
      <c r="J35" s="148"/>
      <c r="K35" s="4">
        <v>4</v>
      </c>
      <c r="L35" s="15">
        <f t="shared" si="1"/>
        <v>8.6177696241052412E-2</v>
      </c>
      <c r="M35" s="15">
        <f t="shared" si="0"/>
        <v>0.25464221837358075</v>
      </c>
      <c r="N35" s="15">
        <f t="shared" si="0"/>
        <v>0.27763173659827955</v>
      </c>
      <c r="O35" s="15">
        <f t="shared" si="0"/>
        <v>9.950330853168092E-3</v>
      </c>
      <c r="P35" s="15">
        <f t="shared" si="0"/>
        <v>0.13976194237515863</v>
      </c>
    </row>
    <row r="36" spans="4:18" ht="15.75" thickBot="1" x14ac:dyDescent="0.3">
      <c r="D36" s="4">
        <v>5</v>
      </c>
      <c r="E36" s="258">
        <f>E35*1.101</f>
        <v>255.48668006400004</v>
      </c>
      <c r="F36" s="259">
        <f>1.09*F35</f>
        <v>226.96422539999998</v>
      </c>
      <c r="G36" s="259">
        <f>1.07*G35</f>
        <v>188.68781250000001</v>
      </c>
      <c r="H36" s="259">
        <f>1.07*H35</f>
        <v>143.34134625000004</v>
      </c>
      <c r="I36" s="260">
        <f>1.14*I35</f>
        <v>184.1713776</v>
      </c>
      <c r="J36" s="148"/>
      <c r="K36" s="4">
        <v>5</v>
      </c>
      <c r="L36" s="15">
        <f t="shared" si="1"/>
        <v>9.6218857740542896E-2</v>
      </c>
      <c r="M36" s="15">
        <f t="shared" si="0"/>
        <v>8.6177696241052412E-2</v>
      </c>
      <c r="N36" s="15">
        <f t="shared" si="0"/>
        <v>6.7658648473814864E-2</v>
      </c>
      <c r="O36" s="15">
        <f t="shared" si="0"/>
        <v>6.7658648473814864E-2</v>
      </c>
      <c r="P36" s="15">
        <f t="shared" si="0"/>
        <v>0.131028262406404</v>
      </c>
    </row>
    <row r="38" spans="4:18" x14ac:dyDescent="0.25">
      <c r="K38" t="s">
        <v>458</v>
      </c>
      <c r="L38" s="26">
        <f>AVERAGE(L32:L36)</f>
        <v>0.1876000178949575</v>
      </c>
      <c r="M38" s="26">
        <f t="shared" ref="M38:P38" si="2">AVERAGE(M32:M36)</f>
        <v>0.16392444434334294</v>
      </c>
      <c r="N38" s="26">
        <f t="shared" si="2"/>
        <v>0.1269847355310274</v>
      </c>
      <c r="O38" s="26">
        <f t="shared" si="2"/>
        <v>7.2011727307720069E-2</v>
      </c>
      <c r="P38" s="26">
        <f t="shared" si="2"/>
        <v>0.12213930762741157</v>
      </c>
    </row>
    <row r="40" spans="4:18" x14ac:dyDescent="0.25">
      <c r="N40" s="10">
        <v>0.2</v>
      </c>
      <c r="O40" s="10">
        <v>0.2</v>
      </c>
      <c r="P40" s="10">
        <v>0.2</v>
      </c>
      <c r="Q40" s="10">
        <v>0.2</v>
      </c>
      <c r="R40" s="10">
        <v>0.2</v>
      </c>
    </row>
    <row r="41" spans="4:18" x14ac:dyDescent="0.25">
      <c r="E41" s="4"/>
      <c r="F41" s="4" t="s">
        <v>15</v>
      </c>
      <c r="G41" s="4" t="s">
        <v>72</v>
      </c>
      <c r="H41" s="4" t="s">
        <v>423</v>
      </c>
      <c r="I41" s="4" t="s">
        <v>453</v>
      </c>
      <c r="J41" s="4" t="s">
        <v>454</v>
      </c>
      <c r="M41" s="4"/>
      <c r="N41" s="4" t="s">
        <v>15</v>
      </c>
      <c r="O41" s="4" t="s">
        <v>72</v>
      </c>
      <c r="P41" s="4" t="s">
        <v>423</v>
      </c>
      <c r="Q41" s="4" t="s">
        <v>453</v>
      </c>
      <c r="R41" s="4" t="s">
        <v>454</v>
      </c>
    </row>
    <row r="42" spans="4:18" x14ac:dyDescent="0.25">
      <c r="E42" s="4">
        <v>1</v>
      </c>
      <c r="F42" s="15">
        <f>L32-L$38</f>
        <v>-7.4271332587954236E-2</v>
      </c>
      <c r="G42" s="15">
        <f t="shared" ref="G42:J46" si="3">M32-M$38</f>
        <v>2.6695915265306763E-2</v>
      </c>
      <c r="H42" s="15">
        <f t="shared" si="3"/>
        <v>-9.2016998746439482E-3</v>
      </c>
      <c r="I42" s="15">
        <f t="shared" si="3"/>
        <v>0.19801540990534014</v>
      </c>
      <c r="J42" s="15">
        <f t="shared" si="3"/>
        <v>-8.8106223204083012E-3</v>
      </c>
      <c r="L42" s="10">
        <v>0.2</v>
      </c>
      <c r="M42" s="4">
        <v>1</v>
      </c>
      <c r="N42" s="261" cm="1">
        <f t="array" ref="N42:R46">MMULT(TRANSPOSE(F42:J46),F42:J46)/(5-1)</f>
        <v>4.4765481453056734E-2</v>
      </c>
      <c r="O42" s="261">
        <v>-1.8154716111880057E-3</v>
      </c>
      <c r="P42" s="261">
        <v>-2.1787810742191487E-2</v>
      </c>
      <c r="Q42" s="261">
        <v>-3.2881950141544443E-2</v>
      </c>
      <c r="R42" s="261">
        <v>-2.1673461444567709E-3</v>
      </c>
    </row>
    <row r="43" spans="4:18" x14ac:dyDescent="0.25">
      <c r="E43" s="4">
        <v>2</v>
      </c>
      <c r="F43" s="15">
        <f t="shared" ref="F43:F46" si="4">L33-L$38</f>
        <v>-0.11063897675882911</v>
      </c>
      <c r="G43" s="15">
        <f t="shared" si="3"/>
        <v>-2.4162501968184313E-2</v>
      </c>
      <c r="H43" s="15">
        <f t="shared" si="3"/>
        <v>9.6158815783182361E-2</v>
      </c>
      <c r="I43" s="15">
        <f t="shared" si="3"/>
        <v>0.1511318240064897</v>
      </c>
      <c r="J43" s="15">
        <f t="shared" si="3"/>
        <v>7.8325096837542074E-5</v>
      </c>
      <c r="L43" s="10">
        <v>0.2</v>
      </c>
      <c r="M43" s="4">
        <v>2</v>
      </c>
      <c r="N43" s="261">
        <v>-1.8154716111880057E-3</v>
      </c>
      <c r="O43" s="261">
        <v>3.9527893485952845E-3</v>
      </c>
      <c r="P43" s="261">
        <v>4.6184466129379244E-3</v>
      </c>
      <c r="Q43" s="261">
        <v>1.8161461651555841E-4</v>
      </c>
      <c r="R43" s="261">
        <v>2.3653916713526295E-4</v>
      </c>
    </row>
    <row r="44" spans="4:18" x14ac:dyDescent="0.25">
      <c r="E44" s="4">
        <v>3</v>
      </c>
      <c r="F44" s="15">
        <f t="shared" si="4"/>
        <v>0.37771379115510295</v>
      </c>
      <c r="G44" s="15">
        <f t="shared" si="3"/>
        <v>-1.5504439225069722E-2</v>
      </c>
      <c r="H44" s="15">
        <f t="shared" si="3"/>
        <v>-0.178278029918578</v>
      </c>
      <c r="I44" s="15">
        <f t="shared" si="3"/>
        <v>-0.2827327586233726</v>
      </c>
      <c r="J44" s="15">
        <f t="shared" si="3"/>
        <v>-1.7779292303168714E-2</v>
      </c>
      <c r="L44" s="10">
        <v>0.2</v>
      </c>
      <c r="M44" s="4">
        <v>3</v>
      </c>
      <c r="N44" s="261">
        <v>-2.1787810742191487E-2</v>
      </c>
      <c r="O44" s="261">
        <v>4.6184466129379244E-3</v>
      </c>
      <c r="P44" s="261">
        <v>1.6832087155283261E-2</v>
      </c>
      <c r="Q44" s="261">
        <v>1.3506126481968918E-2</v>
      </c>
      <c r="R44" s="261">
        <v>1.3464279316500521E-3</v>
      </c>
    </row>
    <row r="45" spans="4:18" x14ac:dyDescent="0.25">
      <c r="E45" s="4">
        <v>4</v>
      </c>
      <c r="F45" s="15">
        <f t="shared" si="4"/>
        <v>-0.10142232165390509</v>
      </c>
      <c r="G45" s="15">
        <f t="shared" si="3"/>
        <v>9.0717774030237813E-2</v>
      </c>
      <c r="H45" s="15">
        <f t="shared" si="3"/>
        <v>0.15064700106725215</v>
      </c>
      <c r="I45" s="15">
        <f t="shared" si="3"/>
        <v>-6.2061396454551977E-2</v>
      </c>
      <c r="J45" s="15">
        <f t="shared" si="3"/>
        <v>1.7622634747747057E-2</v>
      </c>
      <c r="L45" s="10">
        <v>0.2</v>
      </c>
      <c r="M45" s="4">
        <v>4</v>
      </c>
      <c r="N45" s="261">
        <v>-3.2881950141544443E-2</v>
      </c>
      <c r="O45" s="261">
        <v>1.8161461651555841E-4</v>
      </c>
      <c r="P45" s="261">
        <v>1.3506126481968918E-2</v>
      </c>
      <c r="Q45" s="261">
        <v>3.6464827452878497E-2</v>
      </c>
      <c r="R45" s="261">
        <v>5.4040178528556859E-4</v>
      </c>
    </row>
    <row r="46" spans="4:18" x14ac:dyDescent="0.25">
      <c r="E46" s="4">
        <v>5</v>
      </c>
      <c r="F46" s="15">
        <f t="shared" si="4"/>
        <v>-9.1381160154414609E-2</v>
      </c>
      <c r="G46" s="15">
        <f t="shared" si="3"/>
        <v>-7.7746748102290528E-2</v>
      </c>
      <c r="H46" s="15">
        <f t="shared" si="3"/>
        <v>-5.932608705721254E-2</v>
      </c>
      <c r="I46" s="15">
        <f t="shared" si="3"/>
        <v>-4.3530788339052051E-3</v>
      </c>
      <c r="J46" s="15">
        <f t="shared" si="3"/>
        <v>8.8889547789924306E-3</v>
      </c>
      <c r="L46" s="10">
        <v>0.2</v>
      </c>
      <c r="M46" s="4">
        <v>5</v>
      </c>
      <c r="N46" s="261">
        <v>-2.1673461444567709E-3</v>
      </c>
      <c r="O46" s="261">
        <v>2.3653916713526295E-4</v>
      </c>
      <c r="P46" s="261">
        <v>1.3464279316500521E-3</v>
      </c>
      <c r="Q46" s="261">
        <v>5.4040178528556859E-4</v>
      </c>
      <c r="R46" s="261">
        <v>1.9582680195266505E-4</v>
      </c>
    </row>
    <row r="48" spans="4:18" x14ac:dyDescent="0.25">
      <c r="M48" t="s">
        <v>459</v>
      </c>
      <c r="N48" s="120">
        <f>SUMPRODUCT($L$42:$L$46,N42:N46)</f>
        <v>-2.7774194372647953E-3</v>
      </c>
      <c r="O48" s="120">
        <f t="shared" ref="O48:R48" si="5">SUMPRODUCT($L$42:$L$46,O42:O46)</f>
        <v>1.4347836267992048E-3</v>
      </c>
      <c r="P48" s="120">
        <f t="shared" si="5"/>
        <v>2.9030554879297334E-3</v>
      </c>
      <c r="Q48" s="120">
        <f t="shared" si="5"/>
        <v>3.5622040390208211E-3</v>
      </c>
      <c r="R48" s="120">
        <f t="shared" si="5"/>
        <v>3.0369908313355587E-5</v>
      </c>
    </row>
    <row r="50" spans="15:18" x14ac:dyDescent="0.25">
      <c r="O50" t="s">
        <v>460</v>
      </c>
      <c r="R50">
        <f>SUMPRODUCT(N40:R40,N48:R48)</f>
        <v>1.0305987249596639E-3</v>
      </c>
    </row>
    <row r="52" spans="15:18" ht="19.5" x14ac:dyDescent="0.3">
      <c r="O52" t="s">
        <v>207</v>
      </c>
      <c r="R52" s="15">
        <f>SQRT(R50)</f>
        <v>3.2102939506525936E-2</v>
      </c>
    </row>
    <row r="54" spans="15:18" x14ac:dyDescent="0.25">
      <c r="O54" t="s">
        <v>461</v>
      </c>
      <c r="R54" s="248">
        <f>_xlfn.NORM.S.INV(99.5%)</f>
        <v>2.5758293035488999</v>
      </c>
    </row>
    <row r="56" spans="15:18" x14ac:dyDescent="0.25">
      <c r="O56" t="s">
        <v>462</v>
      </c>
      <c r="R56" s="15">
        <f>R54*R52</f>
        <v>8.2691692310967166E-2</v>
      </c>
    </row>
    <row r="58" spans="15:18" x14ac:dyDescent="0.25">
      <c r="O58" t="s">
        <v>463</v>
      </c>
      <c r="R58" s="104">
        <f>R56*SQRT(1/252)</f>
        <v>5.209086984425979E-3</v>
      </c>
    </row>
    <row r="60" spans="15:18" x14ac:dyDescent="0.25">
      <c r="O60" s="195" t="s">
        <v>464</v>
      </c>
      <c r="P60" s="195"/>
      <c r="Q60" s="195"/>
      <c r="R60" s="262">
        <f>100*R58</f>
        <v>0.52090869844259791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BFE-D8E0-4529-9731-77CE3523CD2F}">
  <dimension ref="B3:J22"/>
  <sheetViews>
    <sheetView workbookViewId="0">
      <selection activeCell="I12" sqref="I12"/>
    </sheetView>
  </sheetViews>
  <sheetFormatPr defaultRowHeight="15" x14ac:dyDescent="0.25"/>
  <cols>
    <col min="6" max="6" width="24" bestFit="1" customWidth="1"/>
    <col min="8" max="8" width="14" customWidth="1"/>
  </cols>
  <sheetData>
    <row r="3" spans="2:9" x14ac:dyDescent="0.25">
      <c r="B3" s="10"/>
      <c r="C3" s="10"/>
      <c r="D3" s="10"/>
      <c r="E3" s="10"/>
      <c r="F3" s="10"/>
      <c r="G3" s="10"/>
      <c r="H3" s="10"/>
      <c r="I3" s="10"/>
    </row>
    <row r="4" spans="2:9" x14ac:dyDescent="0.25">
      <c r="B4" s="10"/>
      <c r="C4" s="10"/>
      <c r="D4" s="10"/>
      <c r="E4" s="10"/>
      <c r="F4" s="10"/>
      <c r="G4" s="10"/>
      <c r="H4" s="10"/>
      <c r="I4" s="10"/>
    </row>
    <row r="5" spans="2:9" ht="15.75" thickBot="1" x14ac:dyDescent="0.3">
      <c r="B5" s="10"/>
      <c r="C5" s="10"/>
      <c r="D5" s="10"/>
      <c r="E5" s="10"/>
      <c r="F5" s="321" t="s">
        <v>584</v>
      </c>
      <c r="G5" s="10" t="s">
        <v>585</v>
      </c>
      <c r="H5" s="68" t="s">
        <v>586</v>
      </c>
      <c r="I5" s="10"/>
    </row>
    <row r="6" spans="2:9" ht="15.75" thickBot="1" x14ac:dyDescent="0.3">
      <c r="B6" s="10"/>
      <c r="C6" s="10"/>
      <c r="D6" s="341" t="s">
        <v>587</v>
      </c>
      <c r="E6" s="342" t="s">
        <v>30</v>
      </c>
      <c r="F6" s="342" t="s">
        <v>588</v>
      </c>
      <c r="G6" s="342" t="s">
        <v>585</v>
      </c>
      <c r="H6" s="165" t="s">
        <v>589</v>
      </c>
      <c r="I6" s="10"/>
    </row>
    <row r="7" spans="2:9" x14ac:dyDescent="0.25">
      <c r="B7" s="10"/>
      <c r="C7" s="10"/>
      <c r="D7" s="10"/>
      <c r="E7" s="10"/>
      <c r="F7" s="10"/>
      <c r="G7" s="10"/>
      <c r="H7" s="10"/>
      <c r="I7" s="10"/>
    </row>
    <row r="8" spans="2:9" x14ac:dyDescent="0.25">
      <c r="B8" s="10"/>
      <c r="C8" s="10"/>
      <c r="D8" s="10" t="s">
        <v>590</v>
      </c>
      <c r="E8" s="10" t="s">
        <v>30</v>
      </c>
      <c r="F8" s="196" t="s">
        <v>591</v>
      </c>
      <c r="G8" s="10"/>
      <c r="H8" s="10"/>
      <c r="I8" s="10"/>
    </row>
    <row r="9" spans="2:9" x14ac:dyDescent="0.25">
      <c r="B9" s="10"/>
      <c r="C9" s="10"/>
      <c r="D9" s="10"/>
      <c r="E9" s="10"/>
      <c r="F9" s="10" t="s">
        <v>592</v>
      </c>
      <c r="G9" s="10"/>
      <c r="H9" s="10"/>
      <c r="I9" s="10"/>
    </row>
    <row r="10" spans="2:9" x14ac:dyDescent="0.25">
      <c r="B10" s="10"/>
      <c r="C10" s="10"/>
      <c r="D10" s="10"/>
      <c r="E10" s="10"/>
      <c r="F10" s="10"/>
      <c r="G10" s="10"/>
      <c r="H10" s="10"/>
      <c r="I10" s="10"/>
    </row>
    <row r="11" spans="2:9" x14ac:dyDescent="0.25">
      <c r="B11" s="10"/>
      <c r="C11" s="10"/>
      <c r="D11" s="10" t="s">
        <v>593</v>
      </c>
      <c r="E11" s="10" t="s">
        <v>30</v>
      </c>
      <c r="F11" s="196" t="s">
        <v>594</v>
      </c>
      <c r="G11" s="10"/>
      <c r="H11" s="10"/>
      <c r="I11" s="10"/>
    </row>
    <row r="12" spans="2:9" x14ac:dyDescent="0.25">
      <c r="B12" s="10"/>
      <c r="C12" s="10"/>
      <c r="D12" s="10"/>
      <c r="E12" s="10"/>
      <c r="F12" s="10" t="s">
        <v>592</v>
      </c>
      <c r="G12" s="10"/>
      <c r="H12" s="10"/>
      <c r="I12" s="10"/>
    </row>
    <row r="13" spans="2:9" x14ac:dyDescent="0.25">
      <c r="B13" s="10"/>
      <c r="C13" s="10"/>
      <c r="D13" s="10"/>
      <c r="E13" s="10"/>
      <c r="F13" s="10"/>
      <c r="G13" s="10"/>
      <c r="H13" s="10"/>
      <c r="I13" s="10"/>
    </row>
    <row r="14" spans="2:9" x14ac:dyDescent="0.25">
      <c r="B14" s="10"/>
      <c r="C14" s="10" t="s">
        <v>595</v>
      </c>
      <c r="D14" s="343" t="s">
        <v>593</v>
      </c>
      <c r="E14" s="343" t="s">
        <v>30</v>
      </c>
      <c r="F14" s="343" t="s">
        <v>596</v>
      </c>
      <c r="G14" s="10"/>
      <c r="H14" s="10"/>
      <c r="I14" s="10"/>
    </row>
    <row r="15" spans="2:9" x14ac:dyDescent="0.25">
      <c r="B15" s="10"/>
      <c r="C15" s="10"/>
      <c r="D15" s="10"/>
      <c r="E15" s="10"/>
      <c r="F15" s="10"/>
      <c r="G15" s="10"/>
      <c r="H15" s="10"/>
      <c r="I15" s="10"/>
    </row>
    <row r="16" spans="2:9" ht="15.75" thickBot="1" x14ac:dyDescent="0.3">
      <c r="B16" s="10"/>
      <c r="C16" s="10"/>
      <c r="D16" s="10"/>
      <c r="E16" s="10"/>
      <c r="F16" s="10"/>
      <c r="G16" s="10"/>
      <c r="H16" s="10"/>
      <c r="I16" s="10"/>
    </row>
    <row r="17" spans="2:10" x14ac:dyDescent="0.25">
      <c r="B17" s="10"/>
      <c r="C17" s="10"/>
      <c r="D17" s="344" t="s">
        <v>587</v>
      </c>
      <c r="E17" s="345" t="s">
        <v>371</v>
      </c>
      <c r="F17" s="346" t="s">
        <v>40</v>
      </c>
      <c r="G17" s="345" t="s">
        <v>30</v>
      </c>
      <c r="H17" s="345" t="s">
        <v>413</v>
      </c>
      <c r="I17" s="345" t="s">
        <v>371</v>
      </c>
      <c r="J17" s="347" t="s">
        <v>597</v>
      </c>
    </row>
    <row r="18" spans="2:10" ht="15.75" thickBot="1" x14ac:dyDescent="0.3">
      <c r="B18" s="10"/>
      <c r="C18" s="10"/>
      <c r="D18" s="270"/>
      <c r="E18" s="152"/>
      <c r="F18" s="152" t="s">
        <v>598</v>
      </c>
      <c r="G18" s="152"/>
      <c r="H18" s="152"/>
      <c r="I18" s="152"/>
      <c r="J18" s="50"/>
    </row>
    <row r="19" spans="2:10" ht="15.75" thickBot="1" x14ac:dyDescent="0.3">
      <c r="B19" s="10"/>
      <c r="C19" s="10"/>
      <c r="D19" s="10"/>
      <c r="E19" s="10"/>
      <c r="F19" s="10"/>
      <c r="G19" s="10"/>
      <c r="H19" s="10"/>
      <c r="I19" s="10"/>
    </row>
    <row r="20" spans="2:10" x14ac:dyDescent="0.25">
      <c r="B20" s="10"/>
      <c r="C20" s="10"/>
      <c r="D20" s="344" t="s">
        <v>587</v>
      </c>
      <c r="E20" s="345" t="s">
        <v>371</v>
      </c>
      <c r="F20" s="345" t="s">
        <v>599</v>
      </c>
      <c r="G20" s="345" t="s">
        <v>30</v>
      </c>
      <c r="H20" s="345" t="s">
        <v>413</v>
      </c>
      <c r="I20" s="345" t="s">
        <v>371</v>
      </c>
      <c r="J20" s="347" t="s">
        <v>597</v>
      </c>
    </row>
    <row r="21" spans="2:10" ht="15.75" thickBot="1" x14ac:dyDescent="0.3">
      <c r="B21" s="10"/>
      <c r="C21" s="10"/>
      <c r="D21" s="270"/>
      <c r="E21" s="152"/>
      <c r="F21" s="152"/>
      <c r="G21" s="152"/>
      <c r="H21" s="152"/>
      <c r="I21" s="152"/>
      <c r="J21" s="50"/>
    </row>
    <row r="22" spans="2:10" x14ac:dyDescent="0.25">
      <c r="B22" s="10"/>
      <c r="C22" s="10"/>
      <c r="D22" s="10"/>
      <c r="E22" s="10"/>
      <c r="F22" s="10"/>
      <c r="G22" s="10"/>
      <c r="H22" s="10"/>
      <c r="I22" s="10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71C6-71AA-4480-AADF-3D881ABACB08}">
  <dimension ref="A3:P115"/>
  <sheetViews>
    <sheetView zoomScale="90" zoomScaleNormal="90" workbookViewId="0">
      <selection activeCell="J11" sqref="J11"/>
    </sheetView>
  </sheetViews>
  <sheetFormatPr defaultRowHeight="18.75" x14ac:dyDescent="0.3"/>
  <cols>
    <col min="1" max="1" width="4.140625" style="348" bestFit="1" customWidth="1"/>
    <col min="2" max="2" width="24.28515625" customWidth="1"/>
    <col min="3" max="3" width="11.140625" bestFit="1" customWidth="1"/>
  </cols>
  <sheetData>
    <row r="3" spans="1:12" x14ac:dyDescent="0.3">
      <c r="C3" s="10"/>
    </row>
    <row r="5" spans="1:12" ht="26.25" x14ac:dyDescent="0.45">
      <c r="A5" s="216" t="s">
        <v>128</v>
      </c>
      <c r="B5" s="349" t="s">
        <v>600</v>
      </c>
      <c r="C5" s="350">
        <v>125</v>
      </c>
    </row>
    <row r="6" spans="1:12" ht="23.25" x14ac:dyDescent="0.35">
      <c r="B6" s="349" t="s">
        <v>40</v>
      </c>
      <c r="C6" s="350">
        <v>112</v>
      </c>
    </row>
    <row r="7" spans="1:12" ht="23.25" x14ac:dyDescent="0.35">
      <c r="B7" s="349" t="s">
        <v>601</v>
      </c>
      <c r="C7" s="350">
        <v>30</v>
      </c>
      <c r="D7" t="s">
        <v>602</v>
      </c>
    </row>
    <row r="8" spans="1:12" ht="26.25" x14ac:dyDescent="0.45">
      <c r="B8" s="349" t="s">
        <v>603</v>
      </c>
      <c r="C8" s="351">
        <v>0.06</v>
      </c>
    </row>
    <row r="9" spans="1:12" ht="23.25" x14ac:dyDescent="0.35">
      <c r="B9" s="349" t="s">
        <v>604</v>
      </c>
      <c r="C9" s="351">
        <v>0.18</v>
      </c>
    </row>
    <row r="12" spans="1:12" ht="23.25" x14ac:dyDescent="0.35">
      <c r="B12" s="349" t="s">
        <v>605</v>
      </c>
    </row>
    <row r="15" spans="1:12" x14ac:dyDescent="0.3">
      <c r="E15" t="s">
        <v>606</v>
      </c>
      <c r="F15">
        <f>LN(C5/C6)</f>
        <v>0.10981486600720661</v>
      </c>
    </row>
    <row r="16" spans="1:12" x14ac:dyDescent="0.3">
      <c r="H16" t="s">
        <v>607</v>
      </c>
      <c r="I16">
        <f>(F15+F17)/F19</f>
        <v>2.2493796738170881</v>
      </c>
      <c r="K16" t="s">
        <v>608</v>
      </c>
      <c r="L16">
        <f>_xlfn.NORM.S.DIST(I16,TRUE)</f>
        <v>0.98775582466249578</v>
      </c>
    </row>
    <row r="17" spans="1:12" x14ac:dyDescent="0.3">
      <c r="E17" t="s">
        <v>609</v>
      </c>
      <c r="F17">
        <f>(C8+1/2*C9^2)*C7/365</f>
        <v>6.2630136986301359E-3</v>
      </c>
    </row>
    <row r="18" spans="1:12" x14ac:dyDescent="0.3">
      <c r="H18" t="s">
        <v>610</v>
      </c>
      <c r="I18" s="102">
        <f>I16-F19</f>
        <v>2.1977752776997983</v>
      </c>
      <c r="K18" t="s">
        <v>611</v>
      </c>
      <c r="L18">
        <f>_xlfn.NORM.S.DIST(I18,TRUE)</f>
        <v>0.98601743798324026</v>
      </c>
    </row>
    <row r="19" spans="1:12" x14ac:dyDescent="0.3">
      <c r="E19" t="s">
        <v>612</v>
      </c>
      <c r="F19" s="102">
        <f>C9*SQRT(C7/365)</f>
        <v>5.1604396117289626E-2</v>
      </c>
    </row>
    <row r="20" spans="1:12" x14ac:dyDescent="0.3">
      <c r="K20" t="s">
        <v>613</v>
      </c>
      <c r="L20">
        <f>C6*EXP(-C8*C7/365)</f>
        <v>111.44903090343267</v>
      </c>
    </row>
    <row r="24" spans="1:12" ht="19.5" thickBot="1" x14ac:dyDescent="0.35">
      <c r="H24" t="s">
        <v>587</v>
      </c>
      <c r="I24" t="s">
        <v>30</v>
      </c>
      <c r="J24">
        <f>C5*L16-L20*L18</f>
        <v>13.578790165694329</v>
      </c>
    </row>
    <row r="25" spans="1:12" x14ac:dyDescent="0.3">
      <c r="C25" s="373" t="s">
        <v>614</v>
      </c>
      <c r="D25" s="374"/>
      <c r="E25" s="375"/>
    </row>
    <row r="26" spans="1:12" ht="19.5" thickBot="1" x14ac:dyDescent="0.35">
      <c r="C26" s="54"/>
      <c r="E26" s="40"/>
      <c r="H26" t="s">
        <v>413</v>
      </c>
      <c r="I26" t="s">
        <v>30</v>
      </c>
      <c r="J26" s="162">
        <f>J24+L20-C5</f>
        <v>2.7821069127000442E-2</v>
      </c>
    </row>
    <row r="27" spans="1:12" ht="19.5" thickBot="1" x14ac:dyDescent="0.35">
      <c r="C27" s="352" t="s">
        <v>615</v>
      </c>
      <c r="D27" s="353" t="s">
        <v>30</v>
      </c>
      <c r="E27" s="354" t="s">
        <v>616</v>
      </c>
    </row>
    <row r="30" spans="1:12" ht="21" x14ac:dyDescent="0.35">
      <c r="A30" s="216" t="s">
        <v>146</v>
      </c>
      <c r="B30" s="355" t="s">
        <v>617</v>
      </c>
      <c r="C30" s="355"/>
      <c r="D30" s="355"/>
    </row>
    <row r="31" spans="1:12" ht="21" x14ac:dyDescent="0.35">
      <c r="B31" s="355" t="s">
        <v>420</v>
      </c>
      <c r="C31" s="355">
        <v>100</v>
      </c>
      <c r="D31" s="355"/>
    </row>
    <row r="32" spans="1:12" ht="21" x14ac:dyDescent="0.35">
      <c r="B32" s="355" t="s">
        <v>618</v>
      </c>
      <c r="C32" s="355">
        <v>30</v>
      </c>
      <c r="D32" s="355" t="s">
        <v>602</v>
      </c>
    </row>
    <row r="33" spans="2:11" ht="21" x14ac:dyDescent="0.35">
      <c r="B33" s="355" t="s">
        <v>619</v>
      </c>
      <c r="C33" s="356">
        <v>0.05</v>
      </c>
      <c r="D33" s="355" t="s">
        <v>620</v>
      </c>
    </row>
    <row r="34" spans="2:11" ht="21" x14ac:dyDescent="0.35">
      <c r="B34" s="355" t="s">
        <v>621</v>
      </c>
      <c r="C34" s="356">
        <v>0.25</v>
      </c>
      <c r="D34" s="355" t="s">
        <v>620</v>
      </c>
    </row>
    <row r="35" spans="2:11" ht="21" x14ac:dyDescent="0.35">
      <c r="B35" s="355" t="s">
        <v>622</v>
      </c>
      <c r="C35" s="355">
        <v>0</v>
      </c>
      <c r="D35" s="355"/>
    </row>
    <row r="36" spans="2:11" ht="21" x14ac:dyDescent="0.35">
      <c r="B36" s="355"/>
      <c r="C36" s="355"/>
      <c r="D36" s="355"/>
    </row>
    <row r="37" spans="2:11" ht="21" x14ac:dyDescent="0.35">
      <c r="B37" s="355" t="s">
        <v>623</v>
      </c>
      <c r="C37" s="355"/>
      <c r="D37" s="355"/>
    </row>
    <row r="39" spans="2:11" x14ac:dyDescent="0.3">
      <c r="C39" t="s">
        <v>624</v>
      </c>
      <c r="D39">
        <v>100</v>
      </c>
    </row>
    <row r="40" spans="2:11" x14ac:dyDescent="0.3">
      <c r="F40" t="s">
        <v>606</v>
      </c>
      <c r="G40" s="120">
        <f>LN(C31/D39)</f>
        <v>0</v>
      </c>
    </row>
    <row r="41" spans="2:11" x14ac:dyDescent="0.3">
      <c r="G41" s="120"/>
      <c r="H41" t="s">
        <v>607</v>
      </c>
      <c r="I41" s="120">
        <f>(G40+G42)/G44</f>
        <v>9.3174604100661834E-2</v>
      </c>
      <c r="J41" t="s">
        <v>608</v>
      </c>
      <c r="K41">
        <f>_xlfn.NORM.S.DIST(I41,TRUE)</f>
        <v>0.53711757520169834</v>
      </c>
    </row>
    <row r="42" spans="2:11" x14ac:dyDescent="0.3">
      <c r="F42" t="s">
        <v>609</v>
      </c>
      <c r="G42" s="120">
        <f>(C33+1/2*C34^2)*C32/365</f>
        <v>6.6780821917808222E-3</v>
      </c>
      <c r="I42" s="120"/>
    </row>
    <row r="43" spans="2:11" x14ac:dyDescent="0.3">
      <c r="G43" s="120"/>
      <c r="H43" t="s">
        <v>610</v>
      </c>
      <c r="I43" s="120">
        <f>I41-G44</f>
        <v>2.1501831715537351E-2</v>
      </c>
      <c r="J43" t="s">
        <v>611</v>
      </c>
      <c r="K43">
        <f>_xlfn.NORM.S.DIST(I43,TRUE)</f>
        <v>0.50857732884800022</v>
      </c>
    </row>
    <row r="44" spans="2:11" x14ac:dyDescent="0.3">
      <c r="F44" t="s">
        <v>612</v>
      </c>
      <c r="G44" s="120">
        <f>C34*SQRT(C32/365)</f>
        <v>7.1672772385124484E-2</v>
      </c>
    </row>
    <row r="45" spans="2:11" x14ac:dyDescent="0.3">
      <c r="G45" s="261"/>
      <c r="J45" t="s">
        <v>613</v>
      </c>
      <c r="K45">
        <f>D39*EXP(-C33*C32/365)</f>
        <v>99.589884376420429</v>
      </c>
    </row>
    <row r="46" spans="2:11" x14ac:dyDescent="0.3">
      <c r="G46" s="261"/>
    </row>
    <row r="48" spans="2:11" ht="19.5" x14ac:dyDescent="0.35">
      <c r="H48" t="s">
        <v>625</v>
      </c>
      <c r="I48" t="s">
        <v>30</v>
      </c>
      <c r="J48" s="248">
        <f>C31*K41-K45*K43</f>
        <v>3.0626001437287442</v>
      </c>
    </row>
    <row r="49" spans="1:11" x14ac:dyDescent="0.3">
      <c r="J49" s="248"/>
    </row>
    <row r="50" spans="1:11" ht="19.5" x14ac:dyDescent="0.35">
      <c r="H50" t="s">
        <v>626</v>
      </c>
      <c r="I50" t="s">
        <v>30</v>
      </c>
      <c r="J50" s="248">
        <f>J48+K45-C31</f>
        <v>2.6524845201491729</v>
      </c>
    </row>
    <row r="52" spans="1:11" ht="21" x14ac:dyDescent="0.35">
      <c r="A52" s="216" t="s">
        <v>276</v>
      </c>
      <c r="B52" s="355" t="s">
        <v>617</v>
      </c>
      <c r="C52" s="355"/>
      <c r="D52" s="355"/>
    </row>
    <row r="53" spans="1:11" ht="21" x14ac:dyDescent="0.35">
      <c r="B53" s="355" t="s">
        <v>420</v>
      </c>
      <c r="C53" s="355">
        <v>100</v>
      </c>
      <c r="D53" s="355"/>
    </row>
    <row r="54" spans="1:11" ht="21" x14ac:dyDescent="0.35">
      <c r="B54" s="355" t="s">
        <v>618</v>
      </c>
      <c r="C54" s="355">
        <v>30</v>
      </c>
      <c r="D54" s="355" t="s">
        <v>602</v>
      </c>
    </row>
    <row r="55" spans="1:11" ht="21" x14ac:dyDescent="0.35">
      <c r="B55" s="355" t="s">
        <v>619</v>
      </c>
      <c r="C55" s="356">
        <v>0.05</v>
      </c>
      <c r="D55" s="355" t="s">
        <v>620</v>
      </c>
    </row>
    <row r="56" spans="1:11" ht="21" x14ac:dyDescent="0.35">
      <c r="B56" s="355" t="s">
        <v>621</v>
      </c>
      <c r="C56" s="357" t="s">
        <v>627</v>
      </c>
      <c r="D56" s="355" t="s">
        <v>620</v>
      </c>
    </row>
    <row r="57" spans="1:11" ht="21" x14ac:dyDescent="0.35">
      <c r="B57" s="355" t="s">
        <v>622</v>
      </c>
      <c r="C57" s="355">
        <v>0</v>
      </c>
      <c r="D57" s="355"/>
    </row>
    <row r="59" spans="1:11" ht="21" x14ac:dyDescent="0.35">
      <c r="B59" s="355" t="s">
        <v>628</v>
      </c>
    </row>
    <row r="62" spans="1:11" ht="19.5" x14ac:dyDescent="0.35">
      <c r="C62" t="s">
        <v>629</v>
      </c>
      <c r="D62">
        <v>100</v>
      </c>
      <c r="F62" t="s">
        <v>606</v>
      </c>
      <c r="G62" s="120">
        <f>LN(D62/D63)</f>
        <v>0</v>
      </c>
    </row>
    <row r="63" spans="1:11" x14ac:dyDescent="0.3">
      <c r="C63" t="s">
        <v>40</v>
      </c>
      <c r="D63">
        <v>100</v>
      </c>
      <c r="G63" s="120"/>
      <c r="H63" t="s">
        <v>607</v>
      </c>
      <c r="I63" s="120">
        <f>(G62+G64)/G66</f>
        <v>0.10335067027574149</v>
      </c>
      <c r="J63" t="s">
        <v>608</v>
      </c>
      <c r="K63">
        <f>_xlfn.NORM.S.DIST(I63,TRUE)</f>
        <v>0.54115766908635865</v>
      </c>
    </row>
    <row r="64" spans="1:11" x14ac:dyDescent="0.3">
      <c r="C64" t="s">
        <v>379</v>
      </c>
      <c r="D64" s="5">
        <v>0.05</v>
      </c>
      <c r="F64" t="s">
        <v>609</v>
      </c>
      <c r="G64" s="120">
        <f>(D64+1/2*D66^2)*D65/365</f>
        <v>5.5530606258772947E-3</v>
      </c>
      <c r="I64" s="120"/>
    </row>
    <row r="65" spans="1:11" x14ac:dyDescent="0.3">
      <c r="C65" t="s">
        <v>19</v>
      </c>
      <c r="D65">
        <v>30</v>
      </c>
      <c r="G65" s="120"/>
      <c r="H65" t="s">
        <v>610</v>
      </c>
      <c r="I65" s="120">
        <f>I63-G66</f>
        <v>4.9620388594339454E-2</v>
      </c>
      <c r="J65" t="s">
        <v>611</v>
      </c>
      <c r="K65">
        <f>_xlfn.NORM.S.DIST(I65,TRUE)</f>
        <v>0.51978755055224757</v>
      </c>
    </row>
    <row r="66" spans="1:11" x14ac:dyDescent="0.3">
      <c r="C66" s="195" t="s">
        <v>630</v>
      </c>
      <c r="D66" s="358">
        <v>0.18741524812480126</v>
      </c>
      <c r="F66" t="s">
        <v>612</v>
      </c>
      <c r="G66" s="120">
        <f>D66*SQRT(D65/365)</f>
        <v>5.3730281681402037E-2</v>
      </c>
    </row>
    <row r="67" spans="1:11" x14ac:dyDescent="0.3">
      <c r="G67" s="261"/>
      <c r="J67" t="s">
        <v>613</v>
      </c>
      <c r="K67">
        <f>D63*EXP(-D64*D65/365)</f>
        <v>99.589884376420429</v>
      </c>
    </row>
    <row r="68" spans="1:11" x14ac:dyDescent="0.3">
      <c r="G68" s="261"/>
    </row>
    <row r="70" spans="1:11" ht="19.5" x14ac:dyDescent="0.35">
      <c r="H70" t="s">
        <v>625</v>
      </c>
      <c r="I70" t="s">
        <v>30</v>
      </c>
      <c r="J70" s="248">
        <f>C53*K63-K67*K65</f>
        <v>2.3501848488347363</v>
      </c>
    </row>
    <row r="72" spans="1:11" ht="21" x14ac:dyDescent="0.35">
      <c r="A72" s="216" t="s">
        <v>631</v>
      </c>
      <c r="B72" s="355" t="s">
        <v>617</v>
      </c>
      <c r="C72" s="355"/>
      <c r="D72" s="355"/>
    </row>
    <row r="73" spans="1:11" ht="21" x14ac:dyDescent="0.35">
      <c r="B73" s="355" t="s">
        <v>420</v>
      </c>
      <c r="C73" s="355">
        <v>100</v>
      </c>
      <c r="D73" s="355"/>
    </row>
    <row r="74" spans="1:11" ht="21" x14ac:dyDescent="0.35">
      <c r="B74" s="355" t="s">
        <v>618</v>
      </c>
      <c r="C74" s="355">
        <v>25</v>
      </c>
      <c r="D74" s="355" t="s">
        <v>602</v>
      </c>
    </row>
    <row r="75" spans="1:11" ht="21" x14ac:dyDescent="0.35">
      <c r="B75" s="355" t="s">
        <v>619</v>
      </c>
      <c r="C75" s="356">
        <v>0.05</v>
      </c>
      <c r="D75" s="355" t="s">
        <v>620</v>
      </c>
    </row>
    <row r="76" spans="1:11" ht="21" x14ac:dyDescent="0.35">
      <c r="B76" s="355" t="s">
        <v>621</v>
      </c>
      <c r="C76" s="357">
        <v>0.3</v>
      </c>
      <c r="D76" s="355" t="s">
        <v>620</v>
      </c>
    </row>
    <row r="77" spans="1:11" ht="21" x14ac:dyDescent="0.35">
      <c r="B77" s="355" t="s">
        <v>622</v>
      </c>
      <c r="C77" s="355">
        <v>0</v>
      </c>
      <c r="D77" s="355"/>
    </row>
    <row r="79" spans="1:11" ht="21" x14ac:dyDescent="0.35">
      <c r="B79" s="355" t="s">
        <v>632</v>
      </c>
    </row>
    <row r="80" spans="1:11" ht="21" x14ac:dyDescent="0.35">
      <c r="B80" s="355" t="s">
        <v>633</v>
      </c>
    </row>
    <row r="81" spans="2:16" ht="21" x14ac:dyDescent="0.35">
      <c r="B81" s="355" t="s">
        <v>634</v>
      </c>
    </row>
    <row r="82" spans="2:16" ht="21.75" thickBot="1" x14ac:dyDescent="0.4">
      <c r="B82" s="355"/>
    </row>
    <row r="83" spans="2:16" ht="20.25" thickBot="1" x14ac:dyDescent="0.4">
      <c r="F83" s="360" t="s">
        <v>635</v>
      </c>
      <c r="G83" s="361"/>
      <c r="H83" s="361"/>
      <c r="I83" s="361"/>
      <c r="J83" s="362"/>
      <c r="L83" s="360" t="s">
        <v>636</v>
      </c>
      <c r="M83" s="361"/>
      <c r="N83" s="361"/>
      <c r="O83" s="361"/>
      <c r="P83" s="362"/>
    </row>
    <row r="84" spans="2:16" ht="19.5" thickBot="1" x14ac:dyDescent="0.35">
      <c r="C84" t="s">
        <v>649</v>
      </c>
      <c r="D84">
        <f>J88</f>
        <v>105</v>
      </c>
    </row>
    <row r="85" spans="2:16" ht="19.5" thickBot="1" x14ac:dyDescent="0.35">
      <c r="C85" t="s">
        <v>650</v>
      </c>
      <c r="D85" s="13">
        <f>20%</f>
        <v>0.2</v>
      </c>
      <c r="F85" s="376" t="s">
        <v>637</v>
      </c>
      <c r="G85" s="377"/>
      <c r="I85" s="376" t="s">
        <v>638</v>
      </c>
      <c r="J85" s="377"/>
      <c r="L85" s="376" t="s">
        <v>637</v>
      </c>
      <c r="M85" s="377"/>
      <c r="O85" s="376" t="s">
        <v>638</v>
      </c>
      <c r="P85" s="377"/>
    </row>
    <row r="87" spans="2:16" x14ac:dyDescent="0.3">
      <c r="F87" t="s">
        <v>597</v>
      </c>
      <c r="G87">
        <v>100</v>
      </c>
      <c r="I87" t="s">
        <v>597</v>
      </c>
      <c r="J87">
        <v>100</v>
      </c>
      <c r="L87" t="s">
        <v>597</v>
      </c>
      <c r="M87">
        <v>103</v>
      </c>
      <c r="O87" t="s">
        <v>597</v>
      </c>
      <c r="P87">
        <v>103</v>
      </c>
    </row>
    <row r="88" spans="2:16" x14ac:dyDescent="0.3">
      <c r="F88" t="s">
        <v>40</v>
      </c>
      <c r="G88">
        <v>95</v>
      </c>
      <c r="I88" t="s">
        <v>40</v>
      </c>
      <c r="J88">
        <v>105</v>
      </c>
      <c r="L88" t="s">
        <v>40</v>
      </c>
      <c r="M88">
        <v>95</v>
      </c>
      <c r="O88" t="s">
        <v>40</v>
      </c>
      <c r="P88">
        <v>105</v>
      </c>
    </row>
    <row r="89" spans="2:16" x14ac:dyDescent="0.3">
      <c r="F89" t="s">
        <v>379</v>
      </c>
      <c r="G89" s="5">
        <v>0.05</v>
      </c>
      <c r="I89" t="s">
        <v>379</v>
      </c>
      <c r="J89" s="5">
        <v>0.05</v>
      </c>
      <c r="L89" t="s">
        <v>379</v>
      </c>
      <c r="M89" s="5">
        <v>0.05</v>
      </c>
      <c r="O89" t="s">
        <v>379</v>
      </c>
      <c r="P89" s="5">
        <v>0.05</v>
      </c>
    </row>
    <row r="90" spans="2:16" x14ac:dyDescent="0.3">
      <c r="F90" t="s">
        <v>19</v>
      </c>
      <c r="G90">
        <v>25</v>
      </c>
      <c r="I90" t="s">
        <v>19</v>
      </c>
      <c r="J90">
        <v>25</v>
      </c>
      <c r="L90" t="s">
        <v>19</v>
      </c>
      <c r="M90">
        <v>24</v>
      </c>
      <c r="O90" t="s">
        <v>19</v>
      </c>
      <c r="P90">
        <v>24</v>
      </c>
    </row>
    <row r="91" spans="2:16" x14ac:dyDescent="0.3">
      <c r="F91" t="s">
        <v>639</v>
      </c>
      <c r="G91" s="5">
        <v>0.3</v>
      </c>
      <c r="I91" t="s">
        <v>639</v>
      </c>
      <c r="J91" s="5">
        <v>0.3</v>
      </c>
      <c r="L91" t="s">
        <v>639</v>
      </c>
      <c r="M91" s="5">
        <v>0.25</v>
      </c>
      <c r="O91" t="s">
        <v>639</v>
      </c>
      <c r="P91" s="5">
        <v>0.25</v>
      </c>
    </row>
    <row r="93" spans="2:16" x14ac:dyDescent="0.3">
      <c r="F93" t="s">
        <v>606</v>
      </c>
      <c r="G93">
        <f>LN(G87/G88)</f>
        <v>5.1293294387550481E-2</v>
      </c>
      <c r="I93" t="s">
        <v>606</v>
      </c>
      <c r="J93">
        <f>LN(J87/J88)</f>
        <v>-4.8790164169432056E-2</v>
      </c>
      <c r="L93" t="s">
        <v>606</v>
      </c>
      <c r="M93">
        <f>LN(M87/M88)</f>
        <v>8.0852096629094969E-2</v>
      </c>
      <c r="O93" t="s">
        <v>606</v>
      </c>
      <c r="P93">
        <f>LN(P87/P88)</f>
        <v>-1.9231361927887644E-2</v>
      </c>
    </row>
    <row r="94" spans="2:16" x14ac:dyDescent="0.3">
      <c r="F94" t="s">
        <v>609</v>
      </c>
      <c r="G94">
        <f>(G89+1/2*G91^2)*G90/365</f>
        <v>6.5068493150684933E-3</v>
      </c>
      <c r="I94" t="s">
        <v>609</v>
      </c>
      <c r="J94">
        <f>(J89+1/2*J91^2)*J90/365</f>
        <v>6.5068493150684933E-3</v>
      </c>
      <c r="L94" t="s">
        <v>609</v>
      </c>
      <c r="M94">
        <f>(M89+1/2*M91^2)*M90/365</f>
        <v>5.342465753424658E-3</v>
      </c>
      <c r="O94" t="s">
        <v>609</v>
      </c>
      <c r="P94">
        <f>(P89+1/2*P91^2)*P90/365</f>
        <v>5.342465753424658E-3</v>
      </c>
    </row>
    <row r="95" spans="2:16" x14ac:dyDescent="0.3">
      <c r="F95" t="s">
        <v>612</v>
      </c>
      <c r="G95">
        <f>G91*SQRT(G90/365)</f>
        <v>7.8513588388532049E-2</v>
      </c>
      <c r="I95" t="s">
        <v>612</v>
      </c>
      <c r="J95">
        <f>J91*SQRT(J90/365)</f>
        <v>7.8513588388532049E-2</v>
      </c>
      <c r="L95" t="s">
        <v>612</v>
      </c>
      <c r="M95">
        <f>M91*SQRT(M90/365)</f>
        <v>6.4106076475603235E-2</v>
      </c>
      <c r="O95" t="s">
        <v>612</v>
      </c>
      <c r="P95">
        <f>P91*SQRT(P90/365)</f>
        <v>6.4106076475603235E-2</v>
      </c>
    </row>
    <row r="97" spans="6:16" x14ac:dyDescent="0.3">
      <c r="F97" t="s">
        <v>607</v>
      </c>
      <c r="G97">
        <f>(G93+G94)/G95</f>
        <v>0.73618012994883641</v>
      </c>
      <c r="I97" t="s">
        <v>607</v>
      </c>
      <c r="J97">
        <f>(J93+J94)/J95</f>
        <v>-0.53854773068224204</v>
      </c>
      <c r="L97" t="s">
        <v>607</v>
      </c>
      <c r="M97">
        <f>(M93+M94)/M95</f>
        <v>1.3445615005829061</v>
      </c>
      <c r="O97" t="s">
        <v>607</v>
      </c>
      <c r="P97">
        <f>(P93+P94)/P95</f>
        <v>-0.21665490914498045</v>
      </c>
    </row>
    <row r="98" spans="6:16" x14ac:dyDescent="0.3">
      <c r="F98" t="s">
        <v>610</v>
      </c>
      <c r="G98">
        <f>G97-G95</f>
        <v>0.65766654156030435</v>
      </c>
      <c r="I98" t="s">
        <v>610</v>
      </c>
      <c r="J98">
        <f>J97-J95</f>
        <v>-0.61706131907077411</v>
      </c>
      <c r="L98" t="s">
        <v>610</v>
      </c>
      <c r="M98">
        <f>M97-M95</f>
        <v>1.280455424107303</v>
      </c>
      <c r="O98" t="s">
        <v>610</v>
      </c>
      <c r="P98">
        <f>P97-P95</f>
        <v>-0.28076098562058371</v>
      </c>
    </row>
    <row r="100" spans="6:16" x14ac:dyDescent="0.3">
      <c r="F100" t="s">
        <v>640</v>
      </c>
      <c r="G100">
        <f>_xlfn.NORM.S.DIST(G97,TRUE)</f>
        <v>0.76918945853191478</v>
      </c>
      <c r="I100" t="s">
        <v>640</v>
      </c>
      <c r="J100">
        <f>_xlfn.NORM.S.DIST(J97,TRUE)</f>
        <v>0.29509948105234496</v>
      </c>
      <c r="L100" t="s">
        <v>640</v>
      </c>
      <c r="M100">
        <f>_xlfn.NORM.S.DIST(M97,TRUE)</f>
        <v>0.91061655840430011</v>
      </c>
      <c r="O100" t="s">
        <v>640</v>
      </c>
      <c r="P100">
        <f>_xlfn.NORM.S.DIST(P97,TRUE)</f>
        <v>0.41423864529273757</v>
      </c>
    </row>
    <row r="101" spans="6:16" x14ac:dyDescent="0.3">
      <c r="F101" t="s">
        <v>641</v>
      </c>
      <c r="G101">
        <f>_xlfn.NORM.S.DIST(G98,TRUE)</f>
        <v>0.74462378681480301</v>
      </c>
      <c r="I101" t="s">
        <v>641</v>
      </c>
      <c r="J101">
        <f>_xlfn.NORM.S.DIST(J98,TRUE)</f>
        <v>0.26859714050030215</v>
      </c>
      <c r="L101" t="s">
        <v>641</v>
      </c>
      <c r="M101">
        <f>_xlfn.NORM.S.DIST(M98,TRUE)</f>
        <v>0.89980749386375503</v>
      </c>
      <c r="O101" t="s">
        <v>641</v>
      </c>
      <c r="P101">
        <f>_xlfn.NORM.S.DIST(P98,TRUE)</f>
        <v>0.38944686469831918</v>
      </c>
    </row>
    <row r="103" spans="6:16" x14ac:dyDescent="0.3">
      <c r="F103" t="s">
        <v>642</v>
      </c>
      <c r="G103">
        <f>G88*EXP(-G89*G90/365)</f>
        <v>94.675213992102741</v>
      </c>
      <c r="I103" t="s">
        <v>642</v>
      </c>
      <c r="J103">
        <f>J88*EXP(-J89*J90/365)</f>
        <v>104.64102599127145</v>
      </c>
      <c r="L103" t="s">
        <v>642</v>
      </c>
      <c r="M103">
        <f>M88*EXP(-M89*M90/365)</f>
        <v>94.688184087841364</v>
      </c>
      <c r="O103" t="s">
        <v>642</v>
      </c>
      <c r="P103">
        <f>P88*EXP(-P89*P90/365)</f>
        <v>104.65536136024572</v>
      </c>
    </row>
    <row r="105" spans="6:16" x14ac:dyDescent="0.3">
      <c r="F105" t="s">
        <v>643</v>
      </c>
      <c r="G105">
        <f>G87*G100-G103*G101</f>
        <v>6.4215294928901017</v>
      </c>
      <c r="I105" t="s">
        <v>643</v>
      </c>
      <c r="J105">
        <f>J87*J100-J103*J101</f>
        <v>1.4036677449611901</v>
      </c>
      <c r="L105" t="s">
        <v>643</v>
      </c>
      <c r="M105">
        <f>M87*M100-M103*M101</f>
        <v>8.5923678930524829</v>
      </c>
      <c r="O105" t="s">
        <v>643</v>
      </c>
      <c r="P105">
        <f>P87*P100-P103*P101</f>
        <v>1.9088781095346476</v>
      </c>
    </row>
    <row r="108" spans="6:16" x14ac:dyDescent="0.3">
      <c r="G108" t="s">
        <v>644</v>
      </c>
      <c r="I108">
        <f>M105-G105</f>
        <v>2.1708384001623813</v>
      </c>
    </row>
    <row r="109" spans="6:16" x14ac:dyDescent="0.3">
      <c r="G109" t="s">
        <v>645</v>
      </c>
      <c r="I109" s="116">
        <f>J105-P105</f>
        <v>-0.50521036457345758</v>
      </c>
    </row>
    <row r="111" spans="6:16" x14ac:dyDescent="0.3">
      <c r="G111" t="s">
        <v>646</v>
      </c>
      <c r="I111">
        <f>I108+I109</f>
        <v>1.6656280355889237</v>
      </c>
    </row>
    <row r="113" spans="7:9" x14ac:dyDescent="0.3">
      <c r="G113" t="s">
        <v>647</v>
      </c>
      <c r="I113">
        <f>D84*D85+G105-J105</f>
        <v>26.017861747928912</v>
      </c>
    </row>
    <row r="115" spans="7:9" x14ac:dyDescent="0.3">
      <c r="G115" s="195" t="s">
        <v>648</v>
      </c>
      <c r="H115" s="195"/>
      <c r="I115" s="359">
        <f>I111/I113</f>
        <v>6.4018636570759388E-2</v>
      </c>
    </row>
  </sheetData>
  <mergeCells count="7">
    <mergeCell ref="C25:E25"/>
    <mergeCell ref="F83:J83"/>
    <mergeCell ref="L83:P83"/>
    <mergeCell ref="F85:G85"/>
    <mergeCell ref="I85:J85"/>
    <mergeCell ref="L85:M85"/>
    <mergeCell ref="O85:P85"/>
  </mergeCells>
  <pageMargins left="0.7" right="0.7" top="0.75" bottom="0.75" header="0.3" footer="0.3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114A-389B-48F1-BE85-8738A04D3125}">
  <dimension ref="B2:O102"/>
  <sheetViews>
    <sheetView topLeftCell="A59" workbookViewId="0">
      <selection activeCell="O17" sqref="O17"/>
    </sheetView>
  </sheetViews>
  <sheetFormatPr defaultRowHeight="15" x14ac:dyDescent="0.25"/>
  <cols>
    <col min="3" max="3" width="9.140625" style="10"/>
    <col min="5" max="5" width="12.85546875" bestFit="1" customWidth="1"/>
    <col min="6" max="6" width="10.28515625" bestFit="1" customWidth="1"/>
    <col min="10" max="10" width="11.7109375" bestFit="1" customWidth="1"/>
  </cols>
  <sheetData>
    <row r="2" spans="3:15" ht="15.75" thickBot="1" x14ac:dyDescent="0.3"/>
    <row r="3" spans="3:15" ht="15.75" thickBot="1" x14ac:dyDescent="0.3">
      <c r="C3" s="360" t="s">
        <v>301</v>
      </c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1"/>
      <c r="O3" s="362"/>
    </row>
    <row r="6" spans="3:15" x14ac:dyDescent="0.25">
      <c r="C6" s="57">
        <v>0.02</v>
      </c>
      <c r="E6" t="s">
        <v>302</v>
      </c>
      <c r="H6" t="s">
        <v>303</v>
      </c>
      <c r="I6" s="29" t="s">
        <v>304</v>
      </c>
    </row>
    <row r="8" spans="3:15" x14ac:dyDescent="0.25">
      <c r="C8" s="57">
        <v>0.6</v>
      </c>
      <c r="E8" t="s">
        <v>305</v>
      </c>
      <c r="H8" t="s">
        <v>306</v>
      </c>
      <c r="I8" s="29" t="s">
        <v>307</v>
      </c>
    </row>
    <row r="10" spans="3:15" x14ac:dyDescent="0.25">
      <c r="C10" s="10">
        <v>100</v>
      </c>
      <c r="E10" t="s">
        <v>308</v>
      </c>
      <c r="H10" t="s">
        <v>309</v>
      </c>
      <c r="I10" s="29" t="s">
        <v>310</v>
      </c>
    </row>
    <row r="11" spans="3:15" x14ac:dyDescent="0.25">
      <c r="E11" t="s">
        <v>343</v>
      </c>
    </row>
    <row r="14" spans="3:15" x14ac:dyDescent="0.25">
      <c r="C14" s="4">
        <f>C10*C8*C6</f>
        <v>1.2</v>
      </c>
      <c r="E14" t="s">
        <v>311</v>
      </c>
      <c r="H14" t="s">
        <v>312</v>
      </c>
      <c r="I14" s="29" t="s">
        <v>313</v>
      </c>
    </row>
    <row r="16" spans="3:15" x14ac:dyDescent="0.25">
      <c r="H16" t="s">
        <v>314</v>
      </c>
      <c r="I16" t="s">
        <v>30</v>
      </c>
      <c r="J16" t="s">
        <v>315</v>
      </c>
    </row>
    <row r="21" spans="3:15" x14ac:dyDescent="0.25">
      <c r="F21" s="31" t="s">
        <v>316</v>
      </c>
      <c r="G21" s="31"/>
      <c r="H21" s="31"/>
      <c r="I21" s="31" t="s">
        <v>317</v>
      </c>
      <c r="J21" s="31" t="s">
        <v>318</v>
      </c>
      <c r="K21" s="31"/>
    </row>
    <row r="23" spans="3:15" ht="15.75" thickBot="1" x14ac:dyDescent="0.3"/>
    <row r="24" spans="3:15" ht="15.75" thickBot="1" x14ac:dyDescent="0.3">
      <c r="C24" s="360" t="s">
        <v>319</v>
      </c>
      <c r="D24" s="361"/>
      <c r="E24" s="361"/>
      <c r="F24" s="361"/>
      <c r="G24" s="361"/>
      <c r="H24" s="361"/>
      <c r="I24" s="361"/>
      <c r="J24" s="361"/>
      <c r="K24" s="361"/>
      <c r="L24" s="361"/>
      <c r="M24" s="361"/>
      <c r="N24" s="361"/>
      <c r="O24" s="362"/>
    </row>
    <row r="27" spans="3:15" ht="18" x14ac:dyDescent="0.35">
      <c r="F27" t="s">
        <v>320</v>
      </c>
      <c r="G27" t="s">
        <v>321</v>
      </c>
      <c r="H27" t="s">
        <v>322</v>
      </c>
    </row>
    <row r="29" spans="3:15" x14ac:dyDescent="0.25">
      <c r="E29" s="29" t="s">
        <v>323</v>
      </c>
    </row>
    <row r="31" spans="3:15" ht="18" x14ac:dyDescent="0.35">
      <c r="F31" t="s">
        <v>320</v>
      </c>
      <c r="G31" t="s">
        <v>321</v>
      </c>
      <c r="H31" t="s">
        <v>324</v>
      </c>
    </row>
    <row r="33" spans="2:5" x14ac:dyDescent="0.25">
      <c r="E33" s="29" t="s">
        <v>325</v>
      </c>
    </row>
    <row r="37" spans="2:5" x14ac:dyDescent="0.25">
      <c r="B37" s="30" t="s">
        <v>326</v>
      </c>
    </row>
    <row r="40" spans="2:5" x14ac:dyDescent="0.25">
      <c r="B40" s="199" t="s">
        <v>327</v>
      </c>
      <c r="C40" s="199"/>
      <c r="D40" s="200"/>
      <c r="E40" s="200"/>
    </row>
    <row r="41" spans="2:5" x14ac:dyDescent="0.25">
      <c r="B41" s="199" t="s">
        <v>328</v>
      </c>
      <c r="C41" s="199"/>
      <c r="D41" s="200"/>
      <c r="E41" s="200"/>
    </row>
    <row r="42" spans="2:5" x14ac:dyDescent="0.25">
      <c r="B42" s="199" t="s">
        <v>329</v>
      </c>
      <c r="C42" s="201"/>
      <c r="D42" s="200"/>
      <c r="E42" s="201"/>
    </row>
    <row r="43" spans="2:5" x14ac:dyDescent="0.25">
      <c r="B43" s="199" t="s">
        <v>330</v>
      </c>
      <c r="C43" s="201"/>
      <c r="D43" s="200"/>
      <c r="E43" s="201"/>
    </row>
    <row r="44" spans="2:5" x14ac:dyDescent="0.25">
      <c r="B44" s="199"/>
      <c r="C44" s="201"/>
      <c r="D44" s="200"/>
      <c r="E44" s="201"/>
    </row>
    <row r="45" spans="2:5" x14ac:dyDescent="0.25">
      <c r="B45" s="199" t="s">
        <v>331</v>
      </c>
      <c r="C45" s="201"/>
      <c r="D45" s="200"/>
      <c r="E45" s="201"/>
    </row>
    <row r="46" spans="2:5" x14ac:dyDescent="0.25">
      <c r="B46" s="199"/>
      <c r="C46" s="201"/>
      <c r="D46" s="200"/>
      <c r="E46" s="201"/>
    </row>
    <row r="47" spans="2:5" x14ac:dyDescent="0.25">
      <c r="B47" s="202" t="s">
        <v>332</v>
      </c>
      <c r="C47" s="201"/>
      <c r="D47" s="200"/>
      <c r="E47" s="201"/>
    </row>
    <row r="50" spans="2:10" x14ac:dyDescent="0.25">
      <c r="D50" t="s">
        <v>333</v>
      </c>
      <c r="E50" s="1">
        <v>6000000</v>
      </c>
    </row>
    <row r="52" spans="2:10" x14ac:dyDescent="0.25">
      <c r="D52" t="s">
        <v>334</v>
      </c>
      <c r="E52" s="5">
        <v>0.02</v>
      </c>
      <c r="I52" t="s">
        <v>317</v>
      </c>
      <c r="J52" s="1">
        <f>E50*E54*E52</f>
        <v>55200</v>
      </c>
    </row>
    <row r="53" spans="2:10" x14ac:dyDescent="0.25">
      <c r="J53" s="1"/>
    </row>
    <row r="54" spans="2:10" x14ac:dyDescent="0.25">
      <c r="D54" t="s">
        <v>335</v>
      </c>
      <c r="E54" s="5">
        <v>0.46</v>
      </c>
      <c r="I54" t="s">
        <v>320</v>
      </c>
      <c r="J54" s="1">
        <f>E50*SQRT(E52*E56^2+E54^2*E58^2)</f>
        <v>218732.71360269823</v>
      </c>
    </row>
    <row r="56" spans="2:10" ht="22.5" x14ac:dyDescent="0.4">
      <c r="D56" s="203" t="s">
        <v>336</v>
      </c>
      <c r="E56" s="5">
        <v>0.2</v>
      </c>
    </row>
    <row r="58" spans="2:10" ht="22.5" x14ac:dyDescent="0.4">
      <c r="D58" s="203" t="s">
        <v>337</v>
      </c>
      <c r="E58" s="5">
        <v>0.05</v>
      </c>
    </row>
    <row r="61" spans="2:10" x14ac:dyDescent="0.25">
      <c r="B61" s="30" t="s">
        <v>111</v>
      </c>
    </row>
    <row r="86" spans="5:8" ht="15.75" thickBot="1" x14ac:dyDescent="0.3"/>
    <row r="87" spans="5:8" ht="15.75" thickBot="1" x14ac:dyDescent="0.3">
      <c r="E87" s="360" t="s">
        <v>338</v>
      </c>
      <c r="F87" s="362"/>
    </row>
    <row r="89" spans="5:8" x14ac:dyDescent="0.25">
      <c r="E89" t="s">
        <v>339</v>
      </c>
      <c r="F89" s="1">
        <f>50000*80%</f>
        <v>40000</v>
      </c>
    </row>
    <row r="90" spans="5:8" ht="17.25" x14ac:dyDescent="0.4">
      <c r="E90" t="s">
        <v>340</v>
      </c>
      <c r="F90" s="204">
        <f>(50000-F89)*60%</f>
        <v>6000</v>
      </c>
    </row>
    <row r="92" spans="5:8" x14ac:dyDescent="0.25">
      <c r="F92" s="2">
        <f>F89+F90</f>
        <v>46000</v>
      </c>
    </row>
    <row r="94" spans="5:8" x14ac:dyDescent="0.25">
      <c r="G94" t="s">
        <v>341</v>
      </c>
      <c r="H94" s="5">
        <v>0.02</v>
      </c>
    </row>
    <row r="96" spans="5:8" x14ac:dyDescent="0.25">
      <c r="G96" t="s">
        <v>306</v>
      </c>
      <c r="H96" s="5">
        <v>0.5</v>
      </c>
    </row>
    <row r="97" spans="5:11" ht="15.75" thickBot="1" x14ac:dyDescent="0.3"/>
    <row r="98" spans="5:11" x14ac:dyDescent="0.25">
      <c r="E98" s="205"/>
      <c r="F98" s="206"/>
      <c r="G98" s="206"/>
      <c r="H98" s="206"/>
      <c r="I98" s="207"/>
    </row>
    <row r="99" spans="5:11" x14ac:dyDescent="0.25">
      <c r="E99" s="208"/>
      <c r="F99" s="209" t="s">
        <v>317</v>
      </c>
      <c r="G99" s="210">
        <f>F92*H94*H96</f>
        <v>460</v>
      </c>
      <c r="H99" s="209"/>
      <c r="I99" s="211"/>
    </row>
    <row r="100" spans="5:11" x14ac:dyDescent="0.25">
      <c r="E100" s="208"/>
      <c r="F100" s="209"/>
      <c r="G100" s="209"/>
      <c r="H100" s="209"/>
      <c r="I100" s="211"/>
      <c r="K100" s="29" t="s">
        <v>342</v>
      </c>
    </row>
    <row r="101" spans="5:11" x14ac:dyDescent="0.25">
      <c r="E101" s="208"/>
      <c r="F101" s="209" t="s">
        <v>320</v>
      </c>
      <c r="G101" s="210">
        <f>F92*SQRT(40%^2*H94+H96^2*H94*(1-H94))</f>
        <v>4140</v>
      </c>
      <c r="H101" s="209"/>
      <c r="I101" s="211"/>
    </row>
    <row r="102" spans="5:11" ht="15.75" thickBot="1" x14ac:dyDescent="0.3">
      <c r="E102" s="212"/>
      <c r="F102" s="213"/>
      <c r="G102" s="213"/>
      <c r="H102" s="213"/>
      <c r="I102" s="214"/>
    </row>
  </sheetData>
  <mergeCells count="3">
    <mergeCell ref="C3:O3"/>
    <mergeCell ref="C24:O24"/>
    <mergeCell ref="E87:F87"/>
  </mergeCells>
  <pageMargins left="0.7" right="0.7" top="0.75" bottom="0.75" header="0.3" footer="0.3"/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F5F4-3501-4EF4-A7EA-019923920701}">
  <dimension ref="A1:O68"/>
  <sheetViews>
    <sheetView workbookViewId="0">
      <selection activeCell="F10" sqref="F10"/>
    </sheetView>
  </sheetViews>
  <sheetFormatPr defaultRowHeight="15" x14ac:dyDescent="0.25"/>
  <cols>
    <col min="2" max="2" width="9.140625" style="10"/>
    <col min="3" max="3" width="13.28515625" bestFit="1" customWidth="1"/>
    <col min="4" max="4" width="18.28515625" customWidth="1"/>
  </cols>
  <sheetData>
    <row r="1" spans="1:13" x14ac:dyDescent="0.25">
      <c r="A1" s="31" t="s">
        <v>12</v>
      </c>
      <c r="B1" t="s">
        <v>356</v>
      </c>
    </row>
    <row r="2" spans="1:13" x14ac:dyDescent="0.25">
      <c r="A2" s="31"/>
      <c r="B2" t="s">
        <v>357</v>
      </c>
    </row>
    <row r="3" spans="1:13" x14ac:dyDescent="0.25">
      <c r="A3" s="31"/>
      <c r="B3" t="s">
        <v>358</v>
      </c>
    </row>
    <row r="4" spans="1:13" x14ac:dyDescent="0.25">
      <c r="A4" s="31"/>
      <c r="B4"/>
    </row>
    <row r="5" spans="1:13" x14ac:dyDescent="0.25">
      <c r="B5" s="10" t="s">
        <v>2</v>
      </c>
      <c r="C5" s="8">
        <v>2.5</v>
      </c>
      <c r="J5" t="s">
        <v>364</v>
      </c>
    </row>
    <row r="6" spans="1:13" x14ac:dyDescent="0.25">
      <c r="B6" s="10" t="s">
        <v>3</v>
      </c>
      <c r="C6" s="153">
        <v>100000</v>
      </c>
      <c r="J6" t="s">
        <v>366</v>
      </c>
      <c r="M6" t="s">
        <v>365</v>
      </c>
    </row>
    <row r="7" spans="1:13" x14ac:dyDescent="0.25">
      <c r="B7" s="10" t="s">
        <v>6</v>
      </c>
      <c r="C7" s="5">
        <v>0.4</v>
      </c>
    </row>
    <row r="8" spans="1:13" x14ac:dyDescent="0.25">
      <c r="B8" s="10" t="s">
        <v>346</v>
      </c>
      <c r="C8">
        <v>5</v>
      </c>
    </row>
    <row r="9" spans="1:13" x14ac:dyDescent="0.25">
      <c r="B9" s="10" t="s">
        <v>347</v>
      </c>
      <c r="C9" s="5">
        <v>0.6</v>
      </c>
    </row>
    <row r="10" spans="1:13" x14ac:dyDescent="0.25">
      <c r="B10" s="10" t="s">
        <v>348</v>
      </c>
      <c r="C10" s="5">
        <v>0.3</v>
      </c>
    </row>
    <row r="11" spans="1:13" x14ac:dyDescent="0.25">
      <c r="B11" s="10" t="s">
        <v>349</v>
      </c>
      <c r="C11" s="8">
        <v>250000</v>
      </c>
    </row>
    <row r="14" spans="1:13" x14ac:dyDescent="0.25">
      <c r="C14" t="s">
        <v>354</v>
      </c>
      <c r="D14" s="8">
        <f>D22/F22</f>
        <v>1736111.1111111112</v>
      </c>
      <c r="F14" t="s">
        <v>359</v>
      </c>
      <c r="G14" t="s">
        <v>363</v>
      </c>
      <c r="H14">
        <f>D22/(C11+D24)</f>
        <v>1.4705882352941178</v>
      </c>
    </row>
    <row r="16" spans="1:13" x14ac:dyDescent="0.25">
      <c r="C16" t="s">
        <v>353</v>
      </c>
      <c r="D16" s="8">
        <f>D14-(D14*F18)</f>
        <v>694444.4444444445</v>
      </c>
    </row>
    <row r="18" spans="1:6" x14ac:dyDescent="0.25">
      <c r="C18" t="s">
        <v>352</v>
      </c>
      <c r="D18" s="8">
        <f>D14-D16</f>
        <v>1041666.6666666667</v>
      </c>
      <c r="F18" s="5">
        <f>C9</f>
        <v>0.6</v>
      </c>
    </row>
    <row r="20" spans="1:6" x14ac:dyDescent="0.25">
      <c r="C20" t="s">
        <v>348</v>
      </c>
      <c r="D20" s="8">
        <f>F20*D14</f>
        <v>520833.33333333337</v>
      </c>
      <c r="F20" s="5">
        <f>C10</f>
        <v>0.3</v>
      </c>
    </row>
    <row r="21" spans="1:6" x14ac:dyDescent="0.25">
      <c r="E21" t="s">
        <v>346</v>
      </c>
    </row>
    <row r="22" spans="1:6" x14ac:dyDescent="0.25">
      <c r="C22" t="s">
        <v>351</v>
      </c>
      <c r="D22" s="8">
        <f>D24+D26</f>
        <v>520833.33333333337</v>
      </c>
      <c r="E22">
        <f>C8</f>
        <v>5</v>
      </c>
      <c r="F22" s="5">
        <f>F18-F20</f>
        <v>0.3</v>
      </c>
    </row>
    <row r="24" spans="1:6" x14ac:dyDescent="0.25">
      <c r="C24" t="s">
        <v>350</v>
      </c>
      <c r="D24" s="8">
        <f>D26/4</f>
        <v>104166.66666666667</v>
      </c>
      <c r="E24">
        <v>1</v>
      </c>
    </row>
    <row r="26" spans="1:6" x14ac:dyDescent="0.25">
      <c r="A26" s="5">
        <v>1</v>
      </c>
      <c r="C26" t="s">
        <v>5</v>
      </c>
      <c r="D26" s="8">
        <f>D30/(1-A28)</f>
        <v>416666.66666666669</v>
      </c>
      <c r="E26">
        <f>E22-E24</f>
        <v>4</v>
      </c>
    </row>
    <row r="28" spans="1:6" x14ac:dyDescent="0.25">
      <c r="A28" s="5">
        <f>C7</f>
        <v>0.4</v>
      </c>
      <c r="B28" s="10" t="s">
        <v>345</v>
      </c>
      <c r="C28" t="s">
        <v>344</v>
      </c>
      <c r="D28" s="8">
        <f>A28*D26</f>
        <v>166666.66666666669</v>
      </c>
    </row>
    <row r="29" spans="1:6" x14ac:dyDescent="0.25">
      <c r="A29" s="5"/>
      <c r="D29" s="8"/>
    </row>
    <row r="30" spans="1:6" x14ac:dyDescent="0.25">
      <c r="A30" s="5">
        <f>A26-A28</f>
        <v>0.6</v>
      </c>
      <c r="C30" t="s">
        <v>4</v>
      </c>
      <c r="D30" s="8">
        <f>D31*D32</f>
        <v>250000</v>
      </c>
    </row>
    <row r="31" spans="1:6" x14ac:dyDescent="0.25">
      <c r="C31" t="s">
        <v>3</v>
      </c>
      <c r="D31" s="153">
        <f>C6</f>
        <v>100000</v>
      </c>
    </row>
    <row r="32" spans="1:6" x14ac:dyDescent="0.25">
      <c r="C32" t="s">
        <v>2</v>
      </c>
      <c r="D32" s="8">
        <f>C5</f>
        <v>2.5</v>
      </c>
    </row>
    <row r="37" spans="1:15" ht="15.75" x14ac:dyDescent="0.25">
      <c r="A37" s="31" t="s">
        <v>12</v>
      </c>
      <c r="B37" s="215" t="s">
        <v>360</v>
      </c>
      <c r="C37" s="21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</row>
    <row r="38" spans="1:15" ht="18.75" x14ac:dyDescent="0.3">
      <c r="A38" s="216"/>
      <c r="B38" s="215" t="s">
        <v>361</v>
      </c>
      <c r="C38" s="215"/>
      <c r="D38" s="215"/>
      <c r="E38" s="215"/>
      <c r="F38" s="215"/>
      <c r="G38" s="215"/>
      <c r="H38" s="215"/>
      <c r="I38" s="215"/>
      <c r="J38" s="215"/>
      <c r="K38" s="215"/>
      <c r="L38" s="215"/>
      <c r="M38" s="215"/>
      <c r="N38" s="215"/>
      <c r="O38" s="215"/>
    </row>
    <row r="39" spans="1:15" ht="18.75" x14ac:dyDescent="0.3">
      <c r="A39" s="216"/>
      <c r="B39" s="215" t="s">
        <v>362</v>
      </c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</row>
    <row r="41" spans="1:15" x14ac:dyDescent="0.25">
      <c r="B41" s="10" t="s">
        <v>2</v>
      </c>
      <c r="C41" s="8">
        <v>8</v>
      </c>
    </row>
    <row r="42" spans="1:15" x14ac:dyDescent="0.25">
      <c r="B42" s="10" t="s">
        <v>3</v>
      </c>
      <c r="C42" s="153">
        <v>300000</v>
      </c>
    </row>
    <row r="43" spans="1:15" x14ac:dyDescent="0.25">
      <c r="B43" s="10" t="s">
        <v>6</v>
      </c>
      <c r="C43" s="5">
        <v>0.4</v>
      </c>
    </row>
    <row r="44" spans="1:15" x14ac:dyDescent="0.25">
      <c r="B44" s="10" t="s">
        <v>346</v>
      </c>
      <c r="C44">
        <v>5</v>
      </c>
    </row>
    <row r="45" spans="1:15" x14ac:dyDescent="0.25">
      <c r="B45" s="10" t="s">
        <v>347</v>
      </c>
      <c r="C45" s="5">
        <v>0.75</v>
      </c>
    </row>
    <row r="46" spans="1:15" x14ac:dyDescent="0.25">
      <c r="B46" s="10" t="s">
        <v>348</v>
      </c>
      <c r="C46" s="5">
        <v>0.4</v>
      </c>
    </row>
    <row r="47" spans="1:15" x14ac:dyDescent="0.25">
      <c r="B47" s="10" t="s">
        <v>349</v>
      </c>
      <c r="C47" s="8">
        <v>750000</v>
      </c>
    </row>
    <row r="50" spans="1:8" x14ac:dyDescent="0.25">
      <c r="C50" t="s">
        <v>354</v>
      </c>
      <c r="D50" s="8">
        <f>D58/F58</f>
        <v>14285714.285714287</v>
      </c>
      <c r="F50" t="s">
        <v>359</v>
      </c>
      <c r="G50" t="s">
        <v>363</v>
      </c>
      <c r="H50">
        <f>D58/(C47+D60)</f>
        <v>2.8571428571428572</v>
      </c>
    </row>
    <row r="52" spans="1:8" x14ac:dyDescent="0.25">
      <c r="C52" t="s">
        <v>353</v>
      </c>
      <c r="D52" s="8">
        <f>D50-(D50*F54)</f>
        <v>3571428.5714285709</v>
      </c>
    </row>
    <row r="54" spans="1:8" x14ac:dyDescent="0.25">
      <c r="C54" t="s">
        <v>352</v>
      </c>
      <c r="D54" s="8">
        <f>D50-D52</f>
        <v>10714285.714285716</v>
      </c>
      <c r="F54" s="5">
        <f>C45</f>
        <v>0.75</v>
      </c>
    </row>
    <row r="56" spans="1:8" x14ac:dyDescent="0.25">
      <c r="C56" t="s">
        <v>348</v>
      </c>
      <c r="D56" s="8">
        <f>F56*D50</f>
        <v>5714285.7142857155</v>
      </c>
      <c r="F56" s="5">
        <f>C46</f>
        <v>0.4</v>
      </c>
    </row>
    <row r="57" spans="1:8" x14ac:dyDescent="0.25">
      <c r="E57" t="s">
        <v>346</v>
      </c>
    </row>
    <row r="58" spans="1:8" x14ac:dyDescent="0.25">
      <c r="C58" t="s">
        <v>351</v>
      </c>
      <c r="D58" s="8">
        <f>D60+D62</f>
        <v>5000000</v>
      </c>
      <c r="E58">
        <f>C44</f>
        <v>5</v>
      </c>
      <c r="F58" s="5">
        <f>F54-F56</f>
        <v>0.35</v>
      </c>
    </row>
    <row r="60" spans="1:8" x14ac:dyDescent="0.25">
      <c r="C60" t="s">
        <v>350</v>
      </c>
      <c r="D60" s="8">
        <f>D62/4</f>
        <v>1000000</v>
      </c>
      <c r="E60">
        <v>1</v>
      </c>
    </row>
    <row r="62" spans="1:8" x14ac:dyDescent="0.25">
      <c r="A62" s="5">
        <v>1</v>
      </c>
      <c r="C62" t="s">
        <v>5</v>
      </c>
      <c r="D62" s="8">
        <f>D66/(1-A64)</f>
        <v>4000000</v>
      </c>
      <c r="E62">
        <f>E58-E60</f>
        <v>4</v>
      </c>
    </row>
    <row r="64" spans="1:8" x14ac:dyDescent="0.25">
      <c r="A64" s="5">
        <v>0.4</v>
      </c>
      <c r="B64" s="10" t="s">
        <v>345</v>
      </c>
      <c r="C64" t="s">
        <v>344</v>
      </c>
      <c r="D64" s="8">
        <f>A64*D62</f>
        <v>1600000</v>
      </c>
    </row>
    <row r="65" spans="1:4" x14ac:dyDescent="0.25">
      <c r="A65" s="5"/>
      <c r="D65" s="8"/>
    </row>
    <row r="66" spans="1:4" x14ac:dyDescent="0.25">
      <c r="A66" s="5">
        <f>A62-A64</f>
        <v>0.6</v>
      </c>
      <c r="C66" t="s">
        <v>4</v>
      </c>
      <c r="D66" s="8">
        <f>D67*D68</f>
        <v>2400000</v>
      </c>
    </row>
    <row r="67" spans="1:4" x14ac:dyDescent="0.25">
      <c r="C67" t="s">
        <v>3</v>
      </c>
      <c r="D67" s="153">
        <f>C42</f>
        <v>300000</v>
      </c>
    </row>
    <row r="68" spans="1:4" x14ac:dyDescent="0.25">
      <c r="C68" t="s">
        <v>2</v>
      </c>
      <c r="D68" s="8">
        <f>C41</f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E70B-3597-4928-8710-2F8BB638C5AE}">
  <dimension ref="A2:N71"/>
  <sheetViews>
    <sheetView topLeftCell="A34" workbookViewId="0">
      <selection activeCell="P72" sqref="A38:P72"/>
    </sheetView>
  </sheetViews>
  <sheetFormatPr defaultRowHeight="15" x14ac:dyDescent="0.25"/>
  <cols>
    <col min="2" max="2" width="11" customWidth="1"/>
    <col min="3" max="4" width="11.5703125" bestFit="1" customWidth="1"/>
    <col min="6" max="6" width="10.42578125" customWidth="1"/>
    <col min="11" max="11" width="8.85546875" customWidth="1"/>
    <col min="12" max="12" width="17" bestFit="1" customWidth="1"/>
  </cols>
  <sheetData>
    <row r="2" spans="1:8" ht="24" x14ac:dyDescent="0.45">
      <c r="B2" s="217" t="s">
        <v>369</v>
      </c>
      <c r="C2" s="217" t="s">
        <v>30</v>
      </c>
      <c r="D2" s="217" t="s">
        <v>370</v>
      </c>
      <c r="E2" s="217" t="s">
        <v>371</v>
      </c>
      <c r="F2" s="218" t="s">
        <v>372</v>
      </c>
      <c r="G2" s="3"/>
    </row>
    <row r="3" spans="1:8" x14ac:dyDescent="0.25">
      <c r="B3" s="29" t="s">
        <v>375</v>
      </c>
      <c r="G3" t="s">
        <v>373</v>
      </c>
      <c r="H3" t="s">
        <v>374</v>
      </c>
    </row>
    <row r="4" spans="1:8" x14ac:dyDescent="0.25">
      <c r="B4" s="29"/>
    </row>
    <row r="5" spans="1:8" x14ac:dyDescent="0.25">
      <c r="A5" t="s">
        <v>128</v>
      </c>
      <c r="B5" s="29"/>
    </row>
    <row r="6" spans="1:8" x14ac:dyDescent="0.25">
      <c r="B6" s="4" t="s">
        <v>71</v>
      </c>
      <c r="C6" s="4" t="s">
        <v>367</v>
      </c>
      <c r="D6" s="4" t="s">
        <v>368</v>
      </c>
      <c r="E6" s="4" t="s">
        <v>376</v>
      </c>
      <c r="F6" s="4" t="s">
        <v>377</v>
      </c>
    </row>
    <row r="7" spans="1:8" x14ac:dyDescent="0.25">
      <c r="B7" s="10">
        <v>1</v>
      </c>
      <c r="C7" s="10">
        <v>13250</v>
      </c>
      <c r="D7" s="10">
        <v>120</v>
      </c>
    </row>
    <row r="8" spans="1:8" x14ac:dyDescent="0.25">
      <c r="B8" s="10">
        <v>2</v>
      </c>
      <c r="C8" s="10">
        <v>14100</v>
      </c>
      <c r="D8" s="10">
        <v>150</v>
      </c>
      <c r="E8" s="15">
        <f>(C8-C7)/C7</f>
        <v>6.4150943396226415E-2</v>
      </c>
      <c r="F8" s="15">
        <f>(D8-D7)/D7</f>
        <v>0.25</v>
      </c>
    </row>
    <row r="9" spans="1:8" x14ac:dyDescent="0.25">
      <c r="B9" s="10">
        <v>3</v>
      </c>
      <c r="C9" s="10">
        <v>14750</v>
      </c>
      <c r="D9" s="10">
        <v>200</v>
      </c>
      <c r="E9" s="15">
        <f t="shared" ref="E9:F13" si="0">(C9-C8)/C8</f>
        <v>4.6099290780141841E-2</v>
      </c>
      <c r="F9" s="15">
        <f t="shared" si="0"/>
        <v>0.33333333333333331</v>
      </c>
    </row>
    <row r="10" spans="1:8" x14ac:dyDescent="0.25">
      <c r="B10" s="10">
        <v>4</v>
      </c>
      <c r="C10" s="10">
        <v>15250</v>
      </c>
      <c r="D10" s="10">
        <v>220</v>
      </c>
      <c r="E10" s="15">
        <f t="shared" si="0"/>
        <v>3.3898305084745763E-2</v>
      </c>
      <c r="F10" s="15">
        <f t="shared" si="0"/>
        <v>0.1</v>
      </c>
    </row>
    <row r="11" spans="1:8" x14ac:dyDescent="0.25">
      <c r="B11" s="10">
        <v>5</v>
      </c>
      <c r="C11" s="10">
        <v>15960</v>
      </c>
      <c r="D11" s="10">
        <v>300</v>
      </c>
      <c r="E11" s="15">
        <f t="shared" si="0"/>
        <v>4.655737704918033E-2</v>
      </c>
      <c r="F11" s="15">
        <f t="shared" si="0"/>
        <v>0.36363636363636365</v>
      </c>
    </row>
    <row r="12" spans="1:8" x14ac:dyDescent="0.25">
      <c r="B12" s="10">
        <v>6</v>
      </c>
      <c r="C12" s="10">
        <v>16800</v>
      </c>
      <c r="D12" s="10">
        <v>375</v>
      </c>
      <c r="E12" s="15">
        <f t="shared" si="0"/>
        <v>5.2631578947368418E-2</v>
      </c>
      <c r="F12" s="15">
        <f t="shared" si="0"/>
        <v>0.25</v>
      </c>
    </row>
    <row r="13" spans="1:8" x14ac:dyDescent="0.25">
      <c r="B13" s="10">
        <v>7</v>
      </c>
      <c r="C13" s="10">
        <v>17500</v>
      </c>
      <c r="D13" s="10">
        <v>550</v>
      </c>
      <c r="E13" s="15">
        <f t="shared" si="0"/>
        <v>4.1666666666666664E-2</v>
      </c>
      <c r="F13" s="15">
        <f t="shared" si="0"/>
        <v>0.46666666666666667</v>
      </c>
    </row>
    <row r="15" spans="1:8" x14ac:dyDescent="0.25">
      <c r="B15" t="s">
        <v>378</v>
      </c>
      <c r="C15" s="26">
        <f>AVERAGE(E8:E13)</f>
        <v>4.7500693654054904E-2</v>
      </c>
      <c r="E15" t="s">
        <v>382</v>
      </c>
      <c r="F15" s="219">
        <f>SLOPE(F8:F13,E8:E13)</f>
        <v>1.0511332106989852</v>
      </c>
    </row>
    <row r="16" spans="1:8" x14ac:dyDescent="0.25">
      <c r="B16" t="s">
        <v>379</v>
      </c>
      <c r="C16" s="5">
        <v>0.06</v>
      </c>
      <c r="E16" t="s">
        <v>383</v>
      </c>
      <c r="G16" s="26">
        <f>C15-C16</f>
        <v>-1.2499306345945094E-2</v>
      </c>
    </row>
    <row r="17" spans="1:13" x14ac:dyDescent="0.25">
      <c r="B17" t="s">
        <v>380</v>
      </c>
      <c r="C17" s="26">
        <f>AVERAGE(F8:F13)</f>
        <v>0.29393939393939394</v>
      </c>
    </row>
    <row r="19" spans="1:13" x14ac:dyDescent="0.25">
      <c r="B19" t="s">
        <v>381</v>
      </c>
      <c r="C19" s="15">
        <f>C16+F15*G16</f>
        <v>4.6861563989076531E-2</v>
      </c>
    </row>
    <row r="20" spans="1:13" x14ac:dyDescent="0.25">
      <c r="C20" s="15"/>
    </row>
    <row r="21" spans="1:13" x14ac:dyDescent="0.25">
      <c r="C21" s="15"/>
    </row>
    <row r="22" spans="1:13" x14ac:dyDescent="0.25">
      <c r="A22" t="s">
        <v>146</v>
      </c>
      <c r="C22" s="15"/>
    </row>
    <row r="23" spans="1:13" x14ac:dyDescent="0.25">
      <c r="B23" s="12" t="s">
        <v>384</v>
      </c>
      <c r="C23" s="12"/>
      <c r="D23" s="12">
        <v>10000</v>
      </c>
      <c r="E23" s="12" t="s">
        <v>385</v>
      </c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5">
      <c r="B25" s="12" t="s">
        <v>386</v>
      </c>
      <c r="C25" s="12"/>
      <c r="D25" s="221">
        <v>0.6</v>
      </c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B27" s="12" t="s">
        <v>387</v>
      </c>
      <c r="C27" s="12"/>
      <c r="D27" s="221">
        <v>0.25</v>
      </c>
      <c r="E27" s="12" t="s">
        <v>388</v>
      </c>
      <c r="F27" s="12"/>
      <c r="G27" s="12"/>
      <c r="H27" s="12"/>
      <c r="I27" s="12"/>
      <c r="J27" s="12"/>
      <c r="K27" s="12"/>
      <c r="L27" s="12"/>
      <c r="M27" s="12"/>
    </row>
    <row r="28" spans="1:13" x14ac:dyDescent="0.25">
      <c r="B28" s="12"/>
      <c r="C28" s="12"/>
      <c r="D28" s="12"/>
      <c r="E28" s="12"/>
      <c r="F28" s="12"/>
      <c r="G28" s="12" t="s">
        <v>389</v>
      </c>
      <c r="H28" s="12"/>
      <c r="I28" s="12"/>
      <c r="J28" s="12"/>
      <c r="K28" s="12"/>
      <c r="L28" s="12"/>
      <c r="M28" s="12"/>
    </row>
    <row r="29" spans="1:13" x14ac:dyDescent="0.25">
      <c r="B29" s="12" t="s">
        <v>346</v>
      </c>
      <c r="C29" s="12"/>
      <c r="D29" s="12">
        <v>5</v>
      </c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B30" s="12"/>
      <c r="C30" s="12"/>
      <c r="D30" s="12"/>
      <c r="E30" s="12"/>
      <c r="F30" s="12"/>
      <c r="G30" s="12" t="s">
        <v>390</v>
      </c>
      <c r="H30" s="12"/>
      <c r="I30" s="12"/>
      <c r="J30" s="12"/>
      <c r="K30" s="12"/>
      <c r="L30" s="12"/>
      <c r="M30" s="12"/>
    </row>
    <row r="31" spans="1:13" x14ac:dyDescent="0.25">
      <c r="B31" s="12" t="s">
        <v>391</v>
      </c>
      <c r="C31" s="12"/>
      <c r="D31" s="221">
        <v>0.4</v>
      </c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5">
      <c r="B32" s="12"/>
      <c r="C32" s="12"/>
      <c r="D32" s="12"/>
      <c r="E32" s="12"/>
      <c r="F32" s="12"/>
      <c r="G32" s="12" t="s">
        <v>392</v>
      </c>
      <c r="H32" s="12"/>
      <c r="I32" s="12"/>
      <c r="J32" s="12"/>
      <c r="K32" s="12"/>
      <c r="L32" s="12"/>
      <c r="M32" s="12"/>
    </row>
    <row r="33" spans="1:13" x14ac:dyDescent="0.25">
      <c r="B33" s="12" t="s">
        <v>3</v>
      </c>
      <c r="C33" s="12"/>
      <c r="D33" s="12">
        <v>36</v>
      </c>
      <c r="E33" s="12" t="s">
        <v>393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B35" s="12" t="s">
        <v>394</v>
      </c>
      <c r="C35" s="12"/>
      <c r="D35" s="221">
        <v>0.6</v>
      </c>
      <c r="E35" s="12"/>
      <c r="F35" s="12"/>
      <c r="G35" s="12"/>
      <c r="H35" s="12"/>
      <c r="I35" s="12"/>
      <c r="J35" s="12"/>
      <c r="K35" s="12"/>
      <c r="L35" s="12"/>
      <c r="M35" s="12"/>
    </row>
    <row r="38" spans="1:13" x14ac:dyDescent="0.25">
      <c r="A38" t="s">
        <v>78</v>
      </c>
    </row>
    <row r="39" spans="1:13" x14ac:dyDescent="0.25">
      <c r="B39" t="s">
        <v>384</v>
      </c>
      <c r="D39" s="8">
        <v>10000</v>
      </c>
    </row>
    <row r="40" spans="1:13" x14ac:dyDescent="0.25">
      <c r="B40" t="s">
        <v>386</v>
      </c>
      <c r="D40" s="5">
        <v>0.6</v>
      </c>
    </row>
    <row r="41" spans="1:13" x14ac:dyDescent="0.25">
      <c r="B41" t="s">
        <v>387</v>
      </c>
      <c r="D41" s="5">
        <v>0.25</v>
      </c>
    </row>
    <row r="42" spans="1:13" x14ac:dyDescent="0.25">
      <c r="B42" t="s">
        <v>346</v>
      </c>
      <c r="D42">
        <v>5</v>
      </c>
    </row>
    <row r="43" spans="1:13" x14ac:dyDescent="0.25">
      <c r="B43" t="s">
        <v>391</v>
      </c>
      <c r="D43" s="5">
        <v>0.4</v>
      </c>
    </row>
    <row r="44" spans="1:13" x14ac:dyDescent="0.25">
      <c r="B44" t="s">
        <v>3</v>
      </c>
      <c r="D44">
        <v>36</v>
      </c>
    </row>
    <row r="45" spans="1:13" x14ac:dyDescent="0.25">
      <c r="B45" t="s">
        <v>394</v>
      </c>
      <c r="D45" s="5">
        <v>0.6</v>
      </c>
    </row>
    <row r="49" spans="1:14" x14ac:dyDescent="0.25">
      <c r="B49" t="s">
        <v>354</v>
      </c>
      <c r="C49" s="8">
        <f>D39</f>
        <v>10000</v>
      </c>
      <c r="F49" t="s">
        <v>404</v>
      </c>
      <c r="G49" t="s">
        <v>403</v>
      </c>
      <c r="H49" s="5">
        <v>0.08</v>
      </c>
    </row>
    <row r="50" spans="1:14" x14ac:dyDescent="0.25">
      <c r="F50" t="s">
        <v>406</v>
      </c>
      <c r="G50" t="s">
        <v>405</v>
      </c>
      <c r="H50" s="5">
        <v>0.04</v>
      </c>
      <c r="M50" t="s">
        <v>414</v>
      </c>
      <c r="N50" t="s">
        <v>415</v>
      </c>
    </row>
    <row r="51" spans="1:14" x14ac:dyDescent="0.25">
      <c r="B51" t="s">
        <v>353</v>
      </c>
      <c r="C51" s="8">
        <f>C49-C53</f>
        <v>4000</v>
      </c>
      <c r="G51" t="s">
        <v>398</v>
      </c>
      <c r="H51" s="5">
        <v>0.04</v>
      </c>
      <c r="J51" t="s">
        <v>399</v>
      </c>
      <c r="K51" s="26">
        <f>H51+H52*(H53-H51)</f>
        <v>0.13999999999999999</v>
      </c>
      <c r="M51" t="s">
        <v>416</v>
      </c>
      <c r="N51" s="8">
        <f>H56</f>
        <v>102.33088095427527</v>
      </c>
    </row>
    <row r="52" spans="1:14" x14ac:dyDescent="0.25">
      <c r="G52" t="s">
        <v>382</v>
      </c>
      <c r="H52">
        <v>1.25</v>
      </c>
      <c r="M52" t="s">
        <v>417</v>
      </c>
      <c r="N52" s="8">
        <f>M67</f>
        <v>190.47549100419664</v>
      </c>
    </row>
    <row r="53" spans="1:14" x14ac:dyDescent="0.25">
      <c r="B53" t="s">
        <v>352</v>
      </c>
      <c r="C53" s="8">
        <f>D39*D40</f>
        <v>6000</v>
      </c>
      <c r="G53" t="s">
        <v>397</v>
      </c>
      <c r="H53" s="5">
        <v>0.12</v>
      </c>
      <c r="M53" s="195" t="s">
        <v>414</v>
      </c>
      <c r="N53" s="220">
        <f>SUM(N51:N52)</f>
        <v>292.80637195847191</v>
      </c>
    </row>
    <row r="54" spans="1:14" x14ac:dyDescent="0.25">
      <c r="G54" t="s">
        <v>19</v>
      </c>
      <c r="H54" s="153">
        <v>5</v>
      </c>
      <c r="I54" t="s">
        <v>409</v>
      </c>
    </row>
    <row r="55" spans="1:14" x14ac:dyDescent="0.25">
      <c r="B55" t="s">
        <v>348</v>
      </c>
      <c r="C55" s="8">
        <f>D55*C53</f>
        <v>1500</v>
      </c>
      <c r="D55" s="5">
        <f>D41</f>
        <v>0.25</v>
      </c>
    </row>
    <row r="56" spans="1:14" x14ac:dyDescent="0.25">
      <c r="G56" t="s">
        <v>17</v>
      </c>
      <c r="H56" s="8">
        <f>SUM(J60:J64)</f>
        <v>102.33088095427527</v>
      </c>
    </row>
    <row r="57" spans="1:14" x14ac:dyDescent="0.25">
      <c r="B57" t="s">
        <v>351</v>
      </c>
      <c r="C57" s="8">
        <f>C53-C55</f>
        <v>4500</v>
      </c>
      <c r="D57">
        <f>D42</f>
        <v>5</v>
      </c>
      <c r="G57" t="s">
        <v>400</v>
      </c>
      <c r="H57" t="s">
        <v>401</v>
      </c>
      <c r="I57" t="s">
        <v>402</v>
      </c>
      <c r="J57" t="s">
        <v>17</v>
      </c>
    </row>
    <row r="58" spans="1:14" x14ac:dyDescent="0.25">
      <c r="G58">
        <v>0</v>
      </c>
      <c r="H58" s="8">
        <f>C71</f>
        <v>24</v>
      </c>
      <c r="I58">
        <f>(1+$K$51)^G58</f>
        <v>1</v>
      </c>
      <c r="J58" s="8">
        <f>H58/I58</f>
        <v>24</v>
      </c>
    </row>
    <row r="59" spans="1:14" x14ac:dyDescent="0.25">
      <c r="B59" t="s">
        <v>350</v>
      </c>
      <c r="C59" s="8">
        <f>C57/D57</f>
        <v>900</v>
      </c>
      <c r="D59">
        <v>1</v>
      </c>
      <c r="G59" s="371" t="s">
        <v>407</v>
      </c>
      <c r="H59" s="371"/>
      <c r="I59" s="371"/>
      <c r="J59" s="371"/>
      <c r="L59" s="371" t="s">
        <v>408</v>
      </c>
      <c r="M59" s="371"/>
    </row>
    <row r="60" spans="1:14" x14ac:dyDescent="0.25">
      <c r="G60">
        <v>1</v>
      </c>
      <c r="H60" s="8">
        <f>H58+(H58*$H$49)</f>
        <v>25.92</v>
      </c>
      <c r="I60">
        <f>(1+$K$51)^G60</f>
        <v>1.1399999999999999</v>
      </c>
      <c r="J60" s="8">
        <f t="shared" ref="J60:J64" si="1">H60/I60</f>
        <v>22.736842105263161</v>
      </c>
      <c r="L60" t="s">
        <v>400</v>
      </c>
      <c r="M60" t="s">
        <v>401</v>
      </c>
    </row>
    <row r="61" spans="1:14" x14ac:dyDescent="0.25">
      <c r="B61" t="s">
        <v>5</v>
      </c>
      <c r="C61" s="8">
        <f>C57-C59</f>
        <v>3600</v>
      </c>
      <c r="D61">
        <f>D57-D59</f>
        <v>4</v>
      </c>
      <c r="G61">
        <v>2</v>
      </c>
      <c r="H61" s="8">
        <f>H60+(H60*$H$49)</f>
        <v>27.993600000000001</v>
      </c>
      <c r="I61">
        <f>(1+$K$51)^G61</f>
        <v>1.2995999999999999</v>
      </c>
      <c r="J61" s="8">
        <f t="shared" si="1"/>
        <v>21.540166204986154</v>
      </c>
      <c r="L61">
        <v>6</v>
      </c>
      <c r="M61" s="8">
        <f>H64+(H64*H50)</f>
        <v>36.674428796928005</v>
      </c>
    </row>
    <row r="62" spans="1:14" x14ac:dyDescent="0.25">
      <c r="G62">
        <v>3</v>
      </c>
      <c r="H62" s="8">
        <f t="shared" ref="H62:H64" si="2">H61+(H61*$H$49)</f>
        <v>30.233088000000002</v>
      </c>
      <c r="I62">
        <f>(1+$K$51)^G62</f>
        <v>1.4815439999999998</v>
      </c>
      <c r="J62" s="8">
        <f t="shared" si="1"/>
        <v>20.406473246828988</v>
      </c>
    </row>
    <row r="63" spans="1:14" x14ac:dyDescent="0.25">
      <c r="A63" s="5">
        <f>D43</f>
        <v>0.4</v>
      </c>
      <c r="B63" t="s">
        <v>344</v>
      </c>
      <c r="C63" s="8">
        <f>C61*A63</f>
        <v>1440</v>
      </c>
      <c r="G63">
        <v>4</v>
      </c>
      <c r="H63" s="8">
        <f t="shared" si="2"/>
        <v>32.651735040000005</v>
      </c>
      <c r="I63">
        <f>(1+$K$51)^G63</f>
        <v>1.6889601599999997</v>
      </c>
      <c r="J63" s="8">
        <f t="shared" si="1"/>
        <v>19.332448339101148</v>
      </c>
      <c r="L63" t="s">
        <v>411</v>
      </c>
      <c r="M63" t="s">
        <v>410</v>
      </c>
    </row>
    <row r="64" spans="1:14" x14ac:dyDescent="0.25">
      <c r="G64">
        <v>5</v>
      </c>
      <c r="H64" s="8">
        <f t="shared" si="2"/>
        <v>35.263873843200003</v>
      </c>
      <c r="I64">
        <f>(1+$K$51)^G64</f>
        <v>1.9254145823999995</v>
      </c>
      <c r="J64" s="8">
        <f t="shared" si="1"/>
        <v>18.314951058095826</v>
      </c>
    </row>
    <row r="65" spans="1:13" x14ac:dyDescent="0.25">
      <c r="B65" t="s">
        <v>4</v>
      </c>
      <c r="C65" s="8">
        <f>C61-C63</f>
        <v>2160</v>
      </c>
      <c r="L65" t="s">
        <v>412</v>
      </c>
      <c r="M65" s="8">
        <f>M61/(K51-H50)</f>
        <v>366.74428796928015</v>
      </c>
    </row>
    <row r="66" spans="1:13" x14ac:dyDescent="0.25">
      <c r="B66" t="s">
        <v>3</v>
      </c>
      <c r="C66">
        <f>D44</f>
        <v>36</v>
      </c>
    </row>
    <row r="67" spans="1:13" x14ac:dyDescent="0.25">
      <c r="B67" t="s">
        <v>2</v>
      </c>
      <c r="C67" s="8">
        <f>C65/C66</f>
        <v>60</v>
      </c>
      <c r="L67" t="s">
        <v>413</v>
      </c>
      <c r="M67" s="8">
        <f>M65/I64</f>
        <v>190.47549100419664</v>
      </c>
    </row>
    <row r="69" spans="1:13" x14ac:dyDescent="0.25">
      <c r="A69" s="5">
        <f>D45</f>
        <v>0.6</v>
      </c>
      <c r="B69" t="s">
        <v>395</v>
      </c>
      <c r="C69" s="8">
        <f>C67*(A69)</f>
        <v>36</v>
      </c>
    </row>
    <row r="70" spans="1:13" x14ac:dyDescent="0.25">
      <c r="F70" t="s">
        <v>418</v>
      </c>
    </row>
    <row r="71" spans="1:13" x14ac:dyDescent="0.25">
      <c r="B71" t="s">
        <v>396</v>
      </c>
      <c r="C71" s="8">
        <f>C67-C69</f>
        <v>24</v>
      </c>
    </row>
  </sheetData>
  <mergeCells count="2">
    <mergeCell ref="G59:J59"/>
    <mergeCell ref="L59:M5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0C02-6513-4F02-A8DF-CFAF6DEE466E}">
  <dimension ref="B3:M33"/>
  <sheetViews>
    <sheetView tabSelected="1" workbookViewId="0">
      <selection activeCell="S8" sqref="S8"/>
    </sheetView>
  </sheetViews>
  <sheetFormatPr defaultRowHeight="15" x14ac:dyDescent="0.25"/>
  <cols>
    <col min="2" max="2" width="3.28515625" bestFit="1" customWidth="1"/>
  </cols>
  <sheetData>
    <row r="3" spans="2:13" x14ac:dyDescent="0.25">
      <c r="B3" s="31" t="s">
        <v>128</v>
      </c>
      <c r="C3" t="s">
        <v>419</v>
      </c>
    </row>
    <row r="4" spans="2:13" x14ac:dyDescent="0.25">
      <c r="B4" s="31"/>
      <c r="J4" t="s">
        <v>420</v>
      </c>
      <c r="K4">
        <v>1100</v>
      </c>
      <c r="M4" t="s">
        <v>421</v>
      </c>
    </row>
    <row r="5" spans="2:13" x14ac:dyDescent="0.25">
      <c r="B5" s="31"/>
      <c r="C5" t="s">
        <v>20</v>
      </c>
      <c r="D5">
        <v>1000</v>
      </c>
      <c r="E5" t="s">
        <v>422</v>
      </c>
    </row>
    <row r="6" spans="2:13" x14ac:dyDescent="0.25">
      <c r="B6" s="31"/>
      <c r="C6" t="s">
        <v>423</v>
      </c>
      <c r="D6" s="5">
        <v>0.06</v>
      </c>
      <c r="E6" t="s">
        <v>424</v>
      </c>
      <c r="H6" t="s">
        <v>441</v>
      </c>
      <c r="J6" t="s">
        <v>20</v>
      </c>
      <c r="K6">
        <v>1000</v>
      </c>
    </row>
    <row r="7" spans="2:13" x14ac:dyDescent="0.25">
      <c r="B7" s="31"/>
      <c r="C7" t="s">
        <v>425</v>
      </c>
      <c r="D7">
        <v>5</v>
      </c>
      <c r="E7" t="s">
        <v>400</v>
      </c>
      <c r="M7" t="s">
        <v>426</v>
      </c>
    </row>
    <row r="8" spans="2:13" x14ac:dyDescent="0.25">
      <c r="B8" s="31"/>
      <c r="C8" t="s">
        <v>427</v>
      </c>
      <c r="D8" s="247">
        <f>L18/100</f>
        <v>0.09</v>
      </c>
      <c r="E8" t="s">
        <v>424</v>
      </c>
      <c r="J8" t="s">
        <v>420</v>
      </c>
      <c r="K8">
        <v>900</v>
      </c>
    </row>
    <row r="9" spans="2:13" x14ac:dyDescent="0.25">
      <c r="B9" s="31"/>
    </row>
    <row r="10" spans="2:13" x14ac:dyDescent="0.25">
      <c r="B10" s="31"/>
      <c r="C10" t="s">
        <v>428</v>
      </c>
      <c r="I10" s="29" t="s">
        <v>429</v>
      </c>
    </row>
    <row r="11" spans="2:13" ht="15.75" thickBot="1" x14ac:dyDescent="0.3">
      <c r="B11" s="31"/>
    </row>
    <row r="12" spans="2:13" x14ac:dyDescent="0.25">
      <c r="D12" s="222"/>
      <c r="E12" s="223"/>
      <c r="F12" s="223"/>
      <c r="G12" s="223"/>
      <c r="H12" s="223"/>
      <c r="I12" s="223"/>
      <c r="J12" s="224"/>
    </row>
    <row r="13" spans="2:13" s="4" customFormat="1" x14ac:dyDescent="0.25">
      <c r="D13" s="225"/>
      <c r="E13" s="226" t="s">
        <v>400</v>
      </c>
      <c r="F13" s="226" t="s">
        <v>430</v>
      </c>
      <c r="G13" s="226" t="s">
        <v>431</v>
      </c>
      <c r="H13" s="226" t="s">
        <v>432</v>
      </c>
      <c r="I13" s="226"/>
      <c r="J13" s="227"/>
    </row>
    <row r="14" spans="2:13" s="10" customFormat="1" x14ac:dyDescent="0.25">
      <c r="D14" s="228"/>
      <c r="E14" s="200">
        <v>1</v>
      </c>
      <c r="F14" s="200">
        <f>$D$5*$D$6</f>
        <v>60</v>
      </c>
      <c r="G14" s="229">
        <f>1/(1+$D$8)^E14</f>
        <v>0.9174311926605504</v>
      </c>
      <c r="H14" s="230">
        <f>F14*G14</f>
        <v>55.045871559633021</v>
      </c>
      <c r="I14" s="200"/>
      <c r="J14" s="231"/>
    </row>
    <row r="15" spans="2:13" s="10" customFormat="1" x14ac:dyDescent="0.25">
      <c r="D15" s="228"/>
      <c r="E15" s="200">
        <v>2</v>
      </c>
      <c r="F15" s="200">
        <f>$D$5*$D$6</f>
        <v>60</v>
      </c>
      <c r="G15" s="229">
        <f t="shared" ref="G15:G17" si="0">1/(1+$D$8)^E15</f>
        <v>0.84167999326655996</v>
      </c>
      <c r="H15" s="230">
        <f>F15*G15</f>
        <v>50.500799595993598</v>
      </c>
      <c r="I15" s="200"/>
      <c r="J15" s="231"/>
    </row>
    <row r="16" spans="2:13" s="10" customFormat="1" x14ac:dyDescent="0.25">
      <c r="D16" s="228"/>
      <c r="E16" s="200">
        <v>3</v>
      </c>
      <c r="F16" s="200">
        <f>$D$5*$D$6</f>
        <v>60</v>
      </c>
      <c r="G16" s="229">
        <f t="shared" si="0"/>
        <v>0.77218348006106419</v>
      </c>
      <c r="H16" s="230">
        <f t="shared" ref="H16:H17" si="1">F16*G16</f>
        <v>46.331008803663849</v>
      </c>
      <c r="I16" s="200"/>
      <c r="J16" s="231"/>
    </row>
    <row r="17" spans="4:12" s="10" customFormat="1" x14ac:dyDescent="0.25">
      <c r="D17" s="228"/>
      <c r="E17" s="200">
        <v>4</v>
      </c>
      <c r="F17" s="200">
        <f>$D$5*$D$6</f>
        <v>60</v>
      </c>
      <c r="G17" s="229">
        <f t="shared" si="0"/>
        <v>0.7084252110651964</v>
      </c>
      <c r="H17" s="230">
        <f t="shared" si="1"/>
        <v>42.505512663911787</v>
      </c>
      <c r="I17" s="200"/>
      <c r="J17" s="231"/>
    </row>
    <row r="18" spans="4:12" s="10" customFormat="1" ht="16.5" x14ac:dyDescent="0.35">
      <c r="D18" s="228"/>
      <c r="E18" s="200">
        <v>5</v>
      </c>
      <c r="F18" s="200">
        <f>$D$5*$D$6+D5</f>
        <v>1060</v>
      </c>
      <c r="G18" s="229">
        <f>1/(1+$D$8)^E18</f>
        <v>0.64993138629834524</v>
      </c>
      <c r="H18" s="232">
        <f>F18*G18</f>
        <v>688.9272694762459</v>
      </c>
      <c r="I18" s="200"/>
      <c r="J18" s="231"/>
      <c r="L18" s="233">
        <v>9</v>
      </c>
    </row>
    <row r="19" spans="4:12" s="10" customFormat="1" x14ac:dyDescent="0.25">
      <c r="D19" s="228"/>
      <c r="E19" s="200"/>
      <c r="F19" s="200"/>
      <c r="G19" s="200"/>
      <c r="H19" s="200"/>
      <c r="I19" s="200"/>
      <c r="J19" s="231"/>
    </row>
    <row r="20" spans="4:12" s="10" customFormat="1" x14ac:dyDescent="0.25">
      <c r="D20" s="228"/>
      <c r="E20" s="200"/>
      <c r="F20" s="200"/>
      <c r="G20" s="226" t="s">
        <v>433</v>
      </c>
      <c r="H20" s="234">
        <f>SUM(H14:H18)</f>
        <v>883.31046209944816</v>
      </c>
      <c r="I20" s="200"/>
      <c r="J20" s="231"/>
    </row>
    <row r="21" spans="4:12" s="10" customFormat="1" ht="15.75" thickBot="1" x14ac:dyDescent="0.3">
      <c r="D21" s="235"/>
      <c r="E21" s="236"/>
      <c r="F21" s="236"/>
      <c r="G21" s="236"/>
      <c r="H21" s="236"/>
      <c r="I21" s="236"/>
      <c r="J21" s="237"/>
    </row>
    <row r="24" spans="4:12" x14ac:dyDescent="0.25">
      <c r="E24" s="29" t="s">
        <v>434</v>
      </c>
    </row>
    <row r="26" spans="4:12" x14ac:dyDescent="0.25">
      <c r="E26" s="29" t="s">
        <v>435</v>
      </c>
    </row>
    <row r="28" spans="4:12" ht="15.75" thickBot="1" x14ac:dyDescent="0.3"/>
    <row r="29" spans="4:12" x14ac:dyDescent="0.25">
      <c r="F29" s="238" t="s">
        <v>436</v>
      </c>
      <c r="G29" s="239"/>
      <c r="H29" s="240" t="s">
        <v>437</v>
      </c>
    </row>
    <row r="30" spans="4:12" x14ac:dyDescent="0.25">
      <c r="F30" s="241"/>
      <c r="G30" s="242"/>
      <c r="H30" s="243"/>
    </row>
    <row r="31" spans="4:12" x14ac:dyDescent="0.25">
      <c r="F31" s="241" t="s">
        <v>438</v>
      </c>
      <c r="G31" s="242"/>
      <c r="H31" s="243" t="s">
        <v>439</v>
      </c>
    </row>
    <row r="32" spans="4:12" x14ac:dyDescent="0.25">
      <c r="F32" s="241"/>
      <c r="G32" s="242"/>
      <c r="H32" s="243"/>
    </row>
    <row r="33" spans="6:8" ht="15.75" thickBot="1" x14ac:dyDescent="0.3">
      <c r="F33" s="244" t="s">
        <v>421</v>
      </c>
      <c r="G33" s="245"/>
      <c r="H33" s="246" t="s">
        <v>440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3" name="Spinner 1">
              <controlPr defaultSize="0" autoPict="0">
                <anchor moveWithCells="1" sizeWithCells="1">
                  <from>
                    <xdr:col>13</xdr:col>
                    <xdr:colOff>66675</xdr:colOff>
                    <xdr:row>11</xdr:row>
                    <xdr:rowOff>152400</xdr:rowOff>
                  </from>
                  <to>
                    <xdr:col>15</xdr:col>
                    <xdr:colOff>209550</xdr:colOff>
                    <xdr:row>19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FVPV</vt:lpstr>
      <vt:lpstr>Annuities</vt:lpstr>
      <vt:lpstr>TVM1</vt:lpstr>
      <vt:lpstr>TVM2</vt:lpstr>
      <vt:lpstr>TVM3</vt:lpstr>
      <vt:lpstr>AM GM</vt:lpstr>
      <vt:lpstr>Risk</vt:lpstr>
      <vt:lpstr>Risk_PQ</vt:lpstr>
      <vt:lpstr>Risk_sir</vt:lpstr>
      <vt:lpstr>M1</vt:lpstr>
      <vt:lpstr>Utility</vt:lpstr>
      <vt:lpstr>Utility Maximization</vt:lpstr>
      <vt:lpstr>Risk Minimization</vt:lpstr>
      <vt:lpstr>Portfolio Optimization</vt:lpstr>
      <vt:lpstr>3-stk portfolio</vt:lpstr>
      <vt:lpstr>data1</vt:lpstr>
      <vt:lpstr>data2</vt:lpstr>
      <vt:lpstr>Multi Asset Portfolio</vt:lpstr>
      <vt:lpstr>M2</vt:lpstr>
      <vt:lpstr>VaR</vt:lpstr>
      <vt:lpstr>VaR_PQ</vt:lpstr>
      <vt:lpstr>BSM</vt:lpstr>
      <vt:lpstr>BSM_PQ</vt:lpstr>
      <vt:lpstr>Credit Risk</vt:lpstr>
      <vt:lpstr>Solvency</vt:lpstr>
      <vt:lpstr>Equity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Doshi</dc:creator>
  <cp:lastModifiedBy>Arjun Doshi</cp:lastModifiedBy>
  <dcterms:created xsi:type="dcterms:W3CDTF">2015-06-05T18:17:20Z</dcterms:created>
  <dcterms:modified xsi:type="dcterms:W3CDTF">2023-04-27T22:09:10Z</dcterms:modified>
</cp:coreProperties>
</file>