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3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4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5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6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7.xml" ContentType="application/vnd.openxmlformats-officedocument.drawing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8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9.xml" ContentType="application/vnd.openxmlformats-officedocument.drawing+xml"/>
  <Override PartName="/xl/charts/chart1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0.xml" ContentType="application/vnd.openxmlformats-officedocument.drawing+xml"/>
  <Override PartName="/xl/charts/chart1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1.xml" ContentType="application/vnd.openxmlformats-officedocument.drawing+xml"/>
  <Override PartName="/xl/charts/chart15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2.xml" ContentType="application/vnd.openxmlformats-officedocument.drawing+xml"/>
  <Override PartName="/xl/charts/chart16.xml" ContentType="application/vnd.openxmlformats-officedocument.drawingml.chart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rive.aexp.com/personal/nidhi_gupta16_aexp_com/Documents/Documents/Personal/Statistics+for+Data+Analysis/"/>
    </mc:Choice>
  </mc:AlternateContent>
  <xr:revisionPtr revIDLastSave="0" documentId="14_{F3173977-2B17-4096-958F-F5F33B11BD47}" xr6:coauthVersionLast="47" xr6:coauthVersionMax="47" xr10:uidLastSave="{00000000-0000-0000-0000-000000000000}"/>
  <bookViews>
    <workbookView xWindow="-110" yWindow="-110" windowWidth="19420" windowHeight="10420" activeTab="1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Variability!$B$6:$B$100</definedName>
    <definedName name="_xlchart.v1.11" hidden="1">Variability!$C$5</definedName>
    <definedName name="_xlchart.v1.12" hidden="1">Variability!$C$6:$C$100</definedName>
    <definedName name="_xlchart.v1.13" hidden="1">NORM.DIST!$B$6:$B$100</definedName>
    <definedName name="_xlchart.v1.2" hidden="1">'Box &amp; Whisker'!$B$5</definedName>
    <definedName name="_xlchart.v1.3" hidden="1">'Box &amp; Whisker'!$B$6:$B$100</definedName>
    <definedName name="_xlchart.v1.4" hidden="1">'Box &amp; Whisker'!$C$5</definedName>
    <definedName name="_xlchart.v1.5" hidden="1">'Box &amp; Whisker'!$C$6:$C$100</definedName>
    <definedName name="_xlchart.v1.6" hidden="1">'Box &amp; Whisker'!$B$5</definedName>
    <definedName name="_xlchart.v1.7" hidden="1">'Box &amp; Whisker'!$B$6:$B$100</definedName>
    <definedName name="_xlchart.v1.8" hidden="1">'Box &amp; Whisker'!$C$5</definedName>
    <definedName name="_xlchart.v1.9" hidden="1">'Box &amp; Whisker'!$C$6:$C$100</definedName>
  </definedNames>
  <calcPr calcId="191029"/>
  <pivotCaches>
    <pivotCache cacheId="0" r:id="rId61"/>
    <pivotCache cacheId="1" r:id="rId62"/>
    <pivotCache cacheId="2" r:id="rId63"/>
    <pivotCache cacheId="3" r:id="rId64"/>
    <pivotCache cacheId="4" r:id="rId6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68" l="1"/>
  <c r="O14" i="62" l="1"/>
  <c r="O9" i="62"/>
  <c r="O10" i="62" s="1"/>
  <c r="O12" i="62"/>
  <c r="O11" i="62"/>
  <c r="O7" i="62" a="1"/>
  <c r="O7" i="62" s="1"/>
  <c r="O6" i="62" a="1"/>
  <c r="O6" i="62" s="1"/>
  <c r="O8" i="62"/>
  <c r="O14" i="65"/>
  <c r="O13" i="65"/>
  <c r="O12" i="65"/>
  <c r="P10" i="63"/>
  <c r="O10" i="63"/>
  <c r="O9" i="63" a="1"/>
  <c r="O9" i="63" s="1"/>
  <c r="P8" i="61"/>
  <c r="O7" i="61" a="1"/>
  <c r="O7" i="61" s="1"/>
  <c r="O6" i="61" a="1"/>
  <c r="O6" i="61" s="1"/>
  <c r="O8" i="61"/>
  <c r="K7" i="59"/>
  <c r="Q7" i="59"/>
  <c r="N7" i="59"/>
  <c r="N6" i="59"/>
  <c r="J7" i="59"/>
  <c r="L7" i="58"/>
  <c r="M7" i="58"/>
  <c r="I7" i="58"/>
  <c r="I6" i="58"/>
  <c r="L7" i="56"/>
  <c r="K7" i="56"/>
  <c r="J7" i="56"/>
  <c r="I7" i="56"/>
  <c r="F6" i="55"/>
  <c r="U7" i="53"/>
  <c r="U9" i="53"/>
  <c r="U8" i="53"/>
  <c r="G11" i="53"/>
  <c r="F11" i="53"/>
  <c r="U6" i="53" s="1"/>
  <c r="J6" i="53"/>
  <c r="G10" i="53" a="1"/>
  <c r="G10" i="53" s="1"/>
  <c r="F10" i="53" a="1"/>
  <c r="F10" i="53" s="1"/>
  <c r="G9" i="53"/>
  <c r="F9" i="53"/>
  <c r="G8" i="53"/>
  <c r="F8" i="53"/>
  <c r="G7" i="53"/>
  <c r="F7" i="53"/>
  <c r="S7" i="52"/>
  <c r="S6" i="52"/>
  <c r="S8" i="52"/>
  <c r="P8" i="52"/>
  <c r="P7" i="52"/>
  <c r="P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6" i="52"/>
  <c r="P8" i="51"/>
  <c r="P7" i="51"/>
  <c r="P6" i="51"/>
  <c r="J6" i="51"/>
  <c r="E8" i="51"/>
  <c r="E7" i="51"/>
  <c r="E6" i="51"/>
  <c r="Q7" i="49"/>
  <c r="Q8" i="49" s="1"/>
  <c r="Q6" i="49"/>
  <c r="N8" i="49" a="1"/>
  <c r="N8" i="49" s="1"/>
  <c r="N7" i="49"/>
  <c r="N6" i="49"/>
  <c r="P8" i="48"/>
  <c r="P7" i="48"/>
  <c r="P6" i="48"/>
  <c r="M8" i="48"/>
  <c r="M7" i="48"/>
  <c r="M6" i="48"/>
  <c r="P8" i="47"/>
  <c r="P7" i="46"/>
  <c r="P6" i="46"/>
  <c r="M8" i="46"/>
  <c r="M7" i="46"/>
  <c r="M6" i="46"/>
  <c r="J6" i="45"/>
  <c r="M11" i="42" a="1"/>
  <c r="M11" i="42" s="1"/>
  <c r="M12" i="42" s="1"/>
  <c r="M10" i="42"/>
  <c r="M9" i="42"/>
  <c r="M8" i="42"/>
  <c r="M7" i="42"/>
  <c r="J6" i="42"/>
  <c r="G11" i="42"/>
  <c r="F11" i="42"/>
  <c r="G10" i="42" a="1"/>
  <c r="G10" i="42" s="1"/>
  <c r="F10" i="42" a="1"/>
  <c r="F10" i="42" s="1"/>
  <c r="G9" i="42"/>
  <c r="F9" i="42"/>
  <c r="F8" i="42"/>
  <c r="G7" i="42"/>
  <c r="G8" i="42" s="1"/>
  <c r="F7" i="42"/>
  <c r="Q6" i="41"/>
  <c r="N11" i="41"/>
  <c r="N10" i="41"/>
  <c r="N9" i="41"/>
  <c r="N8" i="41"/>
  <c r="N7" i="41"/>
  <c r="K6" i="41"/>
  <c r="H11" i="41"/>
  <c r="G11" i="41"/>
  <c r="H10" i="41"/>
  <c r="G10" i="41"/>
  <c r="H9" i="41"/>
  <c r="G9" i="41"/>
  <c r="H8" i="41"/>
  <c r="G8" i="41"/>
  <c r="H7" i="41"/>
  <c r="G7" i="41"/>
  <c r="N7" i="40"/>
  <c r="N6" i="40"/>
  <c r="K8" i="40"/>
  <c r="K7" i="40"/>
  <c r="H8" i="40"/>
  <c r="H7" i="40"/>
  <c r="H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K10" i="39"/>
  <c r="K8" i="39"/>
  <c r="K9" i="39" s="1"/>
  <c r="K11" i="39" s="1"/>
  <c r="K7" i="39"/>
  <c r="H8" i="39"/>
  <c r="H7" i="39"/>
  <c r="H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K7" i="38"/>
  <c r="K6" i="38"/>
  <c r="H7" i="38"/>
  <c r="H8" i="38" s="1"/>
  <c r="H9" i="38" s="1"/>
  <c r="H11" i="38" s="1"/>
  <c r="H10" i="38"/>
  <c r="E8" i="38"/>
  <c r="E7" i="38"/>
  <c r="E6" i="38"/>
  <c r="K7" i="37"/>
  <c r="K6" i="37"/>
  <c r="H9" i="37"/>
  <c r="H11" i="37"/>
  <c r="H10" i="37"/>
  <c r="H8" i="37"/>
  <c r="H7" i="37"/>
  <c r="E8" i="37"/>
  <c r="E7" i="37"/>
  <c r="E6" i="37"/>
  <c r="H11" i="36"/>
  <c r="H9" i="36"/>
  <c r="H10" i="36" s="1"/>
  <c r="H12" i="36" s="1"/>
  <c r="H7" i="36"/>
  <c r="H8" i="36" s="1"/>
  <c r="E8" i="36"/>
  <c r="E7" i="36"/>
  <c r="E6" i="36"/>
  <c r="I11" i="35"/>
  <c r="E8" i="35"/>
  <c r="E7" i="35"/>
  <c r="K7" i="35"/>
  <c r="K6" i="35"/>
  <c r="H11" i="35"/>
  <c r="H10" i="35"/>
  <c r="H9" i="35"/>
  <c r="H8" i="35"/>
  <c r="H7" i="35"/>
  <c r="M5" i="35"/>
  <c r="M4" i="35"/>
  <c r="M3" i="35"/>
  <c r="H7" i="34"/>
  <c r="H8" i="34" s="1"/>
  <c r="E7" i="34"/>
  <c r="E6" i="34"/>
  <c r="I11" i="33"/>
  <c r="K7" i="33"/>
  <c r="K6" i="33"/>
  <c r="H11" i="33"/>
  <c r="H10" i="33"/>
  <c r="H9" i="33"/>
  <c r="H8" i="33"/>
  <c r="H7" i="33"/>
  <c r="E7" i="33"/>
  <c r="E6" i="33"/>
  <c r="H8" i="32"/>
  <c r="H7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L10" i="25"/>
  <c r="M10" i="25"/>
  <c r="K10" i="25"/>
  <c r="L8" i="25"/>
  <c r="M8" i="25"/>
  <c r="K8" i="25"/>
  <c r="L7" i="25"/>
  <c r="M7" i="25"/>
  <c r="K7" i="25"/>
  <c r="H7" i="25"/>
  <c r="H6" i="25"/>
  <c r="E7" i="25"/>
  <c r="E6" i="25"/>
  <c r="I10" i="23"/>
  <c r="J10" i="23"/>
  <c r="H10" i="23"/>
  <c r="H7" i="23"/>
  <c r="I8" i="23"/>
  <c r="J8" i="23"/>
  <c r="H8" i="23"/>
  <c r="I7" i="23"/>
  <c r="J7" i="23"/>
  <c r="J8" i="22"/>
  <c r="I7" i="22"/>
  <c r="I8" i="22" s="1"/>
  <c r="K7" i="21"/>
  <c r="K6" i="21"/>
  <c r="H7" i="21"/>
  <c r="H6" i="21"/>
  <c r="F7" i="19"/>
  <c r="G9" i="20"/>
  <c r="F9" i="20"/>
  <c r="G8" i="20"/>
  <c r="F8" i="20"/>
  <c r="G7" i="20"/>
  <c r="F7" i="20"/>
  <c r="G9" i="19" a="1"/>
  <c r="G9" i="19" s="1"/>
  <c r="F9" i="19" a="1"/>
  <c r="F9" i="19" s="1"/>
  <c r="F8" i="19" a="1"/>
  <c r="F8" i="19" s="1"/>
  <c r="G7" i="19"/>
  <c r="G10" i="19" a="1"/>
  <c r="G10" i="19" s="1"/>
  <c r="F10" i="19" a="1"/>
  <c r="F10" i="19" s="1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G12" i="16"/>
  <c r="G11" i="16"/>
  <c r="G10" i="16"/>
  <c r="G9" i="16"/>
  <c r="G8" i="16"/>
  <c r="F8" i="16"/>
  <c r="F9" i="16"/>
  <c r="F10" i="16"/>
  <c r="F12" i="16" s="1"/>
  <c r="F11" i="16"/>
  <c r="G7" i="16"/>
  <c r="F7" i="16"/>
  <c r="G9" i="15"/>
  <c r="F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N8" i="11" a="1"/>
  <c r="N8" i="11" s="1"/>
  <c r="M8" i="11" a="1"/>
  <c r="M8" i="11" s="1"/>
  <c r="M7" i="11" a="1"/>
  <c r="M7" i="11" s="1"/>
  <c r="J9" i="11" a="1"/>
  <c r="J9" i="11" s="1"/>
  <c r="I9" i="11" a="1"/>
  <c r="I9" i="11" s="1"/>
  <c r="J8" i="11" a="1"/>
  <c r="J8" i="11" s="1"/>
  <c r="I8" i="11" a="1"/>
  <c r="I8" i="11" s="1"/>
  <c r="J7" i="11"/>
  <c r="I7" i="11"/>
  <c r="F8" i="11"/>
  <c r="F7" i="11"/>
  <c r="F6" i="11"/>
  <c r="J6" i="5" a="1"/>
  <c r="J6" i="5" s="1"/>
  <c r="J7" i="4"/>
  <c r="M6" i="4"/>
  <c r="M7" i="4"/>
  <c r="J6" i="4"/>
  <c r="L6" i="4" a="1"/>
  <c r="L6" i="4" s="1"/>
  <c r="I7" i="4"/>
  <c r="I6" i="4"/>
  <c r="E6" i="13"/>
  <c r="E7" i="13"/>
  <c r="O13" i="62" l="1"/>
  <c r="P7" i="42"/>
  <c r="P6" i="42"/>
  <c r="N12" i="41"/>
  <c r="Q7" i="41" s="1"/>
  <c r="N6" i="39"/>
  <c r="N7" i="39"/>
  <c r="K6" i="36"/>
  <c r="K7" i="36"/>
  <c r="K6" i="34"/>
  <c r="K7" i="34"/>
  <c r="N7" i="4"/>
  <c r="N6" i="4"/>
  <c r="L10" i="66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<sst xmlns="http://schemas.openxmlformats.org/spreadsheetml/2006/main" count="2425" uniqueCount="416">
  <si>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</si>
  <si>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</si>
  <si>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</si>
  <si>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</si>
  <si>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</si>
  <si>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</si>
  <si>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</si>
  <si>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</si>
  <si>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</si>
  <si>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</si>
  <si>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</si>
  <si>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</si>
  <si>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</si>
  <si>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</si>
  <si>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</si>
  <si>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</si>
  <si>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</si>
  <si>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</si>
  <si>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</si>
  <si>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</si>
  <si>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</si>
  <si>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</si>
  <si>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</si>
  <si>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</si>
  <si>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</si>
  <si>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</si>
  <si>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</si>
  <si>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</si>
  <si>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</si>
  <si>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</si>
  <si>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</si>
  <si>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</si>
  <si>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</si>
  <si>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</si>
  <si>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</si>
  <si>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</si>
  <si>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</si>
  <si>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</si>
  <si>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</si>
  <si>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</si>
  <si>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</si>
  <si>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</si>
  <si>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</si>
  <si>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</si>
  <si>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</si>
  <si>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</si>
  <si>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</si>
  <si>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</si>
  <si>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</si>
  <si>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</si>
  <si>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</si>
  <si>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</si>
  <si>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</si>
  <si>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</si>
  <si>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</si>
  <si>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</si>
  <si>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</si>
  <si>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</si>
  <si>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</si>
  <si>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</si>
  <si>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</si>
  <si>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</si>
  <si>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</si>
  <si>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</si>
  <si>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</si>
  <si>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</si>
  <si>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</si>
  <si>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</si>
  <si>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</si>
  <si>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</si>
  <si>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</si>
  <si>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</si>
  <si>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</si>
  <si>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</si>
  <si>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</si>
  <si>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</si>
  <si>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</si>
  <si>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</si>
  <si>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</si>
  <si>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</si>
  <si>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</si>
  <si>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</si>
  <si>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</si>
  <si>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</si>
  <si>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</si>
  <si>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</si>
  <si>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</si>
  <si>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</si>
  <si>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</si>
  <si>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</si>
  <si>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</si>
  <si>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</si>
  <si>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</si>
  <si>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</si>
  <si>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</si>
  <si>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</si>
  <si>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</si>
  <si>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</si>
  <si>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</si>
  <si>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</si>
  <si>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</si>
  <si>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</si>
  <si>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</si>
  <si>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</si>
  <si>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</si>
  <si>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</si>
  <si>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</si>
  <si>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</si>
  <si>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</si>
  <si>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</si>
  <si>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</si>
  <si>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</si>
  <si>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</si>
  <si>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</si>
  <si>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</si>
  <si>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</si>
  <si>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</si>
  <si>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</si>
  <si>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</si>
  <si>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</si>
  <si>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</si>
  <si>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</si>
  <si>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</si>
  <si>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</si>
  <si>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</si>
  <si>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</si>
  <si>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</si>
  <si>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</si>
  <si>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</si>
  <si>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</si>
  <si>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</si>
  <si>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</si>
  <si>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</si>
  <si>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</si>
  <si>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</si>
  <si>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</si>
  <si>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</si>
  <si>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</si>
  <si>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</si>
  <si>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</si>
  <si>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</si>
  <si>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</si>
  <si>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</si>
  <si>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</si>
  <si>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</si>
  <si>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</si>
  <si>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</si>
  <si>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</si>
  <si>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</si>
  <si>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</si>
  <si>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</si>
  <si>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</si>
  <si>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</si>
  <si>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</si>
  <si>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</si>
  <si>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</si>
  <si>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</si>
  <si>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</si>
  <si>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</si>
  <si>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</si>
  <si>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</si>
  <si>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</si>
  <si>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</si>
  <si>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</si>
  <si>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</si>
  <si>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</si>
  <si>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</si>
  <si>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</si>
  <si>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</si>
  <si>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</si>
  <si>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</si>
  <si>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</si>
  <si>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</si>
  <si>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</si>
  <si>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</si>
  <si>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</si>
  <si>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</si>
  <si>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</si>
  <si>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</si>
  <si>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</si>
  <si>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</si>
  <si>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</si>
  <si>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</si>
  <si>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</si>
  <si>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</si>
  <si>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</si>
  <si>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</si>
  <si>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</si>
  <si>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</si>
  <si>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</si>
  <si>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</si>
  <si>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</si>
  <si>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</si>
  <si>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</si>
  <si>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</si>
  <si>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</si>
  <si>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</si>
  <si>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</si>
  <si>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</si>
  <si>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</si>
  <si>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</si>
  <si>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</si>
  <si>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</si>
  <si>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</si>
  <si>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</si>
  <si>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</si>
  <si>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</si>
  <si>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</si>
  <si>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</si>
  <si>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</si>
  <si>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</si>
  <si>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</si>
  <si>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</si>
  <si>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</si>
  <si>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</si>
  <si>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</si>
  <si>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</si>
  <si>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</si>
  <si>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</si>
  <si>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</si>
  <si>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</si>
  <si>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</si>
  <si>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</si>
  <si>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</si>
  <si>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</si>
  <si>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</si>
  <si>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</si>
  <si>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</si>
  <si>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</si>
  <si>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</si>
  <si>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</si>
  <si>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</si>
  <si>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</si>
  <si>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</si>
  <si>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</si>
  <si>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</si>
  <si>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</si>
  <si>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</si>
  <si>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</si>
  <si>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</si>
  <si>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</si>
  <si>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</si>
  <si>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</si>
  <si>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</si>
  <si>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</si>
  <si>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</si>
  <si>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</si>
  <si>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</si>
  <si>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</si>
  <si>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</si>
  <si>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</si>
  <si>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</si>
  <si>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</si>
  <si>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</si>
  <si>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</si>
  <si>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</si>
  <si>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</si>
  <si>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</si>
  <si>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</si>
  <si>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</si>
  <si>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</si>
  <si>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</si>
  <si>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</si>
  <si>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</si>
  <si>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</si>
  <si>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</si>
  <si>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</si>
  <si>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</si>
  <si>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</si>
  <si>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</si>
  <si>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</si>
  <si>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</si>
  <si>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</si>
  <si>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</si>
  <si>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</si>
  <si>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</si>
  <si>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</si>
  <si>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</si>
  <si>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</si>
  <si>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</si>
  <si>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</si>
  <si>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</si>
  <si>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</si>
  <si>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</si>
  <si>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</si>
  <si>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</si>
  <si>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</si>
  <si>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</si>
  <si>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</si>
  <si>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</si>
  <si>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</si>
  <si>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</si>
  <si>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</si>
  <si>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</si>
  <si>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</si>
  <si>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</si>
  <si>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</si>
  <si>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</si>
  <si>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</si>
  <si>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</si>
  <si>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</si>
  <si>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</si>
  <si>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</si>
  <si>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</si>
  <si>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</si>
  <si>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</si>
  <si>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</si>
  <si>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</si>
  <si>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</si>
  <si>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</si>
  <si>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</si>
  <si>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</si>
  <si>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</si>
  <si>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</si>
  <si>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</si>
  <si>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</si>
  <si>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</si>
  <si>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</si>
  <si>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Row Labels</t>
  </si>
  <si>
    <t>Count of Status</t>
  </si>
  <si>
    <t>Count of Annual Salary (Thousands of USD)</t>
  </si>
  <si>
    <t>70-90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</si>
  <si>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</si>
  <si>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</si>
  <si>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</si>
  <si>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</si>
  <si>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</si>
  <si>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</si>
  <si>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</si>
  <si>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</si>
  <si>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(Non-Grouped data)</t>
  </si>
  <si>
    <t>(tradiional histo doesn't let you change the bins of data)</t>
  </si>
  <si>
    <t>(default is min and max of data)</t>
  </si>
  <si>
    <t>(grouped data)</t>
  </si>
  <si>
    <t>(bins auto-defined by us)</t>
  </si>
  <si>
    <t>Count of MBA Grade</t>
  </si>
  <si>
    <t xml:space="preserve">Final Grades Average is 80-85 since the frequency is highest in that bin. </t>
  </si>
  <si>
    <t xml:space="preserve">Positviely skewed by 2 which means more salary outliners on higher side. </t>
  </si>
  <si>
    <t xml:space="preserve">Negatively skewed </t>
  </si>
  <si>
    <t>Positively skewed</t>
  </si>
  <si>
    <t xml:space="preserve">MBA Grads and other grads both center around average but </t>
  </si>
  <si>
    <t>MBA Grads seems to tail off toward low scored and other on right</t>
  </si>
  <si>
    <t xml:space="preserve">On average, improvement  is varied by almost 30 std around mean of 49 </t>
  </si>
  <si>
    <t>We can have a score of 80 which would vary by 30 but we can't have a score of 200 because the avg variability is 30 and here data is variated by 150</t>
  </si>
  <si>
    <t>on first look, std dev of Employability looks on higher side, however, on further look, we can see that employabity has variabilty of only 30% than 7% of MBA Grade</t>
  </si>
  <si>
    <t xml:space="preserve">Mean = Median </t>
  </si>
  <si>
    <t>75500-85499</t>
  </si>
  <si>
    <t>85500-95499</t>
  </si>
  <si>
    <t>95500-105499</t>
  </si>
  <si>
    <t>105500-115499</t>
  </si>
  <si>
    <t>115500-125499</t>
  </si>
  <si>
    <t>125500-135499</t>
  </si>
  <si>
    <t>135500-145499</t>
  </si>
  <si>
    <t>145500-155499</t>
  </si>
  <si>
    <t>155500-165499</t>
  </si>
  <si>
    <t>165500-175499</t>
  </si>
  <si>
    <t>175500-185499</t>
  </si>
  <si>
    <t>205500-215499</t>
  </si>
  <si>
    <t>255500-265499</t>
  </si>
  <si>
    <t>335500-345499</t>
  </si>
  <si>
    <t>Count of Annual Salary</t>
  </si>
  <si>
    <t>To check if your data is normally distributed, first make a historgram</t>
  </si>
  <si>
    <t>1. Make a curve</t>
  </si>
  <si>
    <t xml:space="preserve">2. Median and Mean </t>
  </si>
  <si>
    <t>3. Empirical rule follows or not</t>
  </si>
  <si>
    <t>4.97% probablity of grade being 70 or lower</t>
  </si>
  <si>
    <t>Sample size</t>
  </si>
  <si>
    <t>Critical value</t>
  </si>
  <si>
    <t>Standard error</t>
  </si>
  <si>
    <t>Margin of error</t>
  </si>
  <si>
    <t>alpha/2</t>
  </si>
  <si>
    <t>µ</t>
  </si>
  <si>
    <t xml:space="preserve">Null hypothesis that yes their avergae will achieve 300 </t>
  </si>
  <si>
    <t>Alternative hypothesis that No they will not achieve 300</t>
  </si>
  <si>
    <t>(most comfortable decision)</t>
  </si>
  <si>
    <t>Test significance is -1.11 which means sample mean is -1.11 standrad deviations away to the left of hypothesised mean</t>
  </si>
  <si>
    <t>0.132 of sample actually supporting the population</t>
  </si>
  <si>
    <r>
      <t xml:space="preserve">Since p &gt; </t>
    </r>
    <r>
      <rPr>
        <sz val="11"/>
        <color theme="1"/>
        <rFont val="Calibri"/>
        <family val="2"/>
      </rPr>
      <t>α, we don’t have enough evidence to prove that the average employability score are any different 300 
…
W</t>
    </r>
    <r>
      <rPr>
        <sz val="11"/>
        <color theme="1"/>
        <rFont val="Calibri"/>
        <family val="2"/>
        <scheme val="minor"/>
      </rPr>
      <t>e can keep stating that the average emloyability score is 300, keeping in mind we can be 10% wrong!</t>
    </r>
  </si>
  <si>
    <r>
      <t xml:space="preserve">Since p &gt; </t>
    </r>
    <r>
      <rPr>
        <sz val="11"/>
        <color theme="1"/>
        <rFont val="Calibri"/>
        <family val="2"/>
      </rPr>
      <t>α, it doesn't have enough evidence that real MBA grade has the averge of 80 even though we can be 20% wrong!</t>
    </r>
  </si>
  <si>
    <r>
      <t xml:space="preserve">Since p-value &lt; </t>
    </r>
    <r>
      <rPr>
        <sz val="11"/>
        <color theme="1"/>
        <rFont val="Calibri"/>
        <family val="2"/>
      </rPr>
      <t xml:space="preserve">α, we can reject the Null hypothesis, that is there are higher than 300 for placed graduates. </t>
    </r>
  </si>
  <si>
    <r>
      <t xml:space="preserve">Since p-value &lt; </t>
    </r>
    <r>
      <rPr>
        <sz val="11"/>
        <color theme="1"/>
        <rFont val="Calibri"/>
        <family val="2"/>
      </rPr>
      <t xml:space="preserve">α, so we have sufficent evidence that the proportion sof plaved graduates is &gt;50%. 
…
</t>
    </r>
    <r>
      <rPr>
        <sz val="11"/>
        <color theme="1"/>
        <rFont val="Calibri"/>
        <family val="2"/>
        <scheme val="minor"/>
      </rPr>
      <t>Just make sure we mention that we used 5% of level of significance in fine print</t>
    </r>
  </si>
  <si>
    <t>Are we ok with assuming that student's employability scores are improving by an average of atleast 50 points after the MBA program?</t>
  </si>
  <si>
    <r>
      <t>Since p &gt;</t>
    </r>
    <r>
      <rPr>
        <sz val="11"/>
        <color theme="1"/>
        <rFont val="Calibri"/>
        <family val="2"/>
      </rPr>
      <t xml:space="preserve">α, we don't have enough evidence to reject the Null hypothesis that average employability score is less than 50 </t>
    </r>
  </si>
  <si>
    <r>
      <t>Since p&gt;</t>
    </r>
    <r>
      <rPr>
        <sz val="11"/>
        <color theme="1"/>
        <rFont val="Calibri"/>
        <family val="2"/>
      </rPr>
      <t>α</t>
    </r>
    <r>
      <rPr>
        <sz val="7.7"/>
        <color theme="1"/>
        <rFont val="Calibri"/>
        <family val="2"/>
      </rPr>
      <t xml:space="preserve">, we don't have sufficent evidence to reject the null hypothesis that thegraduates with previous work ex earn more money. </t>
    </r>
  </si>
  <si>
    <t>No correlation (close to 0)</t>
  </si>
  <si>
    <t>(-1 to 1)</t>
  </si>
  <si>
    <t>Slope is 1.03 which defines very close relationship b/w X and Y, intercept is 41.63 which means we start at 41.63 irrespective of Y</t>
  </si>
  <si>
    <t xml:space="preserve">Since p&lt;α, we can say we have enough evidence to prove that our regression model isn't useless and can predict the relationship by 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</si>
  <si>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</si>
  <si>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</si>
  <si>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</si>
  <si>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</si>
  <si>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</si>
  <si>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</si>
  <si>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</si>
  <si>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</si>
  <si>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</si>
  <si>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</si>
  <si>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</si>
  <si>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</si>
  <si>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</si>
  <si>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</si>
  <si>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</si>
  <si>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</si>
  <si>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</si>
  <si>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</si>
  <si>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</si>
  <si>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</si>
  <si>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</si>
  <si>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</si>
  <si>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</si>
  <si>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</si>
  <si>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</si>
  <si>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276</t>
  </si>
  <si>
    <t>Residuals</t>
  </si>
  <si>
    <t>Predicted Employability (After)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</si>
</sst>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color rgb="FF1D1C1D"/>
      <name val="Arial"/>
      <family val="2"/>
    </font>
    <font>
      <sz val="7.7"/>
      <color theme="1"/>
      <name val="Calibri"/>
      <family val="2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5" fillId="0" borderId="0" xfId="0" applyFont="1" applyFill="1" applyBorder="1" applyAlignment="1">
      <alignment horizontal="right"/>
    </xf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6" fontId="0" fillId="0" borderId="0" xfId="0" applyNumberFormat="1" applyAlignment="1">
      <alignment horizontal="left"/>
    </xf>
    <xf numFmtId="166" fontId="0" fillId="0" borderId="0" xfId="0" applyNumberFormat="1"/>
    <xf numFmtId="0" fontId="18" fillId="0" borderId="0" xfId="0" applyFont="1"/>
    <xf numFmtId="1" fontId="0" fillId="0" borderId="0" xfId="0" applyNumberFormat="1"/>
    <xf numFmtId="170" fontId="0" fillId="0" borderId="2" xfId="1" applyNumberFormat="1" applyFon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0" fillId="0" borderId="0" xfId="0" applyFont="1"/>
    <xf numFmtId="0" fontId="0" fillId="0" borderId="0" xfId="0" applyFill="1" applyBorder="1" applyAlignment="1"/>
    <xf numFmtId="0" fontId="0" fillId="0" borderId="11" xfId="0" applyFill="1" applyBorder="1" applyAlignment="1"/>
    <xf numFmtId="0" fontId="5" fillId="0" borderId="12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Continuous"/>
    </xf>
    <xf numFmtId="0" fontId="2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00"/>
      <color rgb="FFF8696B"/>
      <color rgb="FF548235"/>
      <color rgb="FFEFE5F7"/>
      <color rgb="FFE2D0F0"/>
      <color rgb="FF63BE7B"/>
      <color rgb="FF8037B7"/>
      <color rgb="FFE8D9F3"/>
      <color rgb="FFE4D3F1"/>
      <color rgb="FFE9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pivotCacheDefinition" Target="pivotCache/pivotCacheDefinition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7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for MBA Graduates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6-44F7-9BFF-A8ECB0778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37"/>
        <c:axId val="620124616"/>
        <c:axId val="620124944"/>
      </c:barChart>
      <c:catAx>
        <c:axId val="620124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 Width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24944"/>
        <c:crosses val="autoZero"/>
        <c:auto val="1"/>
        <c:lblAlgn val="ctr"/>
        <c:lblOffset val="100"/>
        <c:noMultiLvlLbl val="0"/>
      </c:catAx>
      <c:valAx>
        <c:axId val="62012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3473024205307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24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[Excel_Statistics.xlsx]Frequency Distributions!PivotTable5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Final</a:t>
            </a:r>
            <a:r>
              <a:rPr lang="en-US" baseline="0"/>
              <a:t> Grade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Distributions'!$E$5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'Frequency Distributions'!$D$6:$D$14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'Frequency Distributions'!$E$6:$E$14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1-4A53-845E-54075F9293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952494736"/>
        <c:axId val="952495064"/>
      </c:barChart>
      <c:catAx>
        <c:axId val="95249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MBA</a:t>
                </a:r>
                <a:r>
                  <a:rPr lang="en-US" baseline="0"/>
                  <a:t> Grades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495064"/>
        <c:crosses val="autoZero"/>
        <c:auto val="1"/>
        <c:lblAlgn val="ctr"/>
        <c:lblOffset val="100"/>
        <c:noMultiLvlLbl val="0"/>
      </c:catAx>
      <c:valAx>
        <c:axId val="952495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49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Distributions!PivotTable17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Distributions'!$F$14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'Normal Distributions'!$E$15:$E$29</c:f>
              <c:strCache>
                <c:ptCount val="14"/>
                <c:pt idx="0">
                  <c:v>75500-85499</c:v>
                </c:pt>
                <c:pt idx="1">
                  <c:v>85500-95499</c:v>
                </c:pt>
                <c:pt idx="2">
                  <c:v>95500-105499</c:v>
                </c:pt>
                <c:pt idx="3">
                  <c:v>105500-115499</c:v>
                </c:pt>
                <c:pt idx="4">
                  <c:v>115500-125499</c:v>
                </c:pt>
                <c:pt idx="5">
                  <c:v>125500-135499</c:v>
                </c:pt>
                <c:pt idx="6">
                  <c:v>135500-145499</c:v>
                </c:pt>
                <c:pt idx="7">
                  <c:v>145500-155499</c:v>
                </c:pt>
                <c:pt idx="8">
                  <c:v>155500-165499</c:v>
                </c:pt>
                <c:pt idx="9">
                  <c:v>165500-175499</c:v>
                </c:pt>
                <c:pt idx="10">
                  <c:v>175500-185499</c:v>
                </c:pt>
                <c:pt idx="11">
                  <c:v>205500-215499</c:v>
                </c:pt>
                <c:pt idx="12">
                  <c:v>255500-265499</c:v>
                </c:pt>
                <c:pt idx="13">
                  <c:v>335500-345499</c:v>
                </c:pt>
              </c:strCache>
            </c:strRef>
          </c:cat>
          <c:val>
            <c:numRef>
              <c:f>'Normal Distributions'!$F$15:$F$29</c:f>
              <c:numCache>
                <c:formatCode>General</c:formatCode>
                <c:ptCount val="14"/>
                <c:pt idx="0">
                  <c:v>7</c:v>
                </c:pt>
                <c:pt idx="1">
                  <c:v>5</c:v>
                </c:pt>
                <c:pt idx="2">
                  <c:v>15</c:v>
                </c:pt>
                <c:pt idx="3">
                  <c:v>9</c:v>
                </c:pt>
                <c:pt idx="4">
                  <c:v>6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D-4928-BE32-44B802953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1013616"/>
        <c:axId val="1661015584"/>
      </c:barChart>
      <c:catAx>
        <c:axId val="166101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15584"/>
        <c:crosses val="autoZero"/>
        <c:auto val="1"/>
        <c:lblAlgn val="ctr"/>
        <c:lblOffset val="100"/>
        <c:noMultiLvlLbl val="0"/>
      </c:catAx>
      <c:valAx>
        <c:axId val="16610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1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MBA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D1-467A-A5C3-E235B9DE0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306680"/>
        <c:axId val="1255301760"/>
      </c:area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D1-467A-A5C3-E235B9DE0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306680"/>
        <c:axId val="1255301760"/>
      </c:lineChart>
      <c:catAx>
        <c:axId val="1255306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301760"/>
        <c:crosses val="autoZero"/>
        <c:auto val="1"/>
        <c:lblAlgn val="ctr"/>
        <c:lblOffset val="100"/>
        <c:noMultiLvlLbl val="0"/>
      </c:catAx>
      <c:valAx>
        <c:axId val="12553017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55306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BB-43CB-9C81-1933E0E20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560816"/>
        <c:axId val="950556880"/>
      </c:scatterChart>
      <c:valAx>
        <c:axId val="950560816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Undergrad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556880"/>
        <c:crosses val="autoZero"/>
        <c:crossBetween val="midCat"/>
      </c:valAx>
      <c:valAx>
        <c:axId val="950556880"/>
        <c:scaling>
          <c:orientation val="minMax"/>
          <c:max val="100.01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56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Relationships'!$F$5</c:f>
              <c:strCache>
                <c:ptCount val="1"/>
                <c:pt idx="0">
                  <c:v>Annual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Relationships'!$C$6:$C$58</c:f>
              <c:numCache>
                <c:formatCode>General</c:formatCode>
                <c:ptCount val="53"/>
                <c:pt idx="0">
                  <c:v>90.2</c:v>
                </c:pt>
                <c:pt idx="1">
                  <c:v>68.7</c:v>
                </c:pt>
                <c:pt idx="2">
                  <c:v>83.3</c:v>
                </c:pt>
                <c:pt idx="3">
                  <c:v>88.7</c:v>
                </c:pt>
                <c:pt idx="4">
                  <c:v>75.400000000000006</c:v>
                </c:pt>
                <c:pt idx="5">
                  <c:v>82.1</c:v>
                </c:pt>
                <c:pt idx="6">
                  <c:v>66.900000000000006</c:v>
                </c:pt>
                <c:pt idx="7">
                  <c:v>76.8</c:v>
                </c:pt>
                <c:pt idx="8">
                  <c:v>72.3</c:v>
                </c:pt>
                <c:pt idx="9">
                  <c:v>72.400000000000006</c:v>
                </c:pt>
                <c:pt idx="10">
                  <c:v>81</c:v>
                </c:pt>
                <c:pt idx="11">
                  <c:v>77.8</c:v>
                </c:pt>
                <c:pt idx="12">
                  <c:v>79.099999999999994</c:v>
                </c:pt>
                <c:pt idx="13">
                  <c:v>77.8</c:v>
                </c:pt>
                <c:pt idx="14">
                  <c:v>75.099999999999994</c:v>
                </c:pt>
                <c:pt idx="15">
                  <c:v>70.8</c:v>
                </c:pt>
                <c:pt idx="16">
                  <c:v>79.599999999999994</c:v>
                </c:pt>
                <c:pt idx="17">
                  <c:v>85.9</c:v>
                </c:pt>
                <c:pt idx="18">
                  <c:v>82.3</c:v>
                </c:pt>
                <c:pt idx="19">
                  <c:v>79.2</c:v>
                </c:pt>
                <c:pt idx="20">
                  <c:v>83.4</c:v>
                </c:pt>
                <c:pt idx="21">
                  <c:v>85.2</c:v>
                </c:pt>
                <c:pt idx="22">
                  <c:v>80.2</c:v>
                </c:pt>
                <c:pt idx="23">
                  <c:v>87.2</c:v>
                </c:pt>
                <c:pt idx="24">
                  <c:v>73.5</c:v>
                </c:pt>
                <c:pt idx="25">
                  <c:v>74.599999999999994</c:v>
                </c:pt>
                <c:pt idx="26">
                  <c:v>75.099999999999994</c:v>
                </c:pt>
                <c:pt idx="27">
                  <c:v>74.900000000000006</c:v>
                </c:pt>
                <c:pt idx="28">
                  <c:v>84.6</c:v>
                </c:pt>
                <c:pt idx="29">
                  <c:v>81.7</c:v>
                </c:pt>
                <c:pt idx="30">
                  <c:v>81.400000000000006</c:v>
                </c:pt>
                <c:pt idx="31">
                  <c:v>83.8</c:v>
                </c:pt>
                <c:pt idx="32">
                  <c:v>88.5</c:v>
                </c:pt>
                <c:pt idx="33">
                  <c:v>84.9</c:v>
                </c:pt>
                <c:pt idx="34">
                  <c:v>84.3</c:v>
                </c:pt>
                <c:pt idx="35">
                  <c:v>78.2</c:v>
                </c:pt>
                <c:pt idx="36">
                  <c:v>74.8</c:v>
                </c:pt>
                <c:pt idx="37">
                  <c:v>78.5</c:v>
                </c:pt>
                <c:pt idx="38">
                  <c:v>82.7</c:v>
                </c:pt>
                <c:pt idx="39">
                  <c:v>84</c:v>
                </c:pt>
                <c:pt idx="40">
                  <c:v>78.2</c:v>
                </c:pt>
                <c:pt idx="41">
                  <c:v>79.7</c:v>
                </c:pt>
                <c:pt idx="42">
                  <c:v>78.5</c:v>
                </c:pt>
                <c:pt idx="43">
                  <c:v>72</c:v>
                </c:pt>
                <c:pt idx="44">
                  <c:v>80.7</c:v>
                </c:pt>
                <c:pt idx="45">
                  <c:v>87.4</c:v>
                </c:pt>
                <c:pt idx="46">
                  <c:v>77.400000000000006</c:v>
                </c:pt>
                <c:pt idx="47">
                  <c:v>84.7</c:v>
                </c:pt>
                <c:pt idx="48">
                  <c:v>78.8</c:v>
                </c:pt>
                <c:pt idx="49">
                  <c:v>88.8</c:v>
                </c:pt>
                <c:pt idx="50">
                  <c:v>77.900000000000006</c:v>
                </c:pt>
                <c:pt idx="51">
                  <c:v>86.1</c:v>
                </c:pt>
                <c:pt idx="52">
                  <c:v>83.1</c:v>
                </c:pt>
              </c:numCache>
            </c:numRef>
          </c:xVal>
          <c:yVal>
            <c:numRef>
              <c:f>'Linear Relationships'!$F$6:$F$58</c:f>
              <c:numCache>
                <c:formatCode>"$"#,##0_);[Red]\("$"#,##0\)</c:formatCode>
                <c:ptCount val="53"/>
                <c:pt idx="0">
                  <c:v>111000</c:v>
                </c:pt>
                <c:pt idx="1">
                  <c:v>107000</c:v>
                </c:pt>
                <c:pt idx="2">
                  <c:v>109000</c:v>
                </c:pt>
                <c:pt idx="3">
                  <c:v>148000</c:v>
                </c:pt>
                <c:pt idx="4">
                  <c:v>255500</c:v>
                </c:pt>
                <c:pt idx="5">
                  <c:v>103500</c:v>
                </c:pt>
                <c:pt idx="6">
                  <c:v>114500</c:v>
                </c:pt>
                <c:pt idx="7">
                  <c:v>124000</c:v>
                </c:pt>
                <c:pt idx="8">
                  <c:v>132500</c:v>
                </c:pt>
                <c:pt idx="9">
                  <c:v>99000</c:v>
                </c:pt>
                <c:pt idx="10">
                  <c:v>124000</c:v>
                </c:pt>
                <c:pt idx="11">
                  <c:v>82000</c:v>
                </c:pt>
                <c:pt idx="12">
                  <c:v>185000</c:v>
                </c:pt>
                <c:pt idx="13">
                  <c:v>89500</c:v>
                </c:pt>
                <c:pt idx="14">
                  <c:v>91500</c:v>
                </c:pt>
                <c:pt idx="15">
                  <c:v>113500</c:v>
                </c:pt>
                <c:pt idx="16">
                  <c:v>99000</c:v>
                </c:pt>
                <c:pt idx="17">
                  <c:v>75500</c:v>
                </c:pt>
                <c:pt idx="18">
                  <c:v>86000</c:v>
                </c:pt>
                <c:pt idx="19">
                  <c:v>156500</c:v>
                </c:pt>
                <c:pt idx="20">
                  <c:v>99500</c:v>
                </c:pt>
                <c:pt idx="21">
                  <c:v>148000</c:v>
                </c:pt>
                <c:pt idx="22">
                  <c:v>82000</c:v>
                </c:pt>
                <c:pt idx="23">
                  <c:v>103500</c:v>
                </c:pt>
                <c:pt idx="24">
                  <c:v>205500</c:v>
                </c:pt>
                <c:pt idx="25">
                  <c:v>103500</c:v>
                </c:pt>
                <c:pt idx="26">
                  <c:v>340000</c:v>
                </c:pt>
                <c:pt idx="27">
                  <c:v>103500</c:v>
                </c:pt>
                <c:pt idx="28">
                  <c:v>99500</c:v>
                </c:pt>
                <c:pt idx="29">
                  <c:v>103000</c:v>
                </c:pt>
                <c:pt idx="30">
                  <c:v>103500</c:v>
                </c:pt>
                <c:pt idx="31">
                  <c:v>165000</c:v>
                </c:pt>
                <c:pt idx="32">
                  <c:v>124500</c:v>
                </c:pt>
                <c:pt idx="33">
                  <c:v>103500</c:v>
                </c:pt>
                <c:pt idx="34">
                  <c:v>82500</c:v>
                </c:pt>
                <c:pt idx="35">
                  <c:v>93000</c:v>
                </c:pt>
                <c:pt idx="36">
                  <c:v>168000</c:v>
                </c:pt>
                <c:pt idx="37">
                  <c:v>96000</c:v>
                </c:pt>
                <c:pt idx="38">
                  <c:v>80000</c:v>
                </c:pt>
                <c:pt idx="39">
                  <c:v>124500</c:v>
                </c:pt>
                <c:pt idx="40">
                  <c:v>99000</c:v>
                </c:pt>
                <c:pt idx="41">
                  <c:v>124000</c:v>
                </c:pt>
                <c:pt idx="42">
                  <c:v>91500</c:v>
                </c:pt>
                <c:pt idx="43">
                  <c:v>144500</c:v>
                </c:pt>
                <c:pt idx="44">
                  <c:v>114500</c:v>
                </c:pt>
                <c:pt idx="45">
                  <c:v>104500</c:v>
                </c:pt>
                <c:pt idx="46">
                  <c:v>124000</c:v>
                </c:pt>
                <c:pt idx="47">
                  <c:v>113000</c:v>
                </c:pt>
                <c:pt idx="48">
                  <c:v>78000</c:v>
                </c:pt>
                <c:pt idx="49">
                  <c:v>109000</c:v>
                </c:pt>
                <c:pt idx="50">
                  <c:v>99500</c:v>
                </c:pt>
                <c:pt idx="51">
                  <c:v>107000</c:v>
                </c:pt>
                <c:pt idx="52">
                  <c:v>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4-4DB5-A202-794F05B6B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393080"/>
        <c:axId val="235396032"/>
      </c:scatterChart>
      <c:valAx>
        <c:axId val="235393080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MBA Grad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96032"/>
        <c:crosses val="autoZero"/>
        <c:crossBetween val="midCat"/>
      </c:valAx>
      <c:valAx>
        <c:axId val="23539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8523512685914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9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528671102900292"/>
                  <c:y val="0.473253588516746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 Model'!$G$5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'Linear Regression Model'!$B$6:$B$100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'Linear Regression Model'!$G$6:$G$100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ED-410E-B75E-7E0381165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963408"/>
        <c:axId val="949968984"/>
      </c:scatterChart>
      <c:valAx>
        <c:axId val="949963408"/>
        <c:scaling>
          <c:orientation val="minMax"/>
          <c:min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UnderGrad Degree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68984"/>
        <c:crosses val="autoZero"/>
        <c:crossBetween val="midCat"/>
      </c:valAx>
      <c:valAx>
        <c:axId val="949968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Employability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6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252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'Analysis ToolPak'!$B$7:$B$100</c:f>
              <c:numCache>
                <c:formatCode>General</c:formatCode>
                <c:ptCount val="94"/>
                <c:pt idx="0">
                  <c:v>423</c:v>
                </c:pt>
                <c:pt idx="1">
                  <c:v>101</c:v>
                </c:pt>
                <c:pt idx="2">
                  <c:v>288</c:v>
                </c:pt>
                <c:pt idx="3">
                  <c:v>248</c:v>
                </c:pt>
                <c:pt idx="4">
                  <c:v>145</c:v>
                </c:pt>
                <c:pt idx="5">
                  <c:v>401</c:v>
                </c:pt>
                <c:pt idx="6">
                  <c:v>287</c:v>
                </c:pt>
                <c:pt idx="7">
                  <c:v>275</c:v>
                </c:pt>
                <c:pt idx="8">
                  <c:v>254</c:v>
                </c:pt>
                <c:pt idx="9">
                  <c:v>182</c:v>
                </c:pt>
                <c:pt idx="10">
                  <c:v>117</c:v>
                </c:pt>
                <c:pt idx="11">
                  <c:v>130</c:v>
                </c:pt>
                <c:pt idx="12">
                  <c:v>219</c:v>
                </c:pt>
                <c:pt idx="13">
                  <c:v>152</c:v>
                </c:pt>
                <c:pt idx="14">
                  <c:v>228</c:v>
                </c:pt>
                <c:pt idx="15">
                  <c:v>62</c:v>
                </c:pt>
                <c:pt idx="16">
                  <c:v>393</c:v>
                </c:pt>
                <c:pt idx="17">
                  <c:v>277</c:v>
                </c:pt>
                <c:pt idx="18">
                  <c:v>206</c:v>
                </c:pt>
                <c:pt idx="19">
                  <c:v>229</c:v>
                </c:pt>
                <c:pt idx="20">
                  <c:v>182</c:v>
                </c:pt>
                <c:pt idx="21">
                  <c:v>98</c:v>
                </c:pt>
                <c:pt idx="22">
                  <c:v>125</c:v>
                </c:pt>
                <c:pt idx="23">
                  <c:v>164</c:v>
                </c:pt>
                <c:pt idx="24">
                  <c:v>186</c:v>
                </c:pt>
                <c:pt idx="25">
                  <c:v>235</c:v>
                </c:pt>
                <c:pt idx="26">
                  <c:v>184</c:v>
                </c:pt>
                <c:pt idx="27">
                  <c:v>76</c:v>
                </c:pt>
                <c:pt idx="28">
                  <c:v>126</c:v>
                </c:pt>
                <c:pt idx="29">
                  <c:v>183</c:v>
                </c:pt>
                <c:pt idx="30">
                  <c:v>242</c:v>
                </c:pt>
                <c:pt idx="31">
                  <c:v>207</c:v>
                </c:pt>
                <c:pt idx="32">
                  <c:v>181</c:v>
                </c:pt>
                <c:pt idx="33">
                  <c:v>239</c:v>
                </c:pt>
                <c:pt idx="34">
                  <c:v>216</c:v>
                </c:pt>
                <c:pt idx="35">
                  <c:v>289</c:v>
                </c:pt>
                <c:pt idx="36">
                  <c:v>213</c:v>
                </c:pt>
                <c:pt idx="37">
                  <c:v>209</c:v>
                </c:pt>
                <c:pt idx="38">
                  <c:v>376</c:v>
                </c:pt>
                <c:pt idx="39">
                  <c:v>332</c:v>
                </c:pt>
                <c:pt idx="40">
                  <c:v>249</c:v>
                </c:pt>
                <c:pt idx="41">
                  <c:v>228</c:v>
                </c:pt>
                <c:pt idx="42">
                  <c:v>124</c:v>
                </c:pt>
                <c:pt idx="43">
                  <c:v>194</c:v>
                </c:pt>
                <c:pt idx="44">
                  <c:v>157</c:v>
                </c:pt>
                <c:pt idx="45">
                  <c:v>402</c:v>
                </c:pt>
                <c:pt idx="46">
                  <c:v>323</c:v>
                </c:pt>
                <c:pt idx="47">
                  <c:v>181</c:v>
                </c:pt>
                <c:pt idx="48">
                  <c:v>157</c:v>
                </c:pt>
                <c:pt idx="49">
                  <c:v>266</c:v>
                </c:pt>
                <c:pt idx="50">
                  <c:v>268</c:v>
                </c:pt>
                <c:pt idx="51">
                  <c:v>167</c:v>
                </c:pt>
                <c:pt idx="52">
                  <c:v>342</c:v>
                </c:pt>
                <c:pt idx="53">
                  <c:v>349</c:v>
                </c:pt>
                <c:pt idx="54">
                  <c:v>340</c:v>
                </c:pt>
                <c:pt idx="55">
                  <c:v>227</c:v>
                </c:pt>
                <c:pt idx="56">
                  <c:v>409</c:v>
                </c:pt>
                <c:pt idx="57">
                  <c:v>400</c:v>
                </c:pt>
                <c:pt idx="58">
                  <c:v>374</c:v>
                </c:pt>
                <c:pt idx="59">
                  <c:v>255</c:v>
                </c:pt>
                <c:pt idx="60">
                  <c:v>146</c:v>
                </c:pt>
                <c:pt idx="61">
                  <c:v>248</c:v>
                </c:pt>
                <c:pt idx="62">
                  <c:v>198</c:v>
                </c:pt>
                <c:pt idx="63">
                  <c:v>210</c:v>
                </c:pt>
                <c:pt idx="64">
                  <c:v>107</c:v>
                </c:pt>
                <c:pt idx="65">
                  <c:v>239</c:v>
                </c:pt>
                <c:pt idx="66">
                  <c:v>287</c:v>
                </c:pt>
                <c:pt idx="67">
                  <c:v>340</c:v>
                </c:pt>
                <c:pt idx="68">
                  <c:v>155</c:v>
                </c:pt>
                <c:pt idx="69">
                  <c:v>263</c:v>
                </c:pt>
                <c:pt idx="70">
                  <c:v>265</c:v>
                </c:pt>
                <c:pt idx="71">
                  <c:v>249</c:v>
                </c:pt>
                <c:pt idx="72">
                  <c:v>377</c:v>
                </c:pt>
                <c:pt idx="73">
                  <c:v>301</c:v>
                </c:pt>
                <c:pt idx="74">
                  <c:v>242</c:v>
                </c:pt>
                <c:pt idx="75">
                  <c:v>211</c:v>
                </c:pt>
                <c:pt idx="76">
                  <c:v>160</c:v>
                </c:pt>
                <c:pt idx="77">
                  <c:v>218</c:v>
                </c:pt>
                <c:pt idx="78">
                  <c:v>133</c:v>
                </c:pt>
                <c:pt idx="79">
                  <c:v>122</c:v>
                </c:pt>
                <c:pt idx="80">
                  <c:v>236</c:v>
                </c:pt>
                <c:pt idx="81">
                  <c:v>143</c:v>
                </c:pt>
                <c:pt idx="82">
                  <c:v>354</c:v>
                </c:pt>
                <c:pt idx="83">
                  <c:v>214</c:v>
                </c:pt>
                <c:pt idx="84">
                  <c:v>225</c:v>
                </c:pt>
                <c:pt idx="85">
                  <c:v>261</c:v>
                </c:pt>
                <c:pt idx="86">
                  <c:v>277</c:v>
                </c:pt>
                <c:pt idx="87">
                  <c:v>282</c:v>
                </c:pt>
                <c:pt idx="88">
                  <c:v>322</c:v>
                </c:pt>
                <c:pt idx="89">
                  <c:v>326</c:v>
                </c:pt>
                <c:pt idx="90">
                  <c:v>421</c:v>
                </c:pt>
                <c:pt idx="91">
                  <c:v>368</c:v>
                </c:pt>
                <c:pt idx="92">
                  <c:v>279</c:v>
                </c:pt>
                <c:pt idx="93">
                  <c:v>268</c:v>
                </c:pt>
              </c:numCache>
            </c:numRef>
          </c:xVal>
          <c:yVal>
            <c:numRef>
              <c:f>'Analysis ToolPak'!$P$25:$P$118</c:f>
              <c:numCache>
                <c:formatCode>General</c:formatCode>
                <c:ptCount val="94"/>
                <c:pt idx="0">
                  <c:v>-68.762357616460577</c:v>
                </c:pt>
                <c:pt idx="1">
                  <c:v>-27.130699929935076</c:v>
                </c:pt>
                <c:pt idx="2">
                  <c:v>-5.30498560502906</c:v>
                </c:pt>
                <c:pt idx="3">
                  <c:v>-45.984282786827123</c:v>
                </c:pt>
                <c:pt idx="4">
                  <c:v>17.41652697004281</c:v>
                </c:pt>
                <c:pt idx="5">
                  <c:v>5.9640289335504804</c:v>
                </c:pt>
                <c:pt idx="6">
                  <c:v>3.7280319654259984</c:v>
                </c:pt>
                <c:pt idx="7">
                  <c:v>21.124242810886528</c:v>
                </c:pt>
                <c:pt idx="8">
                  <c:v>8.8176117904425837</c:v>
                </c:pt>
                <c:pt idx="9">
                  <c:v>2.1948768632060194</c:v>
                </c:pt>
                <c:pt idx="10">
                  <c:v>0.34101894278416012</c:v>
                </c:pt>
                <c:pt idx="11">
                  <c:v>-57.088209473131457</c:v>
                </c:pt>
                <c:pt idx="12">
                  <c:v>35.973226756369286</c:v>
                </c:pt>
                <c:pt idx="13">
                  <c:v>12.185403976857486</c:v>
                </c:pt>
                <c:pt idx="14">
                  <c:v>8.6760686222738173</c:v>
                </c:pt>
                <c:pt idx="15">
                  <c:v>16.156985317811817</c:v>
                </c:pt>
                <c:pt idx="16">
                  <c:v>-4.7718305028091095</c:v>
                </c:pt>
                <c:pt idx="17">
                  <c:v>38.058207669976468</c:v>
                </c:pt>
                <c:pt idx="18">
                  <c:v>-10.597544827715126</c:v>
                </c:pt>
                <c:pt idx="19">
                  <c:v>-37.356948948181241</c:v>
                </c:pt>
                <c:pt idx="20">
                  <c:v>7.1948768632060194</c:v>
                </c:pt>
                <c:pt idx="21">
                  <c:v>-21.03164721856993</c:v>
                </c:pt>
                <c:pt idx="22">
                  <c:v>-41.923121620856222</c:v>
                </c:pt>
                <c:pt idx="23">
                  <c:v>24.7891931313969</c:v>
                </c:pt>
                <c:pt idx="24">
                  <c:v>17.062806581385843</c:v>
                </c:pt>
                <c:pt idx="25">
                  <c:v>-1.5550543709115345</c:v>
                </c:pt>
                <c:pt idx="26">
                  <c:v>-6.871158277704069</c:v>
                </c:pt>
                <c:pt idx="27">
                  <c:v>-18.305260668558859</c:v>
                </c:pt>
                <c:pt idx="28">
                  <c:v>8.04386080868872</c:v>
                </c:pt>
                <c:pt idx="29">
                  <c:v>16.161859292750989</c:v>
                </c:pt>
                <c:pt idx="30">
                  <c:v>51.213822635903171</c:v>
                </c:pt>
                <c:pt idx="31">
                  <c:v>27.369437601829816</c:v>
                </c:pt>
                <c:pt idx="32">
                  <c:v>24.227894433661078</c:v>
                </c:pt>
                <c:pt idx="33">
                  <c:v>-25.687124652731711</c:v>
                </c:pt>
                <c:pt idx="34">
                  <c:v>26.072279467734404</c:v>
                </c:pt>
                <c:pt idx="35">
                  <c:v>27.661996824515882</c:v>
                </c:pt>
                <c:pt idx="36">
                  <c:v>-55.828667820900478</c:v>
                </c:pt>
                <c:pt idx="37">
                  <c:v>-26.696597539080244</c:v>
                </c:pt>
                <c:pt idx="38">
                  <c:v>-41.210531805073288</c:v>
                </c:pt>
                <c:pt idx="39">
                  <c:v>11.242241294948826</c:v>
                </c:pt>
                <c:pt idx="40">
                  <c:v>39.982699642717819</c:v>
                </c:pt>
                <c:pt idx="41">
                  <c:v>8.6760686222738173</c:v>
                </c:pt>
                <c:pt idx="42">
                  <c:v>-23.890104050401163</c:v>
                </c:pt>
                <c:pt idx="43">
                  <c:v>72.798666017745461</c:v>
                </c:pt>
                <c:pt idx="44">
                  <c:v>-20.979683875417777</c:v>
                </c:pt>
                <c:pt idx="45">
                  <c:v>23.931011363095422</c:v>
                </c:pt>
                <c:pt idx="46">
                  <c:v>-26.460600570955762</c:v>
                </c:pt>
                <c:pt idx="47">
                  <c:v>-3.7721055663389222</c:v>
                </c:pt>
                <c:pt idx="48">
                  <c:v>13.020316124582223</c:v>
                </c:pt>
                <c:pt idx="49">
                  <c:v>36.421400944981997</c:v>
                </c:pt>
                <c:pt idx="50">
                  <c:v>-4.6446341959281199</c:v>
                </c:pt>
                <c:pt idx="51">
                  <c:v>32.690140420031753</c:v>
                </c:pt>
                <c:pt idx="52">
                  <c:v>14.912065590398299</c:v>
                </c:pt>
                <c:pt idx="53">
                  <c:v>-7.3190574027869957</c:v>
                </c:pt>
                <c:pt idx="54">
                  <c:v>22.978100731308416</c:v>
                </c:pt>
                <c:pt idx="55">
                  <c:v>65.709086192728876</c:v>
                </c:pt>
                <c:pt idx="56">
                  <c:v>-18.30011163008993</c:v>
                </c:pt>
                <c:pt idx="57">
                  <c:v>21.997046504005539</c:v>
                </c:pt>
                <c:pt idx="58">
                  <c:v>15.855503335836772</c:v>
                </c:pt>
                <c:pt idx="59">
                  <c:v>45.784594219987525</c:v>
                </c:pt>
                <c:pt idx="60">
                  <c:v>-27.616490600412249</c:v>
                </c:pt>
                <c:pt idx="61">
                  <c:v>19.015717213172877</c:v>
                </c:pt>
                <c:pt idx="62">
                  <c:v>3.6665957359252559</c:v>
                </c:pt>
                <c:pt idx="63">
                  <c:v>-41.729615109535303</c:v>
                </c:pt>
                <c:pt idx="64">
                  <c:v>-14.32880535266537</c:v>
                </c:pt>
                <c:pt idx="65">
                  <c:v>13.312875347268289</c:v>
                </c:pt>
                <c:pt idx="66">
                  <c:v>-27.271968034574002</c:v>
                </c:pt>
                <c:pt idx="67">
                  <c:v>-20.021899268691584</c:v>
                </c:pt>
                <c:pt idx="68">
                  <c:v>-5.9136487345076603</c:v>
                </c:pt>
                <c:pt idx="69">
                  <c:v>-7.4795463436528848</c:v>
                </c:pt>
                <c:pt idx="70">
                  <c:v>-13.545581484562945</c:v>
                </c:pt>
                <c:pt idx="71">
                  <c:v>-21.017300357282181</c:v>
                </c:pt>
                <c:pt idx="72">
                  <c:v>-2.243549375528346</c:v>
                </c:pt>
                <c:pt idx="73">
                  <c:v>-14.734214020944705</c:v>
                </c:pt>
                <c:pt idx="74">
                  <c:v>-30.786177364096829</c:v>
                </c:pt>
                <c:pt idx="75">
                  <c:v>-3.7626326799903609</c:v>
                </c:pt>
                <c:pt idx="76">
                  <c:v>-24.078736586782895</c:v>
                </c:pt>
                <c:pt idx="77">
                  <c:v>7.0062443268242873</c:v>
                </c:pt>
                <c:pt idx="78">
                  <c:v>2.8127378155033966</c:v>
                </c:pt>
                <c:pt idx="79">
                  <c:v>15.175931090508925</c:v>
                </c:pt>
                <c:pt idx="80">
                  <c:v>23.411928058633407</c:v>
                </c:pt>
                <c:pt idx="81">
                  <c:v>-11.517437889047102</c:v>
                </c:pt>
                <c:pt idx="82">
                  <c:v>50.515854744937769</c:v>
                </c:pt>
                <c:pt idx="83">
                  <c:v>-28.861685391355536</c:v>
                </c:pt>
                <c:pt idx="84">
                  <c:v>31.775121333638936</c:v>
                </c:pt>
                <c:pt idx="85">
                  <c:v>88.586488797257232</c:v>
                </c:pt>
                <c:pt idx="86">
                  <c:v>9.0582076699764684</c:v>
                </c:pt>
                <c:pt idx="87">
                  <c:v>-8.1068801822987666</c:v>
                </c:pt>
                <c:pt idx="88">
                  <c:v>-45.427583000500704</c:v>
                </c:pt>
                <c:pt idx="89">
                  <c:v>-9.5596532823208804</c:v>
                </c:pt>
                <c:pt idx="90">
                  <c:v>-19.69632247555046</c:v>
                </c:pt>
                <c:pt idx="91">
                  <c:v>-0.94639124143293429</c:v>
                </c:pt>
                <c:pt idx="92">
                  <c:v>-48.007827470933648</c:v>
                </c:pt>
                <c:pt idx="93">
                  <c:v>-62.64463419592812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B8-42FA-86D8-69F8C2CA0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554744"/>
        <c:axId val="1091549824"/>
      </c:scatterChart>
      <c:valAx>
        <c:axId val="1091554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252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1549824"/>
        <c:crosses val="autoZero"/>
        <c:crossBetween val="midCat"/>
      </c:valAx>
      <c:valAx>
        <c:axId val="1091549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15547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Undergrad Grade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'Multiple Linear Regression'!$L$26:$L$120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76-4A84-9521-193B6C992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798768"/>
        <c:axId val="949799752"/>
      </c:scatterChart>
      <c:valAx>
        <c:axId val="94979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Undergrad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9799752"/>
        <c:crosses val="autoZero"/>
        <c:crossBetween val="midCat"/>
      </c:valAx>
      <c:valAx>
        <c:axId val="949799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97987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Regression'!$C$6:$C$100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'Multiple Linear Regression'!$L$26:$L$120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9-46A8-80A6-F34918DF9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520472"/>
        <c:axId val="950519160"/>
      </c:scatterChart>
      <c:valAx>
        <c:axId val="95052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0519160"/>
        <c:crosses val="autoZero"/>
        <c:crossBetween val="midCat"/>
      </c:valAx>
      <c:valAx>
        <c:axId val="950519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05204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for MBA Graduates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for MBA Graduates</a:t>
          </a:r>
        </a:p>
      </cx:txPr>
    </cx:title>
    <cx:plotArea>
      <cx:plotAreaRegion>
        <cx:series layoutId="clusteredColumn" uniqueId="{AC820957-34D9-42A8-915D-2E0B5225F60D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tle>
          <cx:tx>
            <cx:txData>
              <cx:v>Bins 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Bins width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boxWhisker" uniqueId="{08B6AD05-BCB1-4977-952E-6BC1AE20ECC4}">
          <cx:tx>
            <cx:txData>
              <cx:f>_xlchart.v1.6</cx:f>
              <cx:v>Employability (Before)</cx:v>
            </cx:txData>
          </cx:tx>
          <cx:spPr>
            <a:solidFill>
              <a:schemeClr val="accent1">
                <a:alpha val="30196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5E1A8C6-84A0-42F2-9110-56052F311545}">
          <cx:tx>
            <cx:txData>
              <cx:f>_xlchart.v1.8</cx:f>
              <cx:v>Employability (After)</cx:v>
            </cx:txData>
          </cx:tx>
          <cx:spPr>
            <a:solidFill>
              <a:schemeClr val="accent2">
                <a:alpha val="30196"/>
              </a:schemeClr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Employability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Employability Scores</a:t>
          </a:r>
        </a:p>
      </cx:txPr>
    </cx:title>
    <cx:plotArea>
      <cx:plotAreaRegion>
        <cx:series layoutId="boxWhisker" uniqueId="{08B6AD05-BCB1-4977-952E-6BC1AE20ECC4}">
          <cx:tx>
            <cx:txData>
              <cx:f>_xlchart.v1.2</cx:f>
              <cx:v>Employability (Before)</cx:v>
            </cx:txData>
          </cx:tx>
          <cx:spPr>
            <a:solidFill>
              <a:schemeClr val="accent1">
                <a:alpha val="30196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5E1A8C6-84A0-42F2-9110-56052F311545}">
          <cx:tx>
            <cx:txData>
              <cx:f>_xlchart.v1.4</cx:f>
              <cx:v>Employability (After)</cx:v>
            </cx:txData>
          </cx:tx>
          <cx:spPr>
            <a:solidFill>
              <a:schemeClr val="accent2">
                <a:alpha val="30196"/>
              </a:schemeClr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</cx:chartData>
  <cx:chart>
    <cx:title pos="t" align="ctr" overlay="0">
      <cx:tx>
        <cx:txData>
          <cx:v>Dispersion Metrics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Dispersion Metrics</a:t>
          </a:r>
        </a:p>
      </cx:txPr>
    </cx:title>
    <cx:plotArea>
      <cx:plotAreaRegion>
        <cx:series layoutId="boxWhisker" uniqueId="{8F6F0DB2-E233-4DFB-BB56-50807A2390B1}">
          <cx:tx>
            <cx:txData>
              <cx:f>_xlchart.v1.11</cx:f>
              <cx:v>MBA Grade</cx:v>
            </cx:txData>
          </cx:tx>
          <cx:spPr>
            <a:solidFill>
              <a:schemeClr val="accent2">
                <a:lumMod val="40000"/>
                <a:lumOff val="60000"/>
                <a:alpha val="30196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0.600000024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</cx:axis>
      <cx:axis id="1">
        <cx:valScaling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8671F196-9B8B-4A57-A3A0-32FCC106737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12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14.xml"/><Relationship Id="rId4" Type="http://schemas.openxmlformats.org/officeDocument/2006/relationships/image" Target="../media/image18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201083</xdr:colOff>
      <xdr:row>4</xdr:row>
      <xdr:rowOff>292870</xdr:rowOff>
    </xdr:from>
    <xdr:to>
      <xdr:col>9</xdr:col>
      <xdr:colOff>530128</xdr:colOff>
      <xdr:row>19</xdr:row>
      <xdr:rowOff>111222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8433C95-D0DE-6886-9263-FB3DAB173D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6833" y="1219970"/>
              <a:ext cx="4596245" cy="2764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422371</xdr:colOff>
      <xdr:row>6</xdr:row>
      <xdr:rowOff>13855</xdr:rowOff>
    </xdr:from>
    <xdr:to>
      <xdr:col>21</xdr:col>
      <xdr:colOff>145280</xdr:colOff>
      <xdr:row>21</xdr:row>
      <xdr:rowOff>15010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E3DBD0-D61D-8F80-42CA-8A0355A16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0</xdr:row>
      <xdr:rowOff>231775</xdr:rowOff>
    </xdr:from>
    <xdr:to>
      <xdr:col>16</xdr:col>
      <xdr:colOff>355600</xdr:colOff>
      <xdr:row>15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3E210F-7756-1C28-AF41-58FCD2910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83</xdr:row>
      <xdr:rowOff>41274</xdr:rowOff>
    </xdr:from>
    <xdr:to>
      <xdr:col>8</xdr:col>
      <xdr:colOff>330200</xdr:colOff>
      <xdr:row>99</xdr:row>
      <xdr:rowOff>184149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1E5C60A-A504-69D9-A825-9576816429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15516224"/>
              <a:ext cx="2873375" cy="3089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533400</xdr:colOff>
      <xdr:row>3</xdr:row>
      <xdr:rowOff>57150</xdr:rowOff>
    </xdr:from>
    <xdr:to>
      <xdr:col>8</xdr:col>
      <xdr:colOff>358775</xdr:colOff>
      <xdr:row>23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2EA75BE-DD3F-4C20-A4A9-54A5B7D56E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3150" y="800100"/>
              <a:ext cx="2873375" cy="3765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0</xdr:row>
      <xdr:rowOff>254001</xdr:rowOff>
    </xdr:from>
    <xdr:to>
      <xdr:col>13</xdr:col>
      <xdr:colOff>28575</xdr:colOff>
      <xdr:row>16</xdr:row>
      <xdr:rowOff>63501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8813F52-BD72-41A6-BBBD-2D4F8A9C6A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9100" y="254001"/>
              <a:ext cx="2486025" cy="294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12</xdr:row>
      <xdr:rowOff>73025</xdr:rowOff>
    </xdr:from>
    <xdr:to>
      <xdr:col>12</xdr:col>
      <xdr:colOff>361950</xdr:colOff>
      <xdr:row>27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F8CE97-24FF-195A-AF34-55368CB07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82</xdr:row>
      <xdr:rowOff>41275</xdr:rowOff>
    </xdr:from>
    <xdr:to>
      <xdr:col>11</xdr:col>
      <xdr:colOff>555625</xdr:colOff>
      <xdr:row>97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3A7DE75-E4C4-9140-A063-F48BA21DFB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15332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</xdr:row>
      <xdr:rowOff>180975</xdr:rowOff>
    </xdr:from>
    <xdr:to>
      <xdr:col>17</xdr:col>
      <xdr:colOff>161925</xdr:colOff>
      <xdr:row>16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FBCEFC-BE88-9F39-9EB5-6C424D97F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472123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181538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20</xdr:col>
      <xdr:colOff>836386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168275</xdr:colOff>
      <xdr:row>2</xdr:row>
      <xdr:rowOff>200025</xdr:rowOff>
    </xdr:from>
    <xdr:to>
      <xdr:col>10</xdr:col>
      <xdr:colOff>514351</xdr:colOff>
      <xdr:row>17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1FA85-E7B8-E351-B3B9-0E28AA12B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320675</xdr:colOff>
      <xdr:row>7</xdr:row>
      <xdr:rowOff>168275</xdr:rowOff>
    </xdr:from>
    <xdr:to>
      <xdr:col>11</xdr:col>
      <xdr:colOff>422275</xdr:colOff>
      <xdr:row>22</xdr:row>
      <xdr:rowOff>149225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A5D3A8-43E5-2293-701E-E49537C8A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8</xdr:row>
      <xdr:rowOff>60325</xdr:rowOff>
    </xdr:from>
    <xdr:to>
      <xdr:col>12</xdr:col>
      <xdr:colOff>231775</xdr:colOff>
      <xdr:row>23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3087EE-2E9F-5A25-0FE8-44AA3F031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0</xdr:row>
      <xdr:rowOff>57150</xdr:rowOff>
    </xdr:from>
    <xdr:to>
      <xdr:col>25</xdr:col>
      <xdr:colOff>190500</xdr:colOff>
      <xdr:row>10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A3A19-FAD5-8D89-6324-C490C744D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488950</xdr:colOff>
      <xdr:row>0</xdr:row>
      <xdr:rowOff>209550</xdr:rowOff>
    </xdr:from>
    <xdr:to>
      <xdr:col>16</xdr:col>
      <xdr:colOff>247650</xdr:colOff>
      <xdr:row>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FB237-F51B-FFBE-5816-57608D107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336550</xdr:colOff>
      <xdr:row>0</xdr:row>
      <xdr:rowOff>190500</xdr:rowOff>
    </xdr:from>
    <xdr:to>
      <xdr:col>21</xdr:col>
      <xdr:colOff>533400</xdr:colOff>
      <xdr:row>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176A06-9142-7106-2AB0-8E109492F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dhi Gupta" refreshedDate="45005.747565393518" createdVersion="8" refreshedVersion="8" minRefreshableVersion="3" recordCount="95" xr:uid="{CBCDDEB8-130B-40D9-8CB4-33BAF3707F96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dhi Gupta" refreshedDate="45005.763056481483" createdVersion="8" refreshedVersion="8" minRefreshableVersion="3" recordCount="53" xr:uid="{37D9BA87-027D-42CF-A483-7155B6C8BBB0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dhi Gupta" refreshedDate="45005.787234953707" createdVersion="8" refreshedVersion="8" minRefreshableVersion="3" recordCount="95" xr:uid="{D6BC2D7D-23E5-432E-875E-34B9CA9EE72F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dhi Gupta" refreshedDate="45006.708582291663" createdVersion="8" refreshedVersion="8" minRefreshableVersion="3" recordCount="53" xr:uid="{0E97C940-3CB2-4573-AD18-25C01F742493}">
  <cacheSource type="worksheet">
    <worksheetSource ref="B5:B58" sheet="Normal Distributions"/>
  </cacheSource>
  <cacheFields count="1">
    <cacheField name="Annual Salary" numFmtId="6">
      <sharedItems containsSemiMixedTypes="0" containsString="0" containsNumber="1" containsInteger="1" minValue="75500" maxValue="340000" count="34">
        <n v="111000"/>
        <n v="107000"/>
        <n v="109000"/>
        <n v="148000"/>
        <n v="255500"/>
        <n v="103500"/>
        <n v="114500"/>
        <n v="124000"/>
        <n v="132500"/>
        <n v="99000"/>
        <n v="82000"/>
        <n v="185000"/>
        <n v="89500"/>
        <n v="91500"/>
        <n v="113500"/>
        <n v="75500"/>
        <n v="86000"/>
        <n v="156500"/>
        <n v="99500"/>
        <n v="205500"/>
        <n v="340000"/>
        <n v="103000"/>
        <n v="165000"/>
        <n v="124500"/>
        <n v="82500"/>
        <n v="93000"/>
        <n v="168000"/>
        <n v="96000"/>
        <n v="80000"/>
        <n v="144500"/>
        <n v="104500"/>
        <n v="113000"/>
        <n v="78000"/>
        <n v="84000"/>
      </sharedItems>
      <fieldGroup base="0">
        <rangePr startNum="75500" endNum="340000" groupInterval="10000"/>
        <groupItems count="29">
          <s v="&lt;75500"/>
          <s v="75500-85499"/>
          <s v="85500-95499"/>
          <s v="95500-105499"/>
          <s v="105500-115499"/>
          <s v="115500-125499"/>
          <s v="125500-135499"/>
          <s v="135500-145499"/>
          <s v="145500-155499"/>
          <s v="155500-165499"/>
          <s v="165500-175499"/>
          <s v="175500-185499"/>
          <s v="185500-195499"/>
          <s v="195500-205499"/>
          <s v="205500-215499"/>
          <s v="215500-225499"/>
          <s v="225500-235499"/>
          <s v="235500-245499"/>
          <s v="245500-255499"/>
          <s v="255500-265499"/>
          <s v="265500-275499"/>
          <s v="275500-285499"/>
          <s v="285500-295499"/>
          <s v="295500-305499"/>
          <s v="305500-315499"/>
          <s v="315500-325499"/>
          <s v="325500-335499"/>
          <s v="335500-345499"/>
          <s v="&gt;3455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BB841D-B8E5-4C5C-8FC6-2B998FC1431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tatus" fld="0" subtotal="count" baseField="0" baseItem="0"/>
    <dataField name="Relative Frequency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14B054-D42B-4B00-95F7-B84B3328EBB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6:E16" firstHeaderRow="1" firstDataRow="1" firstDataCol="1"/>
  <pivotFields count="1">
    <pivotField axis="axisRow" dataFiel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10"/>
    </i>
    <i>
      <x v="14"/>
    </i>
    <i t="grand">
      <x/>
    </i>
  </rowItems>
  <colItems count="1">
    <i/>
  </colItems>
  <dataFields count="1">
    <dataField name="Count of Annual Salary (Thousands of USD)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D0BA6-1E15-4B7E-85B2-700E7FAB0983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5:E14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MBA Grad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0A3F9-FC3C-4483-9A51-0B0226165DBF}" name="PivotTable1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14:F29" firstHeaderRow="1" firstDataRow="1" firstDataCol="1"/>
  <pivotFields count="1">
    <pivotField axis="axisRow" dataField="1" numFmtId="6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  <i>
      <x v="19"/>
    </i>
    <i>
      <x v="27"/>
    </i>
    <i t="grand">
      <x/>
    </i>
  </rowItems>
  <colItems count="1">
    <i/>
  </colItems>
  <dataFields count="1">
    <dataField name="Count of Annual Salary" fld="0" subtotal="count" baseField="0" baseItem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6.bin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9.bin"/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defaultRowHeight="14.5" x14ac:dyDescent="0.35"/>
  <cols>
    <col min="1" max="1" width="10" bestFit="1" customWidth="1"/>
    <col min="2" max="2" width="17.1796875" bestFit="1" customWidth="1"/>
    <col min="3" max="3" width="16" bestFit="1" customWidth="1"/>
    <col min="4" max="4" width="10.7265625" bestFit="1" customWidth="1"/>
    <col min="5" max="5" width="15.7265625" bestFit="1" customWidth="1"/>
    <col min="6" max="6" width="20.7265625" bestFit="1" customWidth="1"/>
    <col min="7" max="7" width="19.26953125" bestFit="1" customWidth="1"/>
    <col min="8" max="8" width="10.26953125" bestFit="1" customWidth="1"/>
    <col min="9" max="9" width="12.7265625" bestFit="1" customWidth="1"/>
    <col min="10" max="10" width="10.81640625" bestFit="1" customWidth="1"/>
  </cols>
  <sheetData>
    <row r="1" spans="1:11" x14ac:dyDescent="0.35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35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35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35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35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35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35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35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35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35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35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35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35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35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35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35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35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35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35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35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35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35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35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35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35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35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35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35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35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35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35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35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35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35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35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35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35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35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35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35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35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35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35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35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35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35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35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35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35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35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35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35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35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35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35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35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35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35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35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35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35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35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35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35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35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35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35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35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35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35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35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35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35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35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35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35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35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35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35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35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35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35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35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35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35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35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35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35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35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35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35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35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35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35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35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35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  <headerFooter>
    <oddFooter>&amp;L3/20/2023&amp;CAXP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tabSelected="1" zoomScale="71" zoomScaleNormal="71" workbookViewId="0">
      <selection activeCell="E18" sqref="E18"/>
    </sheetView>
  </sheetViews>
  <sheetFormatPr defaultRowHeight="14.5" x14ac:dyDescent="0.35"/>
  <cols>
    <col min="1" max="1" width="3" customWidth="1"/>
    <col min="2" max="2" width="38.54296875" customWidth="1"/>
    <col min="3" max="3" width="12.1796875" customWidth="1"/>
    <col min="4" max="4" width="3" customWidth="1"/>
    <col min="5" max="5" width="41.453125" customWidth="1"/>
    <col min="6" max="6" width="12.1796875" customWidth="1"/>
    <col min="7" max="7" width="3" customWidth="1"/>
    <col min="8" max="8" width="55.81640625" bestFit="1" customWidth="1"/>
    <col min="9" max="9" width="12.1796875" customWidth="1"/>
    <col min="10" max="10" width="3" customWidth="1"/>
    <col min="11" max="11" width="52.26953125" bestFit="1" customWidth="1"/>
    <col min="12" max="12" width="12.1796875" customWidth="1"/>
    <col min="13" max="13" width="3" customWidth="1"/>
    <col min="14" max="14" width="44.26953125" customWidth="1"/>
    <col min="15" max="15" width="12.1796875" customWidth="1"/>
  </cols>
  <sheetData>
    <row r="1" spans="2:15" ht="15" thickBot="1" x14ac:dyDescent="0.4"/>
    <row r="2" spans="2:15" ht="30" customHeight="1" thickBot="1" x14ac:dyDescent="0.4">
      <c r="B2" s="116" t="s">
        <v>0</v>
      </c>
      <c r="C2" s="116"/>
      <c r="E2" s="117" t="s">
        <v>19</v>
      </c>
      <c r="F2" s="117"/>
      <c r="H2" s="118" t="s">
        <v>138</v>
      </c>
      <c r="I2" s="118"/>
      <c r="K2" s="119" t="s">
        <v>189</v>
      </c>
      <c r="L2" s="119"/>
      <c r="N2" s="120" t="s">
        <v>219</v>
      </c>
      <c r="O2" s="120"/>
    </row>
    <row r="3" spans="2:15" ht="15" thickBot="1" x14ac:dyDescent="0.4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4">
      <c r="B4" s="5" t="s">
        <v>2</v>
      </c>
      <c r="C4" s="4" t="s">
        <v>11</v>
      </c>
      <c r="E4" s="23" t="s">
        <v>84</v>
      </c>
      <c r="F4" s="24" t="s">
        <v>11</v>
      </c>
      <c r="H4" s="33" t="s">
        <v>153</v>
      </c>
      <c r="I4" s="34" t="s">
        <v>11</v>
      </c>
      <c r="K4" s="47" t="s">
        <v>191</v>
      </c>
      <c r="L4" s="48" t="s">
        <v>11</v>
      </c>
      <c r="N4" s="54" t="s">
        <v>226</v>
      </c>
      <c r="O4" s="55" t="s">
        <v>11</v>
      </c>
    </row>
    <row r="5" spans="2:15" ht="22.5" customHeight="1" thickBot="1" x14ac:dyDescent="0.4">
      <c r="B5" s="5" t="s">
        <v>3</v>
      </c>
      <c r="C5" s="4" t="s">
        <v>11</v>
      </c>
      <c r="E5" s="23" t="s">
        <v>82</v>
      </c>
      <c r="F5" s="24" t="s">
        <v>11</v>
      </c>
      <c r="H5" s="35" t="s">
        <v>224</v>
      </c>
      <c r="I5" s="32" t="s">
        <v>11</v>
      </c>
      <c r="K5" s="47" t="s">
        <v>192</v>
      </c>
      <c r="L5" s="48" t="s">
        <v>11</v>
      </c>
      <c r="N5" s="54" t="s">
        <v>227</v>
      </c>
      <c r="O5" s="55" t="s">
        <v>11</v>
      </c>
    </row>
    <row r="6" spans="2:15" ht="22.5" customHeight="1" thickBot="1" x14ac:dyDescent="0.4">
      <c r="B6" s="5" t="s">
        <v>4</v>
      </c>
      <c r="C6" s="4" t="s">
        <v>11</v>
      </c>
      <c r="E6" s="23" t="s">
        <v>83</v>
      </c>
      <c r="F6" s="24" t="s">
        <v>11</v>
      </c>
      <c r="H6" s="33" t="s">
        <v>155</v>
      </c>
      <c r="I6" s="34" t="s">
        <v>11</v>
      </c>
      <c r="K6" s="47" t="s">
        <v>193</v>
      </c>
      <c r="L6" s="48" t="s">
        <v>11</v>
      </c>
      <c r="N6" s="56" t="s">
        <v>228</v>
      </c>
      <c r="O6" s="57" t="s">
        <v>11</v>
      </c>
    </row>
    <row r="7" spans="2:15" ht="22.5" customHeight="1" thickBot="1" x14ac:dyDescent="0.4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154</v>
      </c>
      <c r="I7" s="32" t="s">
        <v>11</v>
      </c>
      <c r="K7" s="47" t="s">
        <v>194</v>
      </c>
      <c r="L7" s="48" t="s">
        <v>11</v>
      </c>
      <c r="N7" s="54" t="s">
        <v>237</v>
      </c>
      <c r="O7" s="55" t="s">
        <v>11</v>
      </c>
    </row>
    <row r="8" spans="2:15" ht="22.5" customHeight="1" thickBot="1" x14ac:dyDescent="0.4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157</v>
      </c>
      <c r="I8" s="34" t="s">
        <v>11</v>
      </c>
      <c r="K8" s="47" t="s">
        <v>309</v>
      </c>
      <c r="L8" s="48" t="s">
        <v>11</v>
      </c>
      <c r="N8" s="54" t="s">
        <v>238</v>
      </c>
      <c r="O8" s="55" t="s">
        <v>11</v>
      </c>
    </row>
    <row r="9" spans="2:15" ht="22.5" customHeight="1" thickBot="1" x14ac:dyDescent="0.4">
      <c r="B9" s="5" t="s">
        <v>6</v>
      </c>
      <c r="C9" s="4" t="s">
        <v>11</v>
      </c>
      <c r="E9" s="23" t="s">
        <v>106</v>
      </c>
      <c r="F9" s="24" t="s">
        <v>11</v>
      </c>
      <c r="H9" s="35" t="s">
        <v>190</v>
      </c>
      <c r="I9" s="32" t="s">
        <v>11</v>
      </c>
      <c r="K9" s="45" t="s">
        <v>223</v>
      </c>
      <c r="L9" s="46" t="s">
        <v>11</v>
      </c>
      <c r="N9" s="56" t="s">
        <v>256</v>
      </c>
      <c r="O9" s="57" t="s">
        <v>11</v>
      </c>
    </row>
    <row r="10" spans="2:15" ht="22.5" customHeight="1" thickBot="1" x14ac:dyDescent="0.4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166</v>
      </c>
      <c r="I10" s="34" t="s">
        <v>11</v>
      </c>
      <c r="K10" s="49" t="s">
        <v>208</v>
      </c>
      <c r="L10" s="48" t="s">
        <v>11</v>
      </c>
      <c r="N10" s="54" t="s">
        <v>257</v>
      </c>
      <c r="O10" s="55" t="s">
        <v>11</v>
      </c>
    </row>
    <row r="11" spans="2:15" ht="22.5" customHeight="1" thickBot="1" x14ac:dyDescent="0.4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167</v>
      </c>
      <c r="I11" s="32" t="s">
        <v>11</v>
      </c>
      <c r="K11" s="45" t="s">
        <v>222</v>
      </c>
      <c r="L11" s="46" t="s">
        <v>11</v>
      </c>
      <c r="N11" s="54" t="s">
        <v>258</v>
      </c>
      <c r="O11" s="55" t="s">
        <v>11</v>
      </c>
    </row>
    <row r="12" spans="2:15" ht="22.5" customHeight="1" thickBot="1" x14ac:dyDescent="0.4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168</v>
      </c>
      <c r="I12" s="34" t="s">
        <v>11</v>
      </c>
      <c r="K12" s="45" t="s">
        <v>220</v>
      </c>
      <c r="L12" s="46" t="s">
        <v>11</v>
      </c>
      <c r="N12" s="54" t="s">
        <v>259</v>
      </c>
      <c r="O12" s="55" t="s">
        <v>11</v>
      </c>
    </row>
    <row r="13" spans="2:15" ht="22.5" customHeight="1" thickBot="1" x14ac:dyDescent="0.4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169</v>
      </c>
      <c r="I13" s="32" t="s">
        <v>11</v>
      </c>
      <c r="K13" s="45" t="s">
        <v>221</v>
      </c>
      <c r="L13" s="46" t="s">
        <v>11</v>
      </c>
      <c r="N13" s="54" t="s">
        <v>260</v>
      </c>
      <c r="O13" s="55" t="s">
        <v>11</v>
      </c>
    </row>
    <row r="14" spans="2:15" ht="22.5" customHeight="1" thickBot="1" x14ac:dyDescent="0.4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185</v>
      </c>
      <c r="I14" s="34" t="s">
        <v>11</v>
      </c>
      <c r="N14" s="56" t="s">
        <v>261</v>
      </c>
      <c r="O14" s="57" t="s">
        <v>11</v>
      </c>
    </row>
    <row r="15" spans="2:15" ht="22.5" customHeight="1" thickBot="1" x14ac:dyDescent="0.4">
      <c r="B15" s="5" t="s">
        <v>81</v>
      </c>
      <c r="C15" s="4" t="s">
        <v>11</v>
      </c>
      <c r="N15" s="54" t="s">
        <v>262</v>
      </c>
      <c r="O15" s="55" t="s">
        <v>11</v>
      </c>
    </row>
    <row r="16" spans="2:15" ht="22.5" customHeight="1" thickBot="1" x14ac:dyDescent="0.4">
      <c r="B16" s="15" t="s">
        <v>31</v>
      </c>
      <c r="C16" s="16" t="s">
        <v>11</v>
      </c>
      <c r="N16" s="54" t="s">
        <v>267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  <headerFooter>
    <oddFooter>&amp;L3/20/2023&amp;CAXP Internal&amp;R2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zoomScale="76" zoomScaleNormal="76" workbookViewId="0">
      <selection activeCell="F14" sqref="F14"/>
    </sheetView>
  </sheetViews>
  <sheetFormatPr defaultRowHeight="14.5" x14ac:dyDescent="0.35"/>
  <cols>
    <col min="1" max="1" width="2.81640625" customWidth="1"/>
    <col min="2" max="2" width="11.7265625" customWidth="1"/>
    <col min="3" max="3" width="9.1796875" customWidth="1"/>
    <col min="4" max="4" width="13.6328125" bestFit="1" customWidth="1"/>
    <col min="5" max="5" width="14.08984375" bestFit="1" customWidth="1"/>
    <col min="6" max="6" width="17.453125" bestFit="1" customWidth="1"/>
    <col min="8" max="8" width="11.26953125" bestFit="1" customWidth="1"/>
    <col min="9" max="9" width="10.26953125" bestFit="1" customWidth="1"/>
    <col min="10" max="10" width="18.26953125" bestFit="1" customWidth="1"/>
    <col min="12" max="12" width="11.26953125" bestFit="1" customWidth="1"/>
    <col min="13" max="13" width="10.26953125" bestFit="1" customWidth="1"/>
    <col min="14" max="14" width="18.26953125" bestFit="1" customWidth="1"/>
  </cols>
  <sheetData>
    <row r="1" spans="2:14" ht="25.5" customHeight="1" x14ac:dyDescent="0.45">
      <c r="B1" s="18" t="s">
        <v>268</v>
      </c>
    </row>
    <row r="2" spans="2:14" ht="15.5" x14ac:dyDescent="0.35">
      <c r="B2" s="30" t="s">
        <v>2</v>
      </c>
    </row>
    <row r="3" spans="2:14" ht="18" customHeight="1" x14ac:dyDescent="0.35"/>
    <row r="4" spans="2:14" x14ac:dyDescent="0.35">
      <c r="D4" s="3" t="s">
        <v>52</v>
      </c>
      <c r="H4" s="3" t="s">
        <v>54</v>
      </c>
      <c r="L4" s="3" t="s">
        <v>53</v>
      </c>
    </row>
    <row r="5" spans="2:14" x14ac:dyDescent="0.35">
      <c r="B5" s="7" t="s">
        <v>12</v>
      </c>
      <c r="D5" s="9" t="s">
        <v>318</v>
      </c>
      <c r="E5" t="s">
        <v>319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35">
      <c r="B6" s="8" t="s">
        <v>13</v>
      </c>
      <c r="D6" s="101" t="s">
        <v>14</v>
      </c>
      <c r="E6" s="102">
        <v>42</v>
      </c>
      <c r="F6" s="103">
        <v>0.44210526315789472</v>
      </c>
      <c r="H6" s="8" t="s">
        <v>14</v>
      </c>
      <c r="I6" s="8">
        <f>COUNTIF($B$5:$B$100, H6)</f>
        <v>42</v>
      </c>
      <c r="J6" s="59">
        <f>I6/SUM($I$6:$I$7)</f>
        <v>0.44210526315789472</v>
      </c>
      <c r="L6" s="8" t="str" cm="1">
        <f t="array" ref="L6:L7">_xlfn.UNIQUE(B6:B100)</f>
        <v>Placed</v>
      </c>
      <c r="M6" s="8">
        <f>COUNTIF($B$6:$B$100,L6)</f>
        <v>53</v>
      </c>
      <c r="N6" s="59">
        <f>M6/SUM($M$6:$M$7)</f>
        <v>0.55789473684210522</v>
      </c>
    </row>
    <row r="7" spans="2:14" x14ac:dyDescent="0.35">
      <c r="B7" s="8" t="s">
        <v>14</v>
      </c>
      <c r="D7" s="101" t="s">
        <v>13</v>
      </c>
      <c r="E7" s="102">
        <v>53</v>
      </c>
      <c r="F7" s="103">
        <v>0.55789473684210522</v>
      </c>
      <c r="H7" s="8" t="s">
        <v>13</v>
      </c>
      <c r="I7" s="8">
        <f>COUNTIF($B$5:$B$100, H7)</f>
        <v>53</v>
      </c>
      <c r="J7" s="59">
        <f>I7/SUM($I$6:$I$7)</f>
        <v>0.55789473684210522</v>
      </c>
      <c r="L7" s="8" t="str">
        <v>Not Placed</v>
      </c>
      <c r="M7" s="8">
        <f>COUNTIF($B$6:$B$100,L7)</f>
        <v>42</v>
      </c>
      <c r="N7" s="59">
        <f>M7/SUM($M$6:$M$7)</f>
        <v>0.44210526315789472</v>
      </c>
    </row>
    <row r="8" spans="2:14" x14ac:dyDescent="0.35">
      <c r="B8" s="8" t="s">
        <v>13</v>
      </c>
      <c r="D8" s="101" t="s">
        <v>17</v>
      </c>
      <c r="E8" s="102">
        <v>95</v>
      </c>
      <c r="F8" s="103">
        <v>1</v>
      </c>
    </row>
    <row r="9" spans="2:14" x14ac:dyDescent="0.35">
      <c r="B9" s="8" t="s">
        <v>14</v>
      </c>
    </row>
    <row r="10" spans="2:14" x14ac:dyDescent="0.35">
      <c r="B10" s="8" t="s">
        <v>14</v>
      </c>
    </row>
    <row r="11" spans="2:14" x14ac:dyDescent="0.35">
      <c r="B11" s="8" t="s">
        <v>14</v>
      </c>
    </row>
    <row r="12" spans="2:14" x14ac:dyDescent="0.35">
      <c r="B12" s="8" t="s">
        <v>13</v>
      </c>
    </row>
    <row r="13" spans="2:14" x14ac:dyDescent="0.35">
      <c r="B13" s="8" t="s">
        <v>13</v>
      </c>
    </row>
    <row r="14" spans="2:14" x14ac:dyDescent="0.35">
      <c r="B14" s="8" t="s">
        <v>13</v>
      </c>
    </row>
    <row r="15" spans="2:14" x14ac:dyDescent="0.35">
      <c r="B15" s="8" t="s">
        <v>13</v>
      </c>
    </row>
    <row r="16" spans="2:14" x14ac:dyDescent="0.35">
      <c r="B16" s="8" t="s">
        <v>14</v>
      </c>
    </row>
    <row r="17" spans="2:2" x14ac:dyDescent="0.35">
      <c r="B17" s="8" t="s">
        <v>13</v>
      </c>
    </row>
    <row r="18" spans="2:2" x14ac:dyDescent="0.35">
      <c r="B18" s="8" t="s">
        <v>14</v>
      </c>
    </row>
    <row r="19" spans="2:2" x14ac:dyDescent="0.35">
      <c r="B19" s="8" t="s">
        <v>13</v>
      </c>
    </row>
    <row r="20" spans="2:2" x14ac:dyDescent="0.35">
      <c r="B20" s="8" t="s">
        <v>13</v>
      </c>
    </row>
    <row r="21" spans="2:2" x14ac:dyDescent="0.35">
      <c r="B21" s="8" t="s">
        <v>13</v>
      </c>
    </row>
    <row r="22" spans="2:2" x14ac:dyDescent="0.35">
      <c r="B22" s="8" t="s">
        <v>14</v>
      </c>
    </row>
    <row r="23" spans="2:2" x14ac:dyDescent="0.35">
      <c r="B23" s="8" t="s">
        <v>13</v>
      </c>
    </row>
    <row r="24" spans="2:2" x14ac:dyDescent="0.35">
      <c r="B24" s="8" t="s">
        <v>14</v>
      </c>
    </row>
    <row r="25" spans="2:2" x14ac:dyDescent="0.35">
      <c r="B25" s="8" t="s">
        <v>14</v>
      </c>
    </row>
    <row r="26" spans="2:2" x14ac:dyDescent="0.35">
      <c r="B26" s="8" t="s">
        <v>14</v>
      </c>
    </row>
    <row r="27" spans="2:2" x14ac:dyDescent="0.35">
      <c r="B27" s="8" t="s">
        <v>13</v>
      </c>
    </row>
    <row r="28" spans="2:2" x14ac:dyDescent="0.35">
      <c r="B28" s="8" t="s">
        <v>14</v>
      </c>
    </row>
    <row r="29" spans="2:2" x14ac:dyDescent="0.35">
      <c r="B29" s="8" t="s">
        <v>14</v>
      </c>
    </row>
    <row r="30" spans="2:2" x14ac:dyDescent="0.35">
      <c r="B30" s="8" t="s">
        <v>13</v>
      </c>
    </row>
    <row r="31" spans="2:2" x14ac:dyDescent="0.35">
      <c r="B31" s="8" t="s">
        <v>13</v>
      </c>
    </row>
    <row r="32" spans="2:2" x14ac:dyDescent="0.35">
      <c r="B32" s="8" t="s">
        <v>13</v>
      </c>
    </row>
    <row r="33" spans="2:2" x14ac:dyDescent="0.35">
      <c r="B33" s="8" t="s">
        <v>14</v>
      </c>
    </row>
    <row r="34" spans="2:2" x14ac:dyDescent="0.35">
      <c r="B34" s="8" t="s">
        <v>14</v>
      </c>
    </row>
    <row r="35" spans="2:2" x14ac:dyDescent="0.35">
      <c r="B35" s="8" t="s">
        <v>13</v>
      </c>
    </row>
    <row r="36" spans="2:2" x14ac:dyDescent="0.35">
      <c r="B36" s="8" t="s">
        <v>14</v>
      </c>
    </row>
    <row r="37" spans="2:2" x14ac:dyDescent="0.35">
      <c r="B37" s="8" t="s">
        <v>14</v>
      </c>
    </row>
    <row r="38" spans="2:2" x14ac:dyDescent="0.35">
      <c r="B38" s="8" t="s">
        <v>14</v>
      </c>
    </row>
    <row r="39" spans="2:2" x14ac:dyDescent="0.35">
      <c r="B39" s="8" t="s">
        <v>13</v>
      </c>
    </row>
    <row r="40" spans="2:2" x14ac:dyDescent="0.35">
      <c r="B40" s="8" t="s">
        <v>14</v>
      </c>
    </row>
    <row r="41" spans="2:2" x14ac:dyDescent="0.35">
      <c r="B41" s="8" t="s">
        <v>13</v>
      </c>
    </row>
    <row r="42" spans="2:2" x14ac:dyDescent="0.35">
      <c r="B42" s="8" t="s">
        <v>13</v>
      </c>
    </row>
    <row r="43" spans="2:2" x14ac:dyDescent="0.35">
      <c r="B43" s="8" t="s">
        <v>14</v>
      </c>
    </row>
    <row r="44" spans="2:2" x14ac:dyDescent="0.35">
      <c r="B44" s="8" t="s">
        <v>14</v>
      </c>
    </row>
    <row r="45" spans="2:2" x14ac:dyDescent="0.35">
      <c r="B45" s="8" t="s">
        <v>14</v>
      </c>
    </row>
    <row r="46" spans="2:2" x14ac:dyDescent="0.35">
      <c r="B46" s="8" t="s">
        <v>13</v>
      </c>
    </row>
    <row r="47" spans="2:2" x14ac:dyDescent="0.35">
      <c r="B47" s="8" t="s">
        <v>13</v>
      </c>
    </row>
    <row r="48" spans="2:2" x14ac:dyDescent="0.35">
      <c r="B48" s="8" t="s">
        <v>13</v>
      </c>
    </row>
    <row r="49" spans="2:2" x14ac:dyDescent="0.35">
      <c r="B49" s="8" t="s">
        <v>14</v>
      </c>
    </row>
    <row r="50" spans="2:2" x14ac:dyDescent="0.35">
      <c r="B50" s="8" t="s">
        <v>13</v>
      </c>
    </row>
    <row r="51" spans="2:2" x14ac:dyDescent="0.35">
      <c r="B51" s="8" t="s">
        <v>14</v>
      </c>
    </row>
    <row r="52" spans="2:2" x14ac:dyDescent="0.35">
      <c r="B52" s="8" t="s">
        <v>13</v>
      </c>
    </row>
    <row r="53" spans="2:2" x14ac:dyDescent="0.35">
      <c r="B53" s="8" t="s">
        <v>14</v>
      </c>
    </row>
    <row r="54" spans="2:2" x14ac:dyDescent="0.35">
      <c r="B54" s="8" t="s">
        <v>13</v>
      </c>
    </row>
    <row r="55" spans="2:2" x14ac:dyDescent="0.35">
      <c r="B55" s="8" t="s">
        <v>13</v>
      </c>
    </row>
    <row r="56" spans="2:2" x14ac:dyDescent="0.35">
      <c r="B56" s="8" t="s">
        <v>13</v>
      </c>
    </row>
    <row r="57" spans="2:2" x14ac:dyDescent="0.35">
      <c r="B57" s="8" t="s">
        <v>14</v>
      </c>
    </row>
    <row r="58" spans="2:2" x14ac:dyDescent="0.35">
      <c r="B58" s="8" t="s">
        <v>13</v>
      </c>
    </row>
    <row r="59" spans="2:2" x14ac:dyDescent="0.35">
      <c r="B59" s="8" t="s">
        <v>13</v>
      </c>
    </row>
    <row r="60" spans="2:2" x14ac:dyDescent="0.35">
      <c r="B60" s="8" t="s">
        <v>13</v>
      </c>
    </row>
    <row r="61" spans="2:2" x14ac:dyDescent="0.35">
      <c r="B61" s="8" t="s">
        <v>13</v>
      </c>
    </row>
    <row r="62" spans="2:2" x14ac:dyDescent="0.35">
      <c r="B62" s="8" t="s">
        <v>13</v>
      </c>
    </row>
    <row r="63" spans="2:2" x14ac:dyDescent="0.35">
      <c r="B63" s="8" t="s">
        <v>13</v>
      </c>
    </row>
    <row r="64" spans="2:2" x14ac:dyDescent="0.35">
      <c r="B64" s="8" t="s">
        <v>13</v>
      </c>
    </row>
    <row r="65" spans="2:2" x14ac:dyDescent="0.35">
      <c r="B65" s="8" t="s">
        <v>13</v>
      </c>
    </row>
    <row r="66" spans="2:2" x14ac:dyDescent="0.35">
      <c r="B66" s="8" t="s">
        <v>13</v>
      </c>
    </row>
    <row r="67" spans="2:2" x14ac:dyDescent="0.35">
      <c r="B67" s="8" t="s">
        <v>14</v>
      </c>
    </row>
    <row r="68" spans="2:2" x14ac:dyDescent="0.35">
      <c r="B68" s="8" t="s">
        <v>13</v>
      </c>
    </row>
    <row r="69" spans="2:2" x14ac:dyDescent="0.35">
      <c r="B69" s="8" t="s">
        <v>13</v>
      </c>
    </row>
    <row r="70" spans="2:2" x14ac:dyDescent="0.35">
      <c r="B70" s="8" t="s">
        <v>14</v>
      </c>
    </row>
    <row r="71" spans="2:2" x14ac:dyDescent="0.35">
      <c r="B71" s="8" t="s">
        <v>14</v>
      </c>
    </row>
    <row r="72" spans="2:2" x14ac:dyDescent="0.35">
      <c r="B72" s="8" t="s">
        <v>13</v>
      </c>
    </row>
    <row r="73" spans="2:2" x14ac:dyDescent="0.35">
      <c r="B73" s="8" t="s">
        <v>14</v>
      </c>
    </row>
    <row r="74" spans="2:2" x14ac:dyDescent="0.35">
      <c r="B74" s="8" t="s">
        <v>13</v>
      </c>
    </row>
    <row r="75" spans="2:2" x14ac:dyDescent="0.35">
      <c r="B75" s="8" t="s">
        <v>14</v>
      </c>
    </row>
    <row r="76" spans="2:2" x14ac:dyDescent="0.35">
      <c r="B76" s="8" t="s">
        <v>13</v>
      </c>
    </row>
    <row r="77" spans="2:2" x14ac:dyDescent="0.35">
      <c r="B77" s="8" t="s">
        <v>14</v>
      </c>
    </row>
    <row r="78" spans="2:2" x14ac:dyDescent="0.35">
      <c r="B78" s="8" t="s">
        <v>14</v>
      </c>
    </row>
    <row r="79" spans="2:2" x14ac:dyDescent="0.35">
      <c r="B79" s="8" t="s">
        <v>14</v>
      </c>
    </row>
    <row r="80" spans="2:2" x14ac:dyDescent="0.35">
      <c r="B80" s="8" t="s">
        <v>13</v>
      </c>
    </row>
    <row r="81" spans="2:2" x14ac:dyDescent="0.35">
      <c r="B81" s="8" t="s">
        <v>14</v>
      </c>
    </row>
    <row r="82" spans="2:2" x14ac:dyDescent="0.35">
      <c r="B82" s="8" t="s">
        <v>14</v>
      </c>
    </row>
    <row r="83" spans="2:2" x14ac:dyDescent="0.35">
      <c r="B83" s="8" t="s">
        <v>13</v>
      </c>
    </row>
    <row r="84" spans="2:2" x14ac:dyDescent="0.35">
      <c r="B84" s="8" t="s">
        <v>13</v>
      </c>
    </row>
    <row r="85" spans="2:2" x14ac:dyDescent="0.35">
      <c r="B85" s="8" t="s">
        <v>14</v>
      </c>
    </row>
    <row r="86" spans="2:2" x14ac:dyDescent="0.35">
      <c r="B86" s="8" t="s">
        <v>14</v>
      </c>
    </row>
    <row r="87" spans="2:2" x14ac:dyDescent="0.35">
      <c r="B87" s="8" t="s">
        <v>13</v>
      </c>
    </row>
    <row r="88" spans="2:2" x14ac:dyDescent="0.35">
      <c r="B88" s="8" t="s">
        <v>14</v>
      </c>
    </row>
    <row r="89" spans="2:2" x14ac:dyDescent="0.35">
      <c r="B89" s="8" t="s">
        <v>13</v>
      </c>
    </row>
    <row r="90" spans="2:2" x14ac:dyDescent="0.35">
      <c r="B90" s="8" t="s">
        <v>13</v>
      </c>
    </row>
    <row r="91" spans="2:2" x14ac:dyDescent="0.35">
      <c r="B91" s="8" t="s">
        <v>13</v>
      </c>
    </row>
    <row r="92" spans="2:2" x14ac:dyDescent="0.35">
      <c r="B92" s="8" t="s">
        <v>13</v>
      </c>
    </row>
    <row r="93" spans="2:2" x14ac:dyDescent="0.35">
      <c r="B93" s="8" t="s">
        <v>14</v>
      </c>
    </row>
    <row r="94" spans="2:2" x14ac:dyDescent="0.35">
      <c r="B94" s="8" t="s">
        <v>13</v>
      </c>
    </row>
    <row r="95" spans="2:2" x14ac:dyDescent="0.35">
      <c r="B95" s="8" t="s">
        <v>14</v>
      </c>
    </row>
    <row r="96" spans="2:2" x14ac:dyDescent="0.35">
      <c r="B96" s="8" t="s">
        <v>13</v>
      </c>
    </row>
    <row r="97" spans="2:2" x14ac:dyDescent="0.35">
      <c r="B97" s="8" t="s">
        <v>13</v>
      </c>
    </row>
    <row r="98" spans="2:2" x14ac:dyDescent="0.35">
      <c r="B98" s="8" t="s">
        <v>14</v>
      </c>
    </row>
    <row r="99" spans="2:2" x14ac:dyDescent="0.35">
      <c r="B99" s="8" t="s">
        <v>13</v>
      </c>
    </row>
    <row r="100" spans="2:2" x14ac:dyDescent="0.35">
      <c r="B100" s="8" t="s">
        <v>14</v>
      </c>
    </row>
  </sheetData>
  <pageMargins left="0.7" right="0.7" top="0.75" bottom="0.75" header="0.3" footer="0.3"/>
  <pageSetup orientation="portrait" r:id="rId2"/>
  <headerFooter>
    <oddFooter>&amp;L3/20/2023&amp;CAXP Internal&amp;R3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zoomScale="76" zoomScaleNormal="76" workbookViewId="0">
      <selection activeCell="D6" sqref="D6:E16"/>
    </sheetView>
  </sheetViews>
  <sheetFormatPr defaultRowHeight="14.5" x14ac:dyDescent="0.35"/>
  <cols>
    <col min="1" max="1" width="2.81640625" customWidth="1"/>
    <col min="2" max="2" width="19.453125" customWidth="1"/>
    <col min="4" max="4" width="13.6328125" bestFit="1" customWidth="1"/>
    <col min="5" max="5" width="37.6328125" bestFit="1" customWidth="1"/>
    <col min="6" max="6" width="18.26953125" bestFit="1" customWidth="1"/>
    <col min="9" max="9" width="19" customWidth="1"/>
    <col min="10" max="10" width="12.1796875" customWidth="1"/>
  </cols>
  <sheetData>
    <row r="1" spans="2:10" ht="25.5" customHeight="1" x14ac:dyDescent="0.45">
      <c r="B1" s="18" t="s">
        <v>118</v>
      </c>
    </row>
    <row r="2" spans="2:10" ht="15" customHeight="1" x14ac:dyDescent="0.35">
      <c r="B2" s="30" t="s">
        <v>3</v>
      </c>
    </row>
    <row r="3" spans="2:10" ht="18" customHeight="1" x14ac:dyDescent="0.35"/>
    <row r="4" spans="2:10" ht="15" customHeight="1" x14ac:dyDescent="0.35">
      <c r="D4" s="3" t="s">
        <v>52</v>
      </c>
      <c r="H4" s="3" t="s">
        <v>53</v>
      </c>
    </row>
    <row r="5" spans="2:10" ht="29" x14ac:dyDescent="0.35">
      <c r="B5" s="14" t="s">
        <v>37</v>
      </c>
      <c r="H5" s="66" t="s">
        <v>34</v>
      </c>
      <c r="I5" s="67" t="s">
        <v>37</v>
      </c>
      <c r="J5" s="65" t="s">
        <v>15</v>
      </c>
    </row>
    <row r="6" spans="2:10" x14ac:dyDescent="0.35">
      <c r="B6" s="8">
        <v>111</v>
      </c>
      <c r="C6" s="11"/>
      <c r="D6" s="9" t="s">
        <v>318</v>
      </c>
      <c r="E6" t="s">
        <v>320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35">
      <c r="B7" s="8">
        <v>107</v>
      </c>
      <c r="C7" s="11"/>
      <c r="D7" s="101" t="s">
        <v>321</v>
      </c>
      <c r="E7" s="102">
        <v>9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35">
      <c r="B8" s="8">
        <v>109</v>
      </c>
      <c r="C8" s="11"/>
      <c r="D8" s="101" t="s">
        <v>322</v>
      </c>
      <c r="E8" s="102">
        <v>22</v>
      </c>
      <c r="H8" s="68">
        <v>130</v>
      </c>
      <c r="I8" s="8" t="str">
        <f t="shared" si="0"/>
        <v>110-130</v>
      </c>
      <c r="J8" s="8">
        <v>11</v>
      </c>
    </row>
    <row r="9" spans="2:10" x14ac:dyDescent="0.35">
      <c r="B9" s="8">
        <v>148</v>
      </c>
      <c r="C9" s="11"/>
      <c r="D9" s="101" t="s">
        <v>323</v>
      </c>
      <c r="E9" s="102">
        <v>11</v>
      </c>
      <c r="H9" s="68">
        <v>150</v>
      </c>
      <c r="I9" s="8" t="str">
        <f t="shared" si="0"/>
        <v>130-150</v>
      </c>
      <c r="J9" s="8">
        <v>4</v>
      </c>
    </row>
    <row r="10" spans="2:10" x14ac:dyDescent="0.35">
      <c r="B10" s="8">
        <v>255.5</v>
      </c>
      <c r="C10" s="11"/>
      <c r="D10" s="101" t="s">
        <v>324</v>
      </c>
      <c r="E10" s="102">
        <v>4</v>
      </c>
      <c r="H10" s="68">
        <v>170</v>
      </c>
      <c r="I10" s="8" t="str">
        <f t="shared" si="0"/>
        <v>150-170</v>
      </c>
      <c r="J10" s="8">
        <v>3</v>
      </c>
    </row>
    <row r="11" spans="2:10" x14ac:dyDescent="0.35">
      <c r="B11" s="8">
        <v>103.5</v>
      </c>
      <c r="C11" s="11"/>
      <c r="D11" s="101" t="s">
        <v>325</v>
      </c>
      <c r="E11" s="102">
        <v>3</v>
      </c>
      <c r="H11" s="68">
        <v>190</v>
      </c>
      <c r="I11" s="8" t="str">
        <f t="shared" si="0"/>
        <v>170-190</v>
      </c>
      <c r="J11" s="8">
        <v>1</v>
      </c>
    </row>
    <row r="12" spans="2:10" x14ac:dyDescent="0.35">
      <c r="B12" s="8">
        <v>114.5</v>
      </c>
      <c r="C12" s="11"/>
      <c r="D12" s="101" t="s">
        <v>326</v>
      </c>
      <c r="E12" s="102">
        <v>1</v>
      </c>
      <c r="H12" s="68">
        <v>210</v>
      </c>
      <c r="I12" s="8" t="str">
        <f t="shared" si="0"/>
        <v>190-210</v>
      </c>
      <c r="J12" s="8">
        <v>1</v>
      </c>
    </row>
    <row r="13" spans="2:10" x14ac:dyDescent="0.35">
      <c r="B13" s="8">
        <v>124</v>
      </c>
      <c r="C13" s="11"/>
      <c r="D13" s="101" t="s">
        <v>327</v>
      </c>
      <c r="E13" s="102">
        <v>1</v>
      </c>
      <c r="H13" s="68">
        <v>230</v>
      </c>
      <c r="I13" s="8" t="str">
        <f t="shared" si="0"/>
        <v>210-230</v>
      </c>
      <c r="J13" s="8">
        <v>0</v>
      </c>
    </row>
    <row r="14" spans="2:10" x14ac:dyDescent="0.35">
      <c r="B14" s="8">
        <v>132.5</v>
      </c>
      <c r="C14" s="11"/>
      <c r="D14" s="101" t="s">
        <v>328</v>
      </c>
      <c r="E14" s="102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35">
      <c r="B15" s="8">
        <v>99</v>
      </c>
      <c r="C15" s="11"/>
      <c r="D15" s="101" t="s">
        <v>329</v>
      </c>
      <c r="E15" s="102">
        <v>1</v>
      </c>
      <c r="H15" s="68">
        <v>270</v>
      </c>
      <c r="I15" s="8" t="str">
        <f t="shared" si="0"/>
        <v>250-270</v>
      </c>
      <c r="J15" s="8">
        <v>1</v>
      </c>
    </row>
    <row r="16" spans="2:10" x14ac:dyDescent="0.35">
      <c r="B16" s="8">
        <v>124</v>
      </c>
      <c r="C16" s="11"/>
      <c r="D16" s="101" t="s">
        <v>17</v>
      </c>
      <c r="E16" s="102">
        <v>53</v>
      </c>
      <c r="H16" s="68">
        <v>290</v>
      </c>
      <c r="I16" s="8" t="str">
        <f t="shared" si="0"/>
        <v>270-290</v>
      </c>
      <c r="J16" s="8">
        <v>0</v>
      </c>
    </row>
    <row r="17" spans="2:10" x14ac:dyDescent="0.35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35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35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35">
      <c r="B20" s="8">
        <v>91.5</v>
      </c>
      <c r="C20" s="11"/>
    </row>
    <row r="21" spans="2:10" x14ac:dyDescent="0.35">
      <c r="B21" s="8">
        <v>113.5</v>
      </c>
      <c r="C21" s="11"/>
    </row>
    <row r="22" spans="2:10" x14ac:dyDescent="0.35">
      <c r="B22" s="8">
        <v>99</v>
      </c>
      <c r="C22" s="11"/>
    </row>
    <row r="23" spans="2:10" x14ac:dyDescent="0.35">
      <c r="B23" s="8">
        <v>75.5</v>
      </c>
      <c r="C23" s="11"/>
    </row>
    <row r="24" spans="2:10" x14ac:dyDescent="0.35">
      <c r="B24" s="8">
        <v>86</v>
      </c>
      <c r="C24" s="11"/>
    </row>
    <row r="25" spans="2:10" x14ac:dyDescent="0.35">
      <c r="B25" s="8">
        <v>156.5</v>
      </c>
      <c r="C25" s="11"/>
    </row>
    <row r="26" spans="2:10" x14ac:dyDescent="0.35">
      <c r="B26" s="8">
        <v>99.5</v>
      </c>
      <c r="C26" s="11"/>
    </row>
    <row r="27" spans="2:10" x14ac:dyDescent="0.35">
      <c r="B27" s="8">
        <v>148</v>
      </c>
      <c r="C27" s="11"/>
    </row>
    <row r="28" spans="2:10" x14ac:dyDescent="0.35">
      <c r="B28" s="8">
        <v>82</v>
      </c>
      <c r="C28" s="11"/>
    </row>
    <row r="29" spans="2:10" x14ac:dyDescent="0.35">
      <c r="B29" s="8">
        <v>103.5</v>
      </c>
      <c r="C29" s="11"/>
    </row>
    <row r="30" spans="2:10" x14ac:dyDescent="0.35">
      <c r="B30" s="8">
        <v>205.5</v>
      </c>
      <c r="C30" s="11"/>
    </row>
    <row r="31" spans="2:10" x14ac:dyDescent="0.35">
      <c r="B31" s="8">
        <v>103.5</v>
      </c>
      <c r="C31" s="11"/>
    </row>
    <row r="32" spans="2:10" x14ac:dyDescent="0.35">
      <c r="B32" s="8">
        <v>340</v>
      </c>
      <c r="C32" s="11"/>
    </row>
    <row r="33" spans="2:3" x14ac:dyDescent="0.35">
      <c r="B33" s="8">
        <v>103.5</v>
      </c>
      <c r="C33" s="11"/>
    </row>
    <row r="34" spans="2:3" x14ac:dyDescent="0.35">
      <c r="B34" s="8">
        <v>99.5</v>
      </c>
      <c r="C34" s="11"/>
    </row>
    <row r="35" spans="2:3" x14ac:dyDescent="0.35">
      <c r="B35" s="8">
        <v>103</v>
      </c>
      <c r="C35" s="11"/>
    </row>
    <row r="36" spans="2:3" x14ac:dyDescent="0.35">
      <c r="B36" s="8">
        <v>103.5</v>
      </c>
      <c r="C36" s="11"/>
    </row>
    <row r="37" spans="2:3" x14ac:dyDescent="0.35">
      <c r="B37" s="8">
        <v>165</v>
      </c>
      <c r="C37" s="11"/>
    </row>
    <row r="38" spans="2:3" x14ac:dyDescent="0.35">
      <c r="B38" s="8">
        <v>124.5</v>
      </c>
      <c r="C38" s="11"/>
    </row>
    <row r="39" spans="2:3" x14ac:dyDescent="0.35">
      <c r="B39" s="8">
        <v>103.5</v>
      </c>
      <c r="C39" s="11"/>
    </row>
    <row r="40" spans="2:3" x14ac:dyDescent="0.35">
      <c r="B40" s="8">
        <v>82.5</v>
      </c>
      <c r="C40" s="11"/>
    </row>
    <row r="41" spans="2:3" x14ac:dyDescent="0.35">
      <c r="B41" s="8">
        <v>93</v>
      </c>
      <c r="C41" s="11"/>
    </row>
    <row r="42" spans="2:3" x14ac:dyDescent="0.35">
      <c r="B42" s="8">
        <v>168</v>
      </c>
      <c r="C42" s="11"/>
    </row>
    <row r="43" spans="2:3" x14ac:dyDescent="0.35">
      <c r="B43" s="8">
        <v>96</v>
      </c>
      <c r="C43" s="11"/>
    </row>
    <row r="44" spans="2:3" x14ac:dyDescent="0.35">
      <c r="B44" s="8">
        <v>80</v>
      </c>
      <c r="C44" s="11"/>
    </row>
    <row r="45" spans="2:3" x14ac:dyDescent="0.35">
      <c r="B45" s="8">
        <v>124.5</v>
      </c>
      <c r="C45" s="11"/>
    </row>
    <row r="46" spans="2:3" x14ac:dyDescent="0.35">
      <c r="B46" s="8">
        <v>99</v>
      </c>
      <c r="C46" s="11"/>
    </row>
    <row r="47" spans="2:3" x14ac:dyDescent="0.35">
      <c r="B47" s="8">
        <v>124</v>
      </c>
      <c r="C47" s="11"/>
    </row>
    <row r="48" spans="2:3" x14ac:dyDescent="0.35">
      <c r="B48" s="8">
        <v>91.5</v>
      </c>
      <c r="C48" s="11"/>
    </row>
    <row r="49" spans="2:3" x14ac:dyDescent="0.35">
      <c r="B49" s="8">
        <v>144.5</v>
      </c>
      <c r="C49" s="11"/>
    </row>
    <row r="50" spans="2:3" x14ac:dyDescent="0.35">
      <c r="B50" s="8">
        <v>114.5</v>
      </c>
      <c r="C50" s="11"/>
    </row>
    <row r="51" spans="2:3" x14ac:dyDescent="0.35">
      <c r="B51" s="8">
        <v>104.5</v>
      </c>
      <c r="C51" s="11"/>
    </row>
    <row r="52" spans="2:3" x14ac:dyDescent="0.35">
      <c r="B52" s="8">
        <v>124</v>
      </c>
      <c r="C52" s="11"/>
    </row>
    <row r="53" spans="2:3" x14ac:dyDescent="0.35">
      <c r="B53" s="8">
        <v>113</v>
      </c>
      <c r="C53" s="11"/>
    </row>
    <row r="54" spans="2:3" x14ac:dyDescent="0.35">
      <c r="B54" s="8">
        <v>78</v>
      </c>
      <c r="C54" s="11"/>
    </row>
    <row r="55" spans="2:3" x14ac:dyDescent="0.35">
      <c r="B55" s="8">
        <v>109</v>
      </c>
      <c r="C55" s="11"/>
    </row>
    <row r="56" spans="2:3" x14ac:dyDescent="0.35">
      <c r="B56" s="8">
        <v>99.5</v>
      </c>
      <c r="C56" s="11"/>
    </row>
    <row r="57" spans="2:3" x14ac:dyDescent="0.35">
      <c r="B57" s="8">
        <v>107</v>
      </c>
      <c r="C57" s="11"/>
    </row>
    <row r="58" spans="2:3" x14ac:dyDescent="0.35">
      <c r="B58" s="8">
        <v>84</v>
      </c>
      <c r="C58" s="11"/>
    </row>
  </sheetData>
  <pageMargins left="0.7" right="0.7" top="0.75" bottom="0.75" header="0.3" footer="0.3"/>
  <pageSetup orientation="portrait" r:id="rId2"/>
  <headerFooter>
    <oddFooter>&amp;L3/20/2023&amp;CAXP Internal&amp;R4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Q58"/>
  <sheetViews>
    <sheetView showGridLines="0" topLeftCell="A3" zoomScale="78" zoomScaleNormal="78" workbookViewId="0">
      <selection activeCell="P24" sqref="P24"/>
    </sheetView>
  </sheetViews>
  <sheetFormatPr defaultRowHeight="14.5" x14ac:dyDescent="0.35"/>
  <cols>
    <col min="1" max="1" width="2.81640625" customWidth="1"/>
    <col min="2" max="2" width="19.453125" customWidth="1"/>
    <col min="12" max="12" width="19" customWidth="1"/>
    <col min="13" max="13" width="12.1796875" customWidth="1"/>
  </cols>
  <sheetData>
    <row r="1" spans="2:15" ht="25.5" customHeight="1" x14ac:dyDescent="0.45">
      <c r="B1" s="18" t="s">
        <v>118</v>
      </c>
    </row>
    <row r="2" spans="2:15" ht="15" customHeight="1" x14ac:dyDescent="0.35">
      <c r="B2" s="30" t="s">
        <v>4</v>
      </c>
    </row>
    <row r="3" spans="2:15" ht="18" customHeight="1" x14ac:dyDescent="0.35"/>
    <row r="4" spans="2:15" x14ac:dyDescent="0.35">
      <c r="D4" s="3" t="s">
        <v>56</v>
      </c>
      <c r="O4" s="3" t="s">
        <v>55</v>
      </c>
    </row>
    <row r="5" spans="2:15" ht="29" x14ac:dyDescent="0.35">
      <c r="B5" s="14" t="s">
        <v>37</v>
      </c>
      <c r="L5" s="13" t="s">
        <v>37</v>
      </c>
      <c r="M5" s="7" t="s">
        <v>15</v>
      </c>
    </row>
    <row r="6" spans="2:15" x14ac:dyDescent="0.35">
      <c r="B6" s="8">
        <v>111</v>
      </c>
      <c r="L6" s="8" t="s">
        <v>269</v>
      </c>
      <c r="M6" s="8">
        <v>9</v>
      </c>
    </row>
    <row r="7" spans="2:15" x14ac:dyDescent="0.35">
      <c r="B7" s="8">
        <v>107</v>
      </c>
      <c r="L7" s="8" t="s">
        <v>270</v>
      </c>
      <c r="M7" s="8">
        <v>18</v>
      </c>
    </row>
    <row r="8" spans="2:15" x14ac:dyDescent="0.35">
      <c r="B8" s="8">
        <v>109</v>
      </c>
      <c r="L8" s="8" t="s">
        <v>271</v>
      </c>
      <c r="M8" s="8">
        <v>9</v>
      </c>
    </row>
    <row r="9" spans="2:15" x14ac:dyDescent="0.35">
      <c r="B9" s="8">
        <v>148</v>
      </c>
      <c r="L9" s="8" t="s">
        <v>272</v>
      </c>
      <c r="M9" s="8">
        <v>7</v>
      </c>
    </row>
    <row r="10" spans="2:15" x14ac:dyDescent="0.35">
      <c r="B10" s="8">
        <v>255.5</v>
      </c>
      <c r="L10" s="8" t="s">
        <v>273</v>
      </c>
      <c r="M10" s="8">
        <v>3</v>
      </c>
    </row>
    <row r="11" spans="2:15" x14ac:dyDescent="0.35">
      <c r="B11" s="8">
        <v>103.5</v>
      </c>
      <c r="L11" s="8" t="s">
        <v>274</v>
      </c>
      <c r="M11" s="8">
        <v>2</v>
      </c>
    </row>
    <row r="12" spans="2:15" x14ac:dyDescent="0.35">
      <c r="B12" s="8">
        <v>114.5</v>
      </c>
      <c r="L12" s="8" t="s">
        <v>275</v>
      </c>
      <c r="M12" s="8">
        <v>1</v>
      </c>
    </row>
    <row r="13" spans="2:15" x14ac:dyDescent="0.35">
      <c r="B13" s="8">
        <v>124</v>
      </c>
      <c r="L13" s="8" t="s">
        <v>276</v>
      </c>
      <c r="M13" s="8">
        <v>1</v>
      </c>
    </row>
    <row r="14" spans="2:15" x14ac:dyDescent="0.35">
      <c r="B14" s="8">
        <v>132.5</v>
      </c>
      <c r="L14" s="8" t="s">
        <v>277</v>
      </c>
      <c r="M14" s="8">
        <v>1</v>
      </c>
    </row>
    <row r="15" spans="2:15" x14ac:dyDescent="0.35">
      <c r="B15" s="8">
        <v>99</v>
      </c>
      <c r="L15" s="8" t="s">
        <v>278</v>
      </c>
      <c r="M15" s="8">
        <v>0</v>
      </c>
    </row>
    <row r="16" spans="2:15" x14ac:dyDescent="0.35">
      <c r="B16" s="8">
        <v>124</v>
      </c>
      <c r="L16" s="8" t="s">
        <v>279</v>
      </c>
      <c r="M16" s="8">
        <v>0</v>
      </c>
    </row>
    <row r="17" spans="2:17" x14ac:dyDescent="0.35">
      <c r="B17" s="8">
        <v>82</v>
      </c>
      <c r="L17" s="8" t="s">
        <v>280</v>
      </c>
      <c r="M17" s="8">
        <v>0</v>
      </c>
    </row>
    <row r="18" spans="2:17" x14ac:dyDescent="0.35">
      <c r="B18" s="8">
        <v>185</v>
      </c>
      <c r="L18" s="8" t="s">
        <v>281</v>
      </c>
      <c r="M18" s="8">
        <v>1</v>
      </c>
    </row>
    <row r="19" spans="2:17" x14ac:dyDescent="0.35">
      <c r="B19" s="8">
        <v>89.5</v>
      </c>
      <c r="L19" s="8" t="s">
        <v>282</v>
      </c>
      <c r="M19" s="8">
        <v>0</v>
      </c>
    </row>
    <row r="20" spans="2:17" x14ac:dyDescent="0.35">
      <c r="B20" s="8">
        <v>91.5</v>
      </c>
      <c r="L20" s="8" t="s">
        <v>283</v>
      </c>
      <c r="M20" s="8">
        <v>0</v>
      </c>
    </row>
    <row r="21" spans="2:17" x14ac:dyDescent="0.35">
      <c r="B21" s="8">
        <v>113.5</v>
      </c>
      <c r="L21" s="8" t="s">
        <v>284</v>
      </c>
      <c r="M21" s="8">
        <v>0</v>
      </c>
    </row>
    <row r="22" spans="2:17" x14ac:dyDescent="0.35">
      <c r="B22" s="8">
        <v>99</v>
      </c>
      <c r="L22" s="8" t="s">
        <v>285</v>
      </c>
      <c r="M22" s="8">
        <v>0</v>
      </c>
    </row>
    <row r="23" spans="2:17" x14ac:dyDescent="0.35">
      <c r="B23" s="8">
        <v>75.5</v>
      </c>
      <c r="L23" s="8" t="s">
        <v>286</v>
      </c>
      <c r="M23" s="8">
        <v>1</v>
      </c>
    </row>
    <row r="24" spans="2:17" x14ac:dyDescent="0.35">
      <c r="B24" s="8">
        <v>86</v>
      </c>
      <c r="E24" t="s">
        <v>330</v>
      </c>
      <c r="Q24" t="s">
        <v>333</v>
      </c>
    </row>
    <row r="25" spans="2:17" x14ac:dyDescent="0.35">
      <c r="B25" s="8">
        <v>156.5</v>
      </c>
      <c r="E25" t="s">
        <v>331</v>
      </c>
      <c r="Q25" t="s">
        <v>334</v>
      </c>
    </row>
    <row r="26" spans="2:17" x14ac:dyDescent="0.35">
      <c r="B26" s="8">
        <v>99.5</v>
      </c>
      <c r="E26" t="s">
        <v>332</v>
      </c>
    </row>
    <row r="27" spans="2:17" x14ac:dyDescent="0.35">
      <c r="B27" s="8">
        <v>148</v>
      </c>
    </row>
    <row r="28" spans="2:17" x14ac:dyDescent="0.35">
      <c r="B28" s="8">
        <v>82</v>
      </c>
    </row>
    <row r="29" spans="2:17" x14ac:dyDescent="0.35">
      <c r="B29" s="8">
        <v>103.5</v>
      </c>
    </row>
    <row r="30" spans="2:17" x14ac:dyDescent="0.35">
      <c r="B30" s="8">
        <v>205.5</v>
      </c>
    </row>
    <row r="31" spans="2:17" x14ac:dyDescent="0.35">
      <c r="B31" s="8">
        <v>103.5</v>
      </c>
    </row>
    <row r="32" spans="2:17" x14ac:dyDescent="0.35">
      <c r="B32" s="8">
        <v>340</v>
      </c>
    </row>
    <row r="33" spans="2:2" x14ac:dyDescent="0.35">
      <c r="B33" s="8">
        <v>103.5</v>
      </c>
    </row>
    <row r="34" spans="2:2" x14ac:dyDescent="0.35">
      <c r="B34" s="8">
        <v>99.5</v>
      </c>
    </row>
    <row r="35" spans="2:2" x14ac:dyDescent="0.35">
      <c r="B35" s="8">
        <v>103</v>
      </c>
    </row>
    <row r="36" spans="2:2" x14ac:dyDescent="0.35">
      <c r="B36" s="8">
        <v>103.5</v>
      </c>
    </row>
    <row r="37" spans="2:2" x14ac:dyDescent="0.35">
      <c r="B37" s="8">
        <v>165</v>
      </c>
    </row>
    <row r="38" spans="2:2" x14ac:dyDescent="0.35">
      <c r="B38" s="8">
        <v>124.5</v>
      </c>
    </row>
    <row r="39" spans="2:2" x14ac:dyDescent="0.35">
      <c r="B39" s="8">
        <v>103.5</v>
      </c>
    </row>
    <row r="40" spans="2:2" x14ac:dyDescent="0.35">
      <c r="B40" s="8">
        <v>82.5</v>
      </c>
    </row>
    <row r="41" spans="2:2" x14ac:dyDescent="0.35">
      <c r="B41" s="8">
        <v>93</v>
      </c>
    </row>
    <row r="42" spans="2:2" x14ac:dyDescent="0.35">
      <c r="B42" s="8">
        <v>168</v>
      </c>
    </row>
    <row r="43" spans="2:2" x14ac:dyDescent="0.35">
      <c r="B43" s="8">
        <v>96</v>
      </c>
    </row>
    <row r="44" spans="2:2" x14ac:dyDescent="0.35">
      <c r="B44" s="8">
        <v>80</v>
      </c>
    </row>
    <row r="45" spans="2:2" x14ac:dyDescent="0.35">
      <c r="B45" s="8">
        <v>124.5</v>
      </c>
    </row>
    <row r="46" spans="2:2" x14ac:dyDescent="0.35">
      <c r="B46" s="8">
        <v>99</v>
      </c>
    </row>
    <row r="47" spans="2:2" x14ac:dyDescent="0.35">
      <c r="B47" s="8">
        <v>124</v>
      </c>
    </row>
    <row r="48" spans="2:2" x14ac:dyDescent="0.35">
      <c r="B48" s="8">
        <v>91.5</v>
      </c>
    </row>
    <row r="49" spans="2:2" x14ac:dyDescent="0.35">
      <c r="B49" s="8">
        <v>144.5</v>
      </c>
    </row>
    <row r="50" spans="2:2" x14ac:dyDescent="0.35">
      <c r="B50" s="8">
        <v>114.5</v>
      </c>
    </row>
    <row r="51" spans="2:2" x14ac:dyDescent="0.35">
      <c r="B51" s="8">
        <v>104.5</v>
      </c>
    </row>
    <row r="52" spans="2:2" x14ac:dyDescent="0.35">
      <c r="B52" s="8">
        <v>124</v>
      </c>
    </row>
    <row r="53" spans="2:2" x14ac:dyDescent="0.35">
      <c r="B53" s="8">
        <v>113</v>
      </c>
    </row>
    <row r="54" spans="2:2" x14ac:dyDescent="0.35">
      <c r="B54" s="8">
        <v>78</v>
      </c>
    </row>
    <row r="55" spans="2:2" x14ac:dyDescent="0.35">
      <c r="B55" s="8">
        <v>109</v>
      </c>
    </row>
    <row r="56" spans="2:2" x14ac:dyDescent="0.35">
      <c r="B56" s="8">
        <v>99.5</v>
      </c>
    </row>
    <row r="57" spans="2:2" x14ac:dyDescent="0.35">
      <c r="B57" s="8">
        <v>107</v>
      </c>
    </row>
    <row r="58" spans="2:2" x14ac:dyDescent="0.35">
      <c r="B58" s="8">
        <v>84</v>
      </c>
    </row>
  </sheetData>
  <pageMargins left="0.7" right="0.7" top="0.75" bottom="0.75" header="0.3" footer="0.3"/>
  <pageSetup orientation="portrait" r:id="rId1"/>
  <headerFooter>
    <oddFooter>&amp;L3/20/2023&amp;CAXP Internal&amp;R5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K100"/>
  <sheetViews>
    <sheetView showGridLines="0" workbookViewId="0">
      <selection activeCell="R4" sqref="R4"/>
    </sheetView>
  </sheetViews>
  <sheetFormatPr defaultRowHeight="14.5" x14ac:dyDescent="0.35"/>
  <cols>
    <col min="1" max="1" width="2.81640625" customWidth="1"/>
    <col min="2" max="2" width="11.26953125" customWidth="1"/>
    <col min="4" max="4" width="12.36328125" bestFit="1" customWidth="1"/>
    <col min="5" max="5" width="18.26953125" bestFit="1" customWidth="1"/>
  </cols>
  <sheetData>
    <row r="1" spans="2:5" ht="25.5" customHeight="1" x14ac:dyDescent="0.45">
      <c r="B1" s="18" t="s">
        <v>119</v>
      </c>
    </row>
    <row r="2" spans="2:5" ht="15" customHeight="1" x14ac:dyDescent="0.35">
      <c r="B2" s="30" t="s">
        <v>287</v>
      </c>
    </row>
    <row r="3" spans="2:5" ht="18" customHeight="1" x14ac:dyDescent="0.35"/>
    <row r="5" spans="2:5" x14ac:dyDescent="0.35">
      <c r="B5" s="7" t="s">
        <v>77</v>
      </c>
      <c r="D5" s="9" t="s">
        <v>318</v>
      </c>
      <c r="E5" t="s">
        <v>335</v>
      </c>
    </row>
    <row r="6" spans="2:5" x14ac:dyDescent="0.35">
      <c r="B6" s="8">
        <v>90.2</v>
      </c>
      <c r="D6" s="101" t="s">
        <v>38</v>
      </c>
      <c r="E6" s="102">
        <v>1</v>
      </c>
    </row>
    <row r="7" spans="2:5" x14ac:dyDescent="0.35">
      <c r="B7" s="8">
        <v>92.8</v>
      </c>
      <c r="D7" s="101" t="s">
        <v>39</v>
      </c>
      <c r="E7" s="102">
        <v>3</v>
      </c>
    </row>
    <row r="8" spans="2:5" x14ac:dyDescent="0.35">
      <c r="B8" s="8">
        <v>68.7</v>
      </c>
      <c r="D8" s="101" t="s">
        <v>40</v>
      </c>
      <c r="E8" s="102">
        <v>17</v>
      </c>
    </row>
    <row r="9" spans="2:5" x14ac:dyDescent="0.35">
      <c r="B9" s="8">
        <v>80.7</v>
      </c>
      <c r="D9" s="101" t="s">
        <v>41</v>
      </c>
      <c r="E9" s="102">
        <v>24</v>
      </c>
    </row>
    <row r="10" spans="2:5" x14ac:dyDescent="0.35">
      <c r="B10" s="8">
        <v>74.900000000000006</v>
      </c>
      <c r="D10" s="101" t="s">
        <v>42</v>
      </c>
      <c r="E10" s="102">
        <v>29</v>
      </c>
    </row>
    <row r="11" spans="2:5" x14ac:dyDescent="0.35">
      <c r="B11" s="8">
        <v>80.7</v>
      </c>
      <c r="D11" s="101" t="s">
        <v>43</v>
      </c>
      <c r="E11" s="102">
        <v>17</v>
      </c>
    </row>
    <row r="12" spans="2:5" x14ac:dyDescent="0.35">
      <c r="B12" s="8">
        <v>83.3</v>
      </c>
      <c r="D12" s="101" t="s">
        <v>44</v>
      </c>
      <c r="E12" s="102">
        <v>3</v>
      </c>
    </row>
    <row r="13" spans="2:5" x14ac:dyDescent="0.35">
      <c r="B13" s="8">
        <v>88.7</v>
      </c>
      <c r="D13" s="101" t="s">
        <v>45</v>
      </c>
      <c r="E13" s="102">
        <v>1</v>
      </c>
    </row>
    <row r="14" spans="2:5" x14ac:dyDescent="0.35">
      <c r="B14" s="8">
        <v>75.400000000000006</v>
      </c>
      <c r="D14" s="101" t="s">
        <v>17</v>
      </c>
      <c r="E14" s="102">
        <v>95</v>
      </c>
    </row>
    <row r="15" spans="2:5" x14ac:dyDescent="0.35">
      <c r="B15" s="8">
        <v>82.1</v>
      </c>
    </row>
    <row r="16" spans="2:5" x14ac:dyDescent="0.35">
      <c r="B16" s="8">
        <v>87.5</v>
      </c>
    </row>
    <row r="17" spans="2:11" x14ac:dyDescent="0.35">
      <c r="B17" s="8">
        <v>66.900000000000006</v>
      </c>
      <c r="K17" t="s">
        <v>336</v>
      </c>
    </row>
    <row r="18" spans="2:11" x14ac:dyDescent="0.35">
      <c r="B18" s="8">
        <v>71.3</v>
      </c>
    </row>
    <row r="19" spans="2:11" x14ac:dyDescent="0.35">
      <c r="B19" s="8">
        <v>76.8</v>
      </c>
    </row>
    <row r="20" spans="2:11" x14ac:dyDescent="0.35">
      <c r="B20" s="8">
        <v>72.3</v>
      </c>
    </row>
    <row r="21" spans="2:11" x14ac:dyDescent="0.35">
      <c r="B21" s="8">
        <v>72.400000000000006</v>
      </c>
    </row>
    <row r="22" spans="2:11" x14ac:dyDescent="0.35">
      <c r="B22" s="8">
        <v>72</v>
      </c>
    </row>
    <row r="23" spans="2:11" x14ac:dyDescent="0.35">
      <c r="B23" s="8">
        <v>81</v>
      </c>
    </row>
    <row r="24" spans="2:11" x14ac:dyDescent="0.35">
      <c r="B24" s="8">
        <v>96.1</v>
      </c>
    </row>
    <row r="25" spans="2:11" x14ac:dyDescent="0.35">
      <c r="B25" s="8">
        <v>76.7</v>
      </c>
    </row>
    <row r="26" spans="2:11" x14ac:dyDescent="0.35">
      <c r="B26" s="8">
        <v>80.3</v>
      </c>
    </row>
    <row r="27" spans="2:11" x14ac:dyDescent="0.35">
      <c r="B27" s="8">
        <v>77.8</v>
      </c>
    </row>
    <row r="28" spans="2:11" x14ac:dyDescent="0.35">
      <c r="B28" s="8">
        <v>62.6</v>
      </c>
    </row>
    <row r="29" spans="2:11" x14ac:dyDescent="0.35">
      <c r="B29" s="8">
        <v>80.2</v>
      </c>
    </row>
    <row r="30" spans="2:11" x14ac:dyDescent="0.35">
      <c r="B30" s="8">
        <v>79.099999999999994</v>
      </c>
    </row>
    <row r="31" spans="2:11" x14ac:dyDescent="0.35">
      <c r="B31" s="8">
        <v>77.8</v>
      </c>
    </row>
    <row r="32" spans="2:11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pageMargins left="0.7" right="0.7" top="0.75" bottom="0.75" header="0.3" footer="0.3"/>
  <pageSetup orientation="portrait" r:id="rId2"/>
  <headerFooter>
    <oddFooter>&amp;L3/20/2023&amp;CAXP Internal&amp;R6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H11" sqref="H11"/>
    </sheetView>
  </sheetViews>
  <sheetFormatPr defaultRowHeight="14.5" x14ac:dyDescent="0.35"/>
  <cols>
    <col min="1" max="1" width="2.81640625" customWidth="1"/>
    <col min="2" max="2" width="16.26953125" bestFit="1" customWidth="1"/>
    <col min="3" max="3" width="13.1796875" bestFit="1" customWidth="1"/>
    <col min="6" max="6" width="14.26953125" customWidth="1"/>
    <col min="8" max="10" width="14.26953125" customWidth="1"/>
    <col min="12" max="14" width="14.26953125" customWidth="1"/>
  </cols>
  <sheetData>
    <row r="1" spans="2:14" ht="25.5" customHeight="1" x14ac:dyDescent="0.45">
      <c r="B1" s="18" t="s">
        <v>120</v>
      </c>
    </row>
    <row r="2" spans="2:14" ht="15" customHeight="1" x14ac:dyDescent="0.35">
      <c r="B2" s="30" t="s">
        <v>288</v>
      </c>
    </row>
    <row r="3" spans="2:14" ht="18" customHeight="1" x14ac:dyDescent="0.35"/>
    <row r="4" spans="2:14" x14ac:dyDescent="0.35">
      <c r="E4" s="3" t="s">
        <v>54</v>
      </c>
      <c r="H4" s="3" t="s">
        <v>54</v>
      </c>
      <c r="L4" s="3" t="s">
        <v>53</v>
      </c>
    </row>
    <row r="5" spans="2:14" x14ac:dyDescent="0.35">
      <c r="B5" s="7" t="s">
        <v>21</v>
      </c>
      <c r="C5" s="7" t="s">
        <v>35</v>
      </c>
      <c r="E5" s="121" t="s">
        <v>51</v>
      </c>
      <c r="F5" s="121"/>
      <c r="H5" s="121" t="s">
        <v>57</v>
      </c>
      <c r="I5" s="121"/>
      <c r="J5" s="121"/>
      <c r="L5" s="122" t="s">
        <v>57</v>
      </c>
      <c r="M5" s="122"/>
      <c r="N5" s="122"/>
    </row>
    <row r="6" spans="2:14" x14ac:dyDescent="0.35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35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 ca="1">AVERAGEIF($B$5:$C$58,I6,$C$6:$C$58)</f>
        <v>107617.64705882352</v>
      </c>
      <c r="J7" s="69">
        <f ca="1">AVERAGEIF($B$5:$C$58,J6,$C$6:$C$58)</f>
        <v>125342.85714285714</v>
      </c>
      <c r="L7" s="20" t="s">
        <v>46</v>
      </c>
      <c r="M7" s="69" cm="1">
        <f t="array" ref="M7:N7">AVERAGEIFS(C6:C58,B6:B58,M6:N6)</f>
        <v>124647.05882352941</v>
      </c>
      <c r="N7" s="69">
        <v>116902.77777777778</v>
      </c>
    </row>
    <row r="8" spans="2:14" x14ac:dyDescent="0.35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 = I6,$C$6:$C$58))</f>
        <v>103500</v>
      </c>
      <c r="J8" s="69" cm="1">
        <f t="array" ref="J8">MEDIAN(IF($B$6:$B$58 = 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35">
      <c r="B9" s="8" t="s">
        <v>25</v>
      </c>
      <c r="C9" s="12">
        <v>148000</v>
      </c>
      <c r="H9" s="20" t="s">
        <v>48</v>
      </c>
      <c r="I9" s="69" cm="1">
        <f t="array" ref="I9">MODE(IF($B$6:$B$58 = I6,$C$6:$C$58))</f>
        <v>99000</v>
      </c>
      <c r="J9" s="69" cm="1">
        <f t="array" ref="J9">MODE(IF($B$6:$B$58 = J6,$C$6:$C$58))</f>
        <v>103500</v>
      </c>
      <c r="L9" s="20" t="s">
        <v>50</v>
      </c>
      <c r="M9" s="69" cm="1">
        <f t="array" ref="M9">MODE(_xlfn._xlws.FILTER($C$6:$C$58,$B$6:$B$58 = M6))</f>
        <v>99000</v>
      </c>
      <c r="N9" s="69" cm="1">
        <f t="array" ref="N9">MODE(_xlfn._xlws.FILTER($C$6:$C$58,$B$6:$B$58 = N6))</f>
        <v>103500</v>
      </c>
    </row>
    <row r="10" spans="2:14" x14ac:dyDescent="0.35">
      <c r="B10" s="8" t="s">
        <v>25</v>
      </c>
      <c r="C10" s="12">
        <v>255500</v>
      </c>
      <c r="M10" s="19"/>
    </row>
    <row r="11" spans="2:14" x14ac:dyDescent="0.35">
      <c r="B11" s="8" t="s">
        <v>25</v>
      </c>
      <c r="C11" s="12">
        <v>103500</v>
      </c>
      <c r="M11" s="19"/>
    </row>
    <row r="12" spans="2:14" x14ac:dyDescent="0.35">
      <c r="B12" s="8" t="s">
        <v>25</v>
      </c>
      <c r="C12" s="12">
        <v>114500</v>
      </c>
      <c r="M12" s="19"/>
    </row>
    <row r="13" spans="2:14" x14ac:dyDescent="0.35">
      <c r="B13" s="8" t="s">
        <v>25</v>
      </c>
      <c r="C13" s="12">
        <v>124000</v>
      </c>
    </row>
    <row r="14" spans="2:14" x14ac:dyDescent="0.35">
      <c r="B14" s="8" t="s">
        <v>25</v>
      </c>
      <c r="C14" s="12">
        <v>132500</v>
      </c>
    </row>
    <row r="15" spans="2:14" x14ac:dyDescent="0.35">
      <c r="B15" s="8" t="s">
        <v>25</v>
      </c>
      <c r="C15" s="12">
        <v>99000</v>
      </c>
    </row>
    <row r="16" spans="2:14" x14ac:dyDescent="0.35">
      <c r="B16" s="8" t="s">
        <v>25</v>
      </c>
      <c r="C16" s="12">
        <v>124000</v>
      </c>
    </row>
    <row r="17" spans="2:3" x14ac:dyDescent="0.35">
      <c r="B17" s="8" t="s">
        <v>25</v>
      </c>
      <c r="C17" s="12">
        <v>82000</v>
      </c>
    </row>
    <row r="18" spans="2:3" x14ac:dyDescent="0.35">
      <c r="B18" s="8" t="s">
        <v>25</v>
      </c>
      <c r="C18" s="12">
        <v>185000</v>
      </c>
    </row>
    <row r="19" spans="2:3" x14ac:dyDescent="0.35">
      <c r="B19" s="8" t="s">
        <v>25</v>
      </c>
      <c r="C19" s="12">
        <v>89500</v>
      </c>
    </row>
    <row r="20" spans="2:3" x14ac:dyDescent="0.35">
      <c r="B20" s="8" t="s">
        <v>25</v>
      </c>
      <c r="C20" s="12">
        <v>91500</v>
      </c>
    </row>
    <row r="21" spans="2:3" x14ac:dyDescent="0.35">
      <c r="B21" s="8" t="s">
        <v>25</v>
      </c>
      <c r="C21" s="12">
        <v>113500</v>
      </c>
    </row>
    <row r="22" spans="2:3" x14ac:dyDescent="0.35">
      <c r="B22" s="8" t="s">
        <v>27</v>
      </c>
      <c r="C22" s="12">
        <v>99000</v>
      </c>
    </row>
    <row r="23" spans="2:3" x14ac:dyDescent="0.35">
      <c r="B23" s="8" t="s">
        <v>25</v>
      </c>
      <c r="C23" s="12">
        <v>75500</v>
      </c>
    </row>
    <row r="24" spans="2:3" x14ac:dyDescent="0.35">
      <c r="B24" s="8" t="s">
        <v>27</v>
      </c>
      <c r="C24" s="12">
        <v>86000</v>
      </c>
    </row>
    <row r="25" spans="2:3" x14ac:dyDescent="0.35">
      <c r="B25" s="8" t="s">
        <v>25</v>
      </c>
      <c r="C25" s="12">
        <v>156500</v>
      </c>
    </row>
    <row r="26" spans="2:3" x14ac:dyDescent="0.35">
      <c r="B26" s="8" t="s">
        <v>27</v>
      </c>
      <c r="C26" s="12">
        <v>99500</v>
      </c>
    </row>
    <row r="27" spans="2:3" x14ac:dyDescent="0.35">
      <c r="B27" s="8" t="s">
        <v>27</v>
      </c>
      <c r="C27" s="12">
        <v>148000</v>
      </c>
    </row>
    <row r="28" spans="2:3" x14ac:dyDescent="0.35">
      <c r="B28" s="8" t="s">
        <v>25</v>
      </c>
      <c r="C28" s="12">
        <v>82000</v>
      </c>
    </row>
    <row r="29" spans="2:3" x14ac:dyDescent="0.35">
      <c r="B29" s="8" t="s">
        <v>25</v>
      </c>
      <c r="C29" s="12">
        <v>103500</v>
      </c>
    </row>
    <row r="30" spans="2:3" x14ac:dyDescent="0.35">
      <c r="B30" s="8" t="s">
        <v>25</v>
      </c>
      <c r="C30" s="12">
        <v>205500</v>
      </c>
    </row>
    <row r="31" spans="2:3" x14ac:dyDescent="0.35">
      <c r="B31" s="8" t="s">
        <v>25</v>
      </c>
      <c r="C31" s="12">
        <v>103500</v>
      </c>
    </row>
    <row r="32" spans="2:3" x14ac:dyDescent="0.35">
      <c r="B32" s="8" t="s">
        <v>27</v>
      </c>
      <c r="C32" s="12">
        <v>340000</v>
      </c>
    </row>
    <row r="33" spans="2:3" x14ac:dyDescent="0.35">
      <c r="B33" s="8" t="s">
        <v>27</v>
      </c>
      <c r="C33" s="12">
        <v>103500</v>
      </c>
    </row>
    <row r="34" spans="2:3" x14ac:dyDescent="0.35">
      <c r="B34" s="8" t="s">
        <v>27</v>
      </c>
      <c r="C34" s="12">
        <v>99500</v>
      </c>
    </row>
    <row r="35" spans="2:3" x14ac:dyDescent="0.35">
      <c r="B35" s="8" t="s">
        <v>27</v>
      </c>
      <c r="C35" s="12">
        <v>103000</v>
      </c>
    </row>
    <row r="36" spans="2:3" x14ac:dyDescent="0.35">
      <c r="B36" s="8" t="s">
        <v>25</v>
      </c>
      <c r="C36" s="12">
        <v>103500</v>
      </c>
    </row>
    <row r="37" spans="2:3" x14ac:dyDescent="0.35">
      <c r="B37" s="8" t="s">
        <v>27</v>
      </c>
      <c r="C37" s="12">
        <v>165000</v>
      </c>
    </row>
    <row r="38" spans="2:3" x14ac:dyDescent="0.35">
      <c r="B38" s="8" t="s">
        <v>27</v>
      </c>
      <c r="C38" s="12">
        <v>124500</v>
      </c>
    </row>
    <row r="39" spans="2:3" x14ac:dyDescent="0.35">
      <c r="B39" s="8" t="s">
        <v>27</v>
      </c>
      <c r="C39" s="12">
        <v>103500</v>
      </c>
    </row>
    <row r="40" spans="2:3" x14ac:dyDescent="0.35">
      <c r="B40" s="8" t="s">
        <v>25</v>
      </c>
      <c r="C40" s="12">
        <v>82500</v>
      </c>
    </row>
    <row r="41" spans="2:3" x14ac:dyDescent="0.35">
      <c r="B41" s="8" t="s">
        <v>25</v>
      </c>
      <c r="C41" s="12">
        <v>93000</v>
      </c>
    </row>
    <row r="42" spans="2:3" x14ac:dyDescent="0.35">
      <c r="B42" s="8" t="s">
        <v>25</v>
      </c>
      <c r="C42" s="12">
        <v>168000</v>
      </c>
    </row>
    <row r="43" spans="2:3" x14ac:dyDescent="0.35">
      <c r="B43" s="8" t="s">
        <v>25</v>
      </c>
      <c r="C43" s="12">
        <v>96000</v>
      </c>
    </row>
    <row r="44" spans="2:3" x14ac:dyDescent="0.35">
      <c r="B44" s="8" t="s">
        <v>27</v>
      </c>
      <c r="C44" s="12">
        <v>80000</v>
      </c>
    </row>
    <row r="45" spans="2:3" x14ac:dyDescent="0.35">
      <c r="B45" s="8" t="s">
        <v>27</v>
      </c>
      <c r="C45" s="12">
        <v>124500</v>
      </c>
    </row>
    <row r="46" spans="2:3" x14ac:dyDescent="0.35">
      <c r="B46" s="8" t="s">
        <v>27</v>
      </c>
      <c r="C46" s="12">
        <v>99000</v>
      </c>
    </row>
    <row r="47" spans="2:3" x14ac:dyDescent="0.35">
      <c r="B47" s="8" t="s">
        <v>25</v>
      </c>
      <c r="C47" s="12">
        <v>124000</v>
      </c>
    </row>
    <row r="48" spans="2:3" x14ac:dyDescent="0.35">
      <c r="B48" s="8" t="s">
        <v>25</v>
      </c>
      <c r="C48" s="12">
        <v>91500</v>
      </c>
    </row>
    <row r="49" spans="2:3" x14ac:dyDescent="0.35">
      <c r="B49" s="8" t="s">
        <v>25</v>
      </c>
      <c r="C49" s="12">
        <v>144500</v>
      </c>
    </row>
    <row r="50" spans="2:3" x14ac:dyDescent="0.35">
      <c r="B50" s="8" t="s">
        <v>25</v>
      </c>
      <c r="C50" s="12">
        <v>114500</v>
      </c>
    </row>
    <row r="51" spans="2:3" x14ac:dyDescent="0.35">
      <c r="B51" s="8" t="s">
        <v>25</v>
      </c>
      <c r="C51" s="12">
        <v>104500</v>
      </c>
    </row>
    <row r="52" spans="2:3" x14ac:dyDescent="0.35">
      <c r="B52" s="8" t="s">
        <v>27</v>
      </c>
      <c r="C52" s="12">
        <v>124000</v>
      </c>
    </row>
    <row r="53" spans="2:3" x14ac:dyDescent="0.35">
      <c r="B53" s="8" t="s">
        <v>27</v>
      </c>
      <c r="C53" s="12">
        <v>113000</v>
      </c>
    </row>
    <row r="54" spans="2:3" x14ac:dyDescent="0.35">
      <c r="B54" s="8" t="s">
        <v>25</v>
      </c>
      <c r="C54" s="12">
        <v>78000</v>
      </c>
    </row>
    <row r="55" spans="2:3" x14ac:dyDescent="0.35">
      <c r="B55" s="8" t="s">
        <v>25</v>
      </c>
      <c r="C55" s="12">
        <v>109000</v>
      </c>
    </row>
    <row r="56" spans="2:3" x14ac:dyDescent="0.35">
      <c r="B56" s="8" t="s">
        <v>25</v>
      </c>
      <c r="C56" s="12">
        <v>99500</v>
      </c>
    </row>
    <row r="57" spans="2:3" x14ac:dyDescent="0.35">
      <c r="B57" s="8" t="s">
        <v>25</v>
      </c>
      <c r="C57" s="12">
        <v>107000</v>
      </c>
    </row>
    <row r="58" spans="2:3" x14ac:dyDescent="0.35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  <pageSetup orientation="portrait" r:id="rId1"/>
  <headerFooter>
    <oddFooter>&amp;L3/20/2023&amp;CAXP Internal&amp;R7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K58"/>
  <sheetViews>
    <sheetView showGridLines="0" workbookViewId="0">
      <selection activeCell="H11" sqref="H11"/>
    </sheetView>
  </sheetViews>
  <sheetFormatPr defaultRowHeight="14.5" x14ac:dyDescent="0.35"/>
  <cols>
    <col min="1" max="1" width="2.81640625" customWidth="1"/>
    <col min="2" max="2" width="13.1796875" bestFit="1" customWidth="1"/>
    <col min="5" max="5" width="14.26953125" customWidth="1"/>
  </cols>
  <sheetData>
    <row r="1" spans="2:11" ht="25.5" customHeight="1" x14ac:dyDescent="0.45">
      <c r="B1" s="18" t="s">
        <v>121</v>
      </c>
    </row>
    <row r="2" spans="2:11" ht="15" customHeight="1" x14ac:dyDescent="0.35">
      <c r="B2" s="30" t="s">
        <v>6</v>
      </c>
    </row>
    <row r="3" spans="2:11" ht="18" customHeight="1" x14ac:dyDescent="0.35"/>
    <row r="4" spans="2:11" x14ac:dyDescent="0.35">
      <c r="D4" s="3" t="s">
        <v>54</v>
      </c>
    </row>
    <row r="5" spans="2:11" x14ac:dyDescent="0.35">
      <c r="B5" s="7" t="s">
        <v>35</v>
      </c>
      <c r="D5" s="121" t="s">
        <v>51</v>
      </c>
      <c r="E5" s="121"/>
      <c r="K5" s="104"/>
    </row>
    <row r="6" spans="2:11" x14ac:dyDescent="0.35">
      <c r="B6" s="12">
        <v>111000</v>
      </c>
      <c r="D6" s="20" t="s">
        <v>46</v>
      </c>
      <c r="E6" s="69">
        <f>AVERAGE(B6:B58)</f>
        <v>119386.7924528302</v>
      </c>
    </row>
    <row r="7" spans="2:11" x14ac:dyDescent="0.35">
      <c r="B7" s="12">
        <v>107000</v>
      </c>
      <c r="D7" s="20" t="s">
        <v>47</v>
      </c>
      <c r="E7" s="69">
        <f>MEDIAN(B6:B58)</f>
        <v>104500</v>
      </c>
    </row>
    <row r="8" spans="2:11" x14ac:dyDescent="0.35">
      <c r="B8" s="12">
        <v>109000</v>
      </c>
      <c r="D8" s="20" t="s">
        <v>49</v>
      </c>
      <c r="E8" s="70">
        <f>SKEW(B6:B58)</f>
        <v>2.9324340018176889</v>
      </c>
    </row>
    <row r="9" spans="2:11" x14ac:dyDescent="0.35">
      <c r="B9" s="12">
        <v>148000</v>
      </c>
    </row>
    <row r="10" spans="2:11" x14ac:dyDescent="0.35">
      <c r="B10" s="12">
        <v>255500</v>
      </c>
      <c r="D10" s="104"/>
    </row>
    <row r="11" spans="2:11" x14ac:dyDescent="0.35">
      <c r="B11" s="12">
        <v>103500</v>
      </c>
    </row>
    <row r="12" spans="2:11" x14ac:dyDescent="0.35">
      <c r="B12" s="12">
        <v>114500</v>
      </c>
    </row>
    <row r="13" spans="2:11" x14ac:dyDescent="0.35">
      <c r="B13" s="12">
        <v>124000</v>
      </c>
      <c r="J13" s="104" t="s">
        <v>337</v>
      </c>
    </row>
    <row r="14" spans="2:11" x14ac:dyDescent="0.35">
      <c r="B14" s="12">
        <v>132500</v>
      </c>
    </row>
    <row r="15" spans="2:11" x14ac:dyDescent="0.35">
      <c r="B15" s="12">
        <v>99000</v>
      </c>
    </row>
    <row r="16" spans="2:11" x14ac:dyDescent="0.35">
      <c r="B16" s="12">
        <v>124000</v>
      </c>
    </row>
    <row r="17" spans="2:2" x14ac:dyDescent="0.35">
      <c r="B17" s="12">
        <v>82000</v>
      </c>
    </row>
    <row r="18" spans="2:2" x14ac:dyDescent="0.35">
      <c r="B18" s="12">
        <v>185000</v>
      </c>
    </row>
    <row r="19" spans="2:2" x14ac:dyDescent="0.35">
      <c r="B19" s="12">
        <v>89500</v>
      </c>
    </row>
    <row r="20" spans="2:2" x14ac:dyDescent="0.35">
      <c r="B20" s="12">
        <v>91500</v>
      </c>
    </row>
    <row r="21" spans="2:2" x14ac:dyDescent="0.35">
      <c r="B21" s="12">
        <v>113500</v>
      </c>
    </row>
    <row r="22" spans="2:2" x14ac:dyDescent="0.35">
      <c r="B22" s="12">
        <v>99000</v>
      </c>
    </row>
    <row r="23" spans="2:2" x14ac:dyDescent="0.35">
      <c r="B23" s="12">
        <v>75500</v>
      </c>
    </row>
    <row r="24" spans="2:2" x14ac:dyDescent="0.35">
      <c r="B24" s="12">
        <v>86000</v>
      </c>
    </row>
    <row r="25" spans="2:2" x14ac:dyDescent="0.35">
      <c r="B25" s="12">
        <v>156500</v>
      </c>
    </row>
    <row r="26" spans="2:2" x14ac:dyDescent="0.35">
      <c r="B26" s="12">
        <v>99500</v>
      </c>
    </row>
    <row r="27" spans="2:2" x14ac:dyDescent="0.35">
      <c r="B27" s="12">
        <v>148000</v>
      </c>
    </row>
    <row r="28" spans="2:2" x14ac:dyDescent="0.35">
      <c r="B28" s="12">
        <v>82000</v>
      </c>
    </row>
    <row r="29" spans="2:2" x14ac:dyDescent="0.35">
      <c r="B29" s="12">
        <v>103500</v>
      </c>
    </row>
    <row r="30" spans="2:2" x14ac:dyDescent="0.35">
      <c r="B30" s="12">
        <v>205500</v>
      </c>
    </row>
    <row r="31" spans="2:2" x14ac:dyDescent="0.35">
      <c r="B31" s="12">
        <v>103500</v>
      </c>
    </row>
    <row r="32" spans="2:2" x14ac:dyDescent="0.35">
      <c r="B32" s="12">
        <v>340000</v>
      </c>
    </row>
    <row r="33" spans="2:2" x14ac:dyDescent="0.35">
      <c r="B33" s="12">
        <v>103500</v>
      </c>
    </row>
    <row r="34" spans="2:2" x14ac:dyDescent="0.35">
      <c r="B34" s="12">
        <v>99500</v>
      </c>
    </row>
    <row r="35" spans="2:2" x14ac:dyDescent="0.35">
      <c r="B35" s="12">
        <v>103000</v>
      </c>
    </row>
    <row r="36" spans="2:2" x14ac:dyDescent="0.35">
      <c r="B36" s="12">
        <v>103500</v>
      </c>
    </row>
    <row r="37" spans="2:2" x14ac:dyDescent="0.35">
      <c r="B37" s="12">
        <v>165000</v>
      </c>
    </row>
    <row r="38" spans="2:2" x14ac:dyDescent="0.35">
      <c r="B38" s="12">
        <v>124500</v>
      </c>
    </row>
    <row r="39" spans="2:2" x14ac:dyDescent="0.35">
      <c r="B39" s="12">
        <v>103500</v>
      </c>
    </row>
    <row r="40" spans="2:2" x14ac:dyDescent="0.35">
      <c r="B40" s="12">
        <v>82500</v>
      </c>
    </row>
    <row r="41" spans="2:2" x14ac:dyDescent="0.35">
      <c r="B41" s="12">
        <v>93000</v>
      </c>
    </row>
    <row r="42" spans="2:2" x14ac:dyDescent="0.35">
      <c r="B42" s="12">
        <v>168000</v>
      </c>
    </row>
    <row r="43" spans="2:2" x14ac:dyDescent="0.35">
      <c r="B43" s="12">
        <v>96000</v>
      </c>
    </row>
    <row r="44" spans="2:2" x14ac:dyDescent="0.35">
      <c r="B44" s="12">
        <v>80000</v>
      </c>
    </row>
    <row r="45" spans="2:2" x14ac:dyDescent="0.35">
      <c r="B45" s="12">
        <v>124500</v>
      </c>
    </row>
    <row r="46" spans="2:2" x14ac:dyDescent="0.35">
      <c r="B46" s="12">
        <v>99000</v>
      </c>
    </row>
    <row r="47" spans="2:2" x14ac:dyDescent="0.35">
      <c r="B47" s="12">
        <v>124000</v>
      </c>
    </row>
    <row r="48" spans="2:2" x14ac:dyDescent="0.35">
      <c r="B48" s="12">
        <v>91500</v>
      </c>
    </row>
    <row r="49" spans="2:2" x14ac:dyDescent="0.35">
      <c r="B49" s="12">
        <v>144500</v>
      </c>
    </row>
    <row r="50" spans="2:2" x14ac:dyDescent="0.35">
      <c r="B50" s="12">
        <v>114500</v>
      </c>
    </row>
    <row r="51" spans="2:2" x14ac:dyDescent="0.35">
      <c r="B51" s="12">
        <v>104500</v>
      </c>
    </row>
    <row r="52" spans="2:2" x14ac:dyDescent="0.35">
      <c r="B52" s="12">
        <v>124000</v>
      </c>
    </row>
    <row r="53" spans="2:2" x14ac:dyDescent="0.35">
      <c r="B53" s="12">
        <v>113000</v>
      </c>
    </row>
    <row r="54" spans="2:2" x14ac:dyDescent="0.35">
      <c r="B54" s="12">
        <v>78000</v>
      </c>
    </row>
    <row r="55" spans="2:2" x14ac:dyDescent="0.35">
      <c r="B55" s="12">
        <v>109000</v>
      </c>
    </row>
    <row r="56" spans="2:2" x14ac:dyDescent="0.35">
      <c r="B56" s="12">
        <v>99500</v>
      </c>
    </row>
    <row r="57" spans="2:2" x14ac:dyDescent="0.35">
      <c r="B57" s="12">
        <v>107000</v>
      </c>
    </row>
    <row r="58" spans="2:2" x14ac:dyDescent="0.35">
      <c r="B58" s="12">
        <v>84000</v>
      </c>
    </row>
  </sheetData>
  <mergeCells count="1">
    <mergeCell ref="D5:E5"/>
  </mergeCells>
  <pageMargins left="0.7" right="0.7" top="0.75" bottom="0.75" header="0.3" footer="0.3"/>
  <pageSetup orientation="portrait" r:id="rId1"/>
  <headerFooter>
    <oddFooter>&amp;L3/20/2023&amp;CAXP Internal&amp;R8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K64"/>
  <sheetViews>
    <sheetView showGridLines="0" workbookViewId="0">
      <selection activeCell="K6" sqref="K6"/>
    </sheetView>
  </sheetViews>
  <sheetFormatPr defaultRowHeight="14.5" x14ac:dyDescent="0.35"/>
  <cols>
    <col min="1" max="1" width="2.81640625" customWidth="1"/>
    <col min="2" max="2" width="19.7265625" customWidth="1"/>
    <col min="3" max="3" width="2.81640625" customWidth="1"/>
    <col min="4" max="4" width="17" bestFit="1" customWidth="1"/>
    <col min="6" max="6" width="11.453125" customWidth="1"/>
    <col min="7" max="7" width="15.36328125" bestFit="1" customWidth="1"/>
    <col min="8" max="8" width="16.6328125" bestFit="1" customWidth="1"/>
  </cols>
  <sheetData>
    <row r="1" spans="2:11" ht="25.5" customHeight="1" x14ac:dyDescent="0.45">
      <c r="B1" s="18" t="s">
        <v>122</v>
      </c>
    </row>
    <row r="2" spans="2:11" ht="15" customHeight="1" x14ac:dyDescent="0.35">
      <c r="B2" s="30" t="s">
        <v>288</v>
      </c>
    </row>
    <row r="3" spans="2:11" ht="18" customHeight="1" x14ac:dyDescent="0.35"/>
    <row r="4" spans="2:11" x14ac:dyDescent="0.35">
      <c r="K4" t="s">
        <v>340</v>
      </c>
    </row>
    <row r="5" spans="2:11" x14ac:dyDescent="0.35">
      <c r="B5" s="7" t="s">
        <v>58</v>
      </c>
      <c r="D5" s="7" t="s">
        <v>59</v>
      </c>
      <c r="F5" s="121" t="s">
        <v>60</v>
      </c>
      <c r="G5" s="121"/>
      <c r="H5" s="121"/>
      <c r="K5" t="s">
        <v>341</v>
      </c>
    </row>
    <row r="6" spans="2:11" x14ac:dyDescent="0.35">
      <c r="B6" s="8">
        <v>90.2</v>
      </c>
      <c r="D6" s="8">
        <v>68.7</v>
      </c>
      <c r="G6" s="17" t="s">
        <v>24</v>
      </c>
      <c r="H6" s="17" t="s">
        <v>26</v>
      </c>
    </row>
    <row r="7" spans="2:11" x14ac:dyDescent="0.35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11" x14ac:dyDescent="0.35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1">
        <f>AVERAGE(D7:D65)</f>
        <v>79.648275862068971</v>
      </c>
    </row>
    <row r="9" spans="2:11" x14ac:dyDescent="0.35">
      <c r="B9" s="8">
        <v>87.5</v>
      </c>
      <c r="D9" s="8">
        <v>80.7</v>
      </c>
      <c r="F9" s="20" t="s">
        <v>47</v>
      </c>
      <c r="G9" s="72">
        <f>MEDIAN(B6:B41)</f>
        <v>80.55</v>
      </c>
      <c r="H9" s="71">
        <f>MEDIAN(D8:D66)</f>
        <v>80</v>
      </c>
    </row>
    <row r="10" spans="2:11" x14ac:dyDescent="0.35">
      <c r="B10" s="8">
        <v>71.3</v>
      </c>
      <c r="D10" s="8">
        <v>83.3</v>
      </c>
      <c r="F10" s="20" t="s">
        <v>48</v>
      </c>
      <c r="G10" s="72">
        <f>MODE(B6:B41)</f>
        <v>87.5</v>
      </c>
      <c r="H10" s="71">
        <f>MODE(D9:D67)</f>
        <v>80.7</v>
      </c>
    </row>
    <row r="11" spans="2:11" x14ac:dyDescent="0.35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1">
        <f>SKEW(D10:D68)</f>
        <v>-0.65029547051915626</v>
      </c>
    </row>
    <row r="12" spans="2:11" x14ac:dyDescent="0.35">
      <c r="B12" s="8">
        <v>96.1</v>
      </c>
      <c r="D12" s="8">
        <v>82.1</v>
      </c>
    </row>
    <row r="13" spans="2:11" x14ac:dyDescent="0.35">
      <c r="B13" s="8">
        <v>80.3</v>
      </c>
      <c r="D13" s="8">
        <v>66.900000000000006</v>
      </c>
      <c r="G13" t="s">
        <v>339</v>
      </c>
      <c r="H13" t="s">
        <v>338</v>
      </c>
    </row>
    <row r="14" spans="2:11" x14ac:dyDescent="0.35">
      <c r="B14" s="8">
        <v>79.099999999999994</v>
      </c>
      <c r="D14" s="8">
        <v>76.8</v>
      </c>
    </row>
    <row r="15" spans="2:11" x14ac:dyDescent="0.35">
      <c r="B15" s="8">
        <v>87.5</v>
      </c>
      <c r="D15" s="8">
        <v>72.400000000000006</v>
      </c>
    </row>
    <row r="16" spans="2:11" x14ac:dyDescent="0.35">
      <c r="B16" s="8">
        <v>80.8</v>
      </c>
      <c r="D16" s="8">
        <v>72</v>
      </c>
    </row>
    <row r="17" spans="2:4" x14ac:dyDescent="0.35">
      <c r="B17" s="8">
        <v>88.9</v>
      </c>
      <c r="D17" s="8">
        <v>81</v>
      </c>
    </row>
    <row r="18" spans="2:4" x14ac:dyDescent="0.35">
      <c r="B18" s="8">
        <v>82.3</v>
      </c>
      <c r="D18" s="8">
        <v>76.7</v>
      </c>
    </row>
    <row r="19" spans="2:4" x14ac:dyDescent="0.35">
      <c r="B19" s="8">
        <v>83.4</v>
      </c>
      <c r="D19" s="8">
        <v>77.8</v>
      </c>
    </row>
    <row r="20" spans="2:4" x14ac:dyDescent="0.35">
      <c r="B20" s="8">
        <v>77.8</v>
      </c>
      <c r="D20" s="8">
        <v>62.6</v>
      </c>
    </row>
    <row r="21" spans="2:4" x14ac:dyDescent="0.35">
      <c r="B21" s="8">
        <v>71</v>
      </c>
      <c r="D21" s="8">
        <v>80.2</v>
      </c>
    </row>
    <row r="22" spans="2:4" x14ac:dyDescent="0.35">
      <c r="B22" s="8">
        <v>87.2</v>
      </c>
      <c r="D22" s="8">
        <v>77.8</v>
      </c>
    </row>
    <row r="23" spans="2:4" x14ac:dyDescent="0.35">
      <c r="B23" s="8">
        <v>82.9</v>
      </c>
      <c r="D23" s="8">
        <v>75.099999999999994</v>
      </c>
    </row>
    <row r="24" spans="2:4" x14ac:dyDescent="0.35">
      <c r="B24" s="8">
        <v>75.099999999999994</v>
      </c>
      <c r="D24" s="8">
        <v>82.2</v>
      </c>
    </row>
    <row r="25" spans="2:4" x14ac:dyDescent="0.35">
      <c r="B25" s="8">
        <v>74.900000000000006</v>
      </c>
      <c r="D25" s="8">
        <v>70.5</v>
      </c>
    </row>
    <row r="26" spans="2:4" x14ac:dyDescent="0.35">
      <c r="B26" s="8">
        <v>81.7</v>
      </c>
      <c r="D26" s="8">
        <v>70.8</v>
      </c>
    </row>
    <row r="27" spans="2:4" x14ac:dyDescent="0.35">
      <c r="B27" s="8">
        <v>83.8</v>
      </c>
      <c r="D27" s="8">
        <v>79.5</v>
      </c>
    </row>
    <row r="28" spans="2:4" x14ac:dyDescent="0.35">
      <c r="B28" s="8">
        <v>74.8</v>
      </c>
      <c r="D28" s="8">
        <v>79.599999999999994</v>
      </c>
    </row>
    <row r="29" spans="2:4" x14ac:dyDescent="0.35">
      <c r="B29" s="8">
        <v>82.7</v>
      </c>
      <c r="D29" s="8">
        <v>85.9</v>
      </c>
    </row>
    <row r="30" spans="2:4" x14ac:dyDescent="0.35">
      <c r="B30" s="8">
        <v>84</v>
      </c>
      <c r="D30" s="8">
        <v>76.7</v>
      </c>
    </row>
    <row r="31" spans="2:4" x14ac:dyDescent="0.35">
      <c r="B31" s="8">
        <v>80.099999999999994</v>
      </c>
      <c r="D31" s="8">
        <v>79.900000000000006</v>
      </c>
    </row>
    <row r="32" spans="2:4" x14ac:dyDescent="0.35">
      <c r="B32" s="8">
        <v>79.599999999999994</v>
      </c>
      <c r="D32" s="8">
        <v>86.2</v>
      </c>
    </row>
    <row r="33" spans="2:4" x14ac:dyDescent="0.35">
      <c r="B33" s="8">
        <v>78.900000000000006</v>
      </c>
      <c r="D33" s="8">
        <v>79.2</v>
      </c>
    </row>
    <row r="34" spans="2:4" x14ac:dyDescent="0.35">
      <c r="B34" s="8">
        <v>72</v>
      </c>
      <c r="D34" s="8">
        <v>85.2</v>
      </c>
    </row>
    <row r="35" spans="2:4" x14ac:dyDescent="0.35">
      <c r="B35" s="8">
        <v>74.2</v>
      </c>
      <c r="D35" s="8">
        <v>80.2</v>
      </c>
    </row>
    <row r="36" spans="2:4" x14ac:dyDescent="0.35">
      <c r="B36" s="8">
        <v>71.7</v>
      </c>
      <c r="D36" s="8">
        <v>73.5</v>
      </c>
    </row>
    <row r="37" spans="2:4" x14ac:dyDescent="0.35">
      <c r="B37" s="8">
        <v>87.4</v>
      </c>
      <c r="D37" s="8">
        <v>74.599999999999994</v>
      </c>
    </row>
    <row r="38" spans="2:4" x14ac:dyDescent="0.35">
      <c r="B38" s="8">
        <v>77.400000000000006</v>
      </c>
      <c r="D38" s="8">
        <v>85.1</v>
      </c>
    </row>
    <row r="39" spans="2:4" x14ac:dyDescent="0.35">
      <c r="B39" s="8">
        <v>78.8</v>
      </c>
      <c r="D39" s="8">
        <v>84.6</v>
      </c>
    </row>
    <row r="40" spans="2:4" x14ac:dyDescent="0.35">
      <c r="B40" s="8">
        <v>92.7</v>
      </c>
      <c r="D40" s="8">
        <v>81.400000000000006</v>
      </c>
    </row>
    <row r="41" spans="2:4" x14ac:dyDescent="0.35">
      <c r="B41" s="8">
        <v>77.900000000000006</v>
      </c>
      <c r="D41" s="8">
        <v>88.5</v>
      </c>
    </row>
    <row r="42" spans="2:4" x14ac:dyDescent="0.35">
      <c r="D42" s="8">
        <v>84.9</v>
      </c>
    </row>
    <row r="43" spans="2:4" x14ac:dyDescent="0.35">
      <c r="D43" s="8">
        <v>84.3</v>
      </c>
    </row>
    <row r="44" spans="2:4" x14ac:dyDescent="0.35">
      <c r="D44" s="8">
        <v>78.2</v>
      </c>
    </row>
    <row r="45" spans="2:4" x14ac:dyDescent="0.35">
      <c r="D45" s="8">
        <v>80</v>
      </c>
    </row>
    <row r="46" spans="2:4" x14ac:dyDescent="0.35">
      <c r="D46" s="8">
        <v>78.5</v>
      </c>
    </row>
    <row r="47" spans="2:4" x14ac:dyDescent="0.35">
      <c r="D47" s="8">
        <v>71.8</v>
      </c>
    </row>
    <row r="48" spans="2:4" x14ac:dyDescent="0.35">
      <c r="D48" s="8">
        <v>69.900000000000006</v>
      </c>
    </row>
    <row r="49" spans="4:4" x14ac:dyDescent="0.35">
      <c r="D49" s="8">
        <v>74</v>
      </c>
    </row>
    <row r="50" spans="4:4" x14ac:dyDescent="0.35">
      <c r="D50" s="8">
        <v>84.7</v>
      </c>
    </row>
    <row r="51" spans="4:4" x14ac:dyDescent="0.35">
      <c r="D51" s="8">
        <v>78.2</v>
      </c>
    </row>
    <row r="52" spans="4:4" x14ac:dyDescent="0.35">
      <c r="D52" s="8">
        <v>85</v>
      </c>
    </row>
    <row r="53" spans="4:4" x14ac:dyDescent="0.35">
      <c r="D53" s="8">
        <v>85.3</v>
      </c>
    </row>
    <row r="54" spans="4:4" x14ac:dyDescent="0.35">
      <c r="D54" s="8">
        <v>79.7</v>
      </c>
    </row>
    <row r="55" spans="4:4" x14ac:dyDescent="0.35">
      <c r="D55" s="8">
        <v>78.5</v>
      </c>
    </row>
    <row r="56" spans="4:4" x14ac:dyDescent="0.35">
      <c r="D56" s="8">
        <v>80.7</v>
      </c>
    </row>
    <row r="57" spans="4:4" x14ac:dyDescent="0.35">
      <c r="D57" s="8">
        <v>84.1</v>
      </c>
    </row>
    <row r="58" spans="4:4" x14ac:dyDescent="0.35">
      <c r="D58" s="8">
        <v>84.7</v>
      </c>
    </row>
    <row r="59" spans="4:4" x14ac:dyDescent="0.35">
      <c r="D59" s="8">
        <v>88.8</v>
      </c>
    </row>
    <row r="60" spans="4:4" x14ac:dyDescent="0.35">
      <c r="D60" s="8">
        <v>86.6</v>
      </c>
    </row>
    <row r="61" spans="4:4" x14ac:dyDescent="0.35">
      <c r="D61" s="8">
        <v>86.1</v>
      </c>
    </row>
    <row r="62" spans="4:4" x14ac:dyDescent="0.35">
      <c r="D62" s="8">
        <v>89.9</v>
      </c>
    </row>
    <row r="63" spans="4:4" x14ac:dyDescent="0.35">
      <c r="D63" s="8">
        <v>83.1</v>
      </c>
    </row>
    <row r="64" spans="4:4" x14ac:dyDescent="0.35">
      <c r="D64" s="8">
        <v>82.6</v>
      </c>
    </row>
  </sheetData>
  <mergeCells count="1">
    <mergeCell ref="F5:H5"/>
  </mergeCells>
  <pageMargins left="0.7" right="0.7" top="0.75" bottom="0.75" header="0.3" footer="0.3"/>
  <pageSetup orientation="portrait" r:id="rId1"/>
  <headerFooter>
    <oddFooter>&amp;L3/20/2023&amp;CAXP Internal&amp;R9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G7" sqref="G7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</cols>
  <sheetData>
    <row r="1" spans="2:7" ht="25.5" customHeight="1" x14ac:dyDescent="0.45">
      <c r="B1" s="18" t="s">
        <v>123</v>
      </c>
    </row>
    <row r="2" spans="2:7" ht="15" customHeight="1" x14ac:dyDescent="0.35">
      <c r="B2" s="30" t="s">
        <v>7</v>
      </c>
    </row>
    <row r="3" spans="2:7" ht="18" customHeight="1" x14ac:dyDescent="0.35"/>
    <row r="4" spans="2:7" x14ac:dyDescent="0.35">
      <c r="E4" s="3" t="s">
        <v>54</v>
      </c>
    </row>
    <row r="5" spans="2:7" x14ac:dyDescent="0.35">
      <c r="B5" s="7" t="s">
        <v>22</v>
      </c>
      <c r="C5" s="7" t="s">
        <v>23</v>
      </c>
      <c r="E5" s="121" t="s">
        <v>64</v>
      </c>
      <c r="F5" s="121"/>
      <c r="G5" s="121"/>
    </row>
    <row r="6" spans="2:7" x14ac:dyDescent="0.35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35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35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35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35">
      <c r="B10" s="8">
        <v>248</v>
      </c>
      <c r="C10" s="8">
        <v>252</v>
      </c>
    </row>
    <row r="11" spans="2:7" x14ac:dyDescent="0.35">
      <c r="B11" s="8">
        <v>145</v>
      </c>
      <c r="C11" s="8">
        <v>209</v>
      </c>
    </row>
    <row r="12" spans="2:7" x14ac:dyDescent="0.35">
      <c r="B12" s="8">
        <v>401</v>
      </c>
      <c r="C12" s="8">
        <v>462</v>
      </c>
    </row>
    <row r="13" spans="2:7" x14ac:dyDescent="0.35">
      <c r="B13" s="8">
        <v>287</v>
      </c>
      <c r="C13" s="8">
        <v>342</v>
      </c>
    </row>
    <row r="14" spans="2:7" x14ac:dyDescent="0.35">
      <c r="B14" s="8">
        <v>275</v>
      </c>
      <c r="C14" s="8">
        <v>347</v>
      </c>
    </row>
    <row r="15" spans="2:7" x14ac:dyDescent="0.35">
      <c r="B15" s="8">
        <v>254</v>
      </c>
      <c r="C15" s="8">
        <v>313</v>
      </c>
    </row>
    <row r="16" spans="2:7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  <pageSetup orientation="portrait" r:id="rId1"/>
  <headerFooter>
    <oddFooter>&amp;L3/20/2023&amp;CAXP Internal&amp;R10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topLeftCell="B1" workbookViewId="0">
      <selection activeCell="M12" sqref="M12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</cols>
  <sheetData>
    <row r="1" spans="2:11" ht="25.5" customHeight="1" x14ac:dyDescent="0.45">
      <c r="B1" s="18" t="s">
        <v>124</v>
      </c>
    </row>
    <row r="2" spans="2:11" ht="15" customHeight="1" x14ac:dyDescent="0.35">
      <c r="B2" s="30" t="s">
        <v>289</v>
      </c>
    </row>
    <row r="3" spans="2:11" ht="18" customHeight="1" x14ac:dyDescent="0.35">
      <c r="I3" s="105"/>
      <c r="J3" s="105"/>
      <c r="K3" s="105"/>
    </row>
    <row r="4" spans="2:11" x14ac:dyDescent="0.35">
      <c r="E4" s="3" t="s">
        <v>54</v>
      </c>
      <c r="I4" s="106"/>
      <c r="J4" s="105"/>
      <c r="K4" s="105"/>
    </row>
    <row r="5" spans="2:11" x14ac:dyDescent="0.35">
      <c r="B5" s="7" t="s">
        <v>22</v>
      </c>
      <c r="C5" s="7" t="s">
        <v>23</v>
      </c>
      <c r="E5" s="121" t="s">
        <v>64</v>
      </c>
      <c r="F5" s="121"/>
      <c r="G5" s="121"/>
      <c r="I5" s="123"/>
      <c r="J5" s="123"/>
      <c r="K5" s="123"/>
    </row>
    <row r="6" spans="2:11" x14ac:dyDescent="0.35">
      <c r="B6" s="8">
        <v>252</v>
      </c>
      <c r="C6" s="8">
        <v>276</v>
      </c>
      <c r="F6" s="17" t="s">
        <v>61</v>
      </c>
      <c r="G6" s="17" t="s">
        <v>62</v>
      </c>
      <c r="I6" s="105"/>
      <c r="J6" s="107"/>
      <c r="K6" s="107"/>
    </row>
    <row r="7" spans="2:11" x14ac:dyDescent="0.35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104"/>
      <c r="J7" s="108"/>
      <c r="K7" s="108"/>
    </row>
    <row r="8" spans="2:11" x14ac:dyDescent="0.35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104"/>
      <c r="J8" s="108"/>
      <c r="K8" s="108"/>
    </row>
    <row r="9" spans="2:11" x14ac:dyDescent="0.35">
      <c r="B9" s="8">
        <v>288</v>
      </c>
      <c r="C9" s="8">
        <v>334</v>
      </c>
      <c r="E9" s="20" t="s">
        <v>47</v>
      </c>
      <c r="F9" s="71">
        <f>MEDIAN(B6:B100)</f>
        <v>236</v>
      </c>
      <c r="G9" s="71">
        <f>MEDIAN(C6:C100)</f>
        <v>286</v>
      </c>
      <c r="I9" s="104"/>
      <c r="J9" s="108"/>
      <c r="K9" s="108"/>
    </row>
    <row r="10" spans="2:11" x14ac:dyDescent="0.35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104"/>
      <c r="J10" s="108"/>
      <c r="K10" s="108"/>
    </row>
    <row r="11" spans="2:11" x14ac:dyDescent="0.35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104"/>
      <c r="J11" s="108"/>
      <c r="K11" s="108"/>
    </row>
    <row r="12" spans="2:11" x14ac:dyDescent="0.35">
      <c r="B12" s="8">
        <v>401</v>
      </c>
      <c r="C12" s="8">
        <v>462</v>
      </c>
      <c r="E12" s="20" t="s">
        <v>67</v>
      </c>
      <c r="F12" s="71">
        <f>F10-F8</f>
        <v>105.5</v>
      </c>
      <c r="G12" s="71">
        <f>G10-G8</f>
        <v>120</v>
      </c>
      <c r="I12" s="104"/>
      <c r="J12" s="108"/>
      <c r="K12" s="108"/>
    </row>
    <row r="13" spans="2:11" x14ac:dyDescent="0.35">
      <c r="B13" s="8">
        <v>287</v>
      </c>
      <c r="C13" s="8">
        <v>342</v>
      </c>
      <c r="E13" s="20"/>
      <c r="I13" s="105"/>
      <c r="J13" s="105"/>
      <c r="K13" s="105"/>
    </row>
    <row r="14" spans="2:11" x14ac:dyDescent="0.35">
      <c r="B14" s="8">
        <v>275</v>
      </c>
      <c r="C14" s="8">
        <v>347</v>
      </c>
    </row>
    <row r="15" spans="2:11" x14ac:dyDescent="0.35">
      <c r="B15" s="8">
        <v>254</v>
      </c>
      <c r="C15" s="8">
        <v>313</v>
      </c>
    </row>
    <row r="16" spans="2:11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  <pageSetup orientation="portrait" r:id="rId1"/>
  <headerFooter>
    <oddFooter>&amp;L3/20/2023&amp;CAXP Internal&amp;R11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J10" sqref="J10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</cols>
  <sheetData>
    <row r="1" spans="2:3" ht="25.5" customHeight="1" x14ac:dyDescent="0.45">
      <c r="B1" s="18" t="s">
        <v>124</v>
      </c>
    </row>
    <row r="2" spans="2:3" ht="15" customHeight="1" x14ac:dyDescent="0.35">
      <c r="B2" s="30" t="s">
        <v>9</v>
      </c>
    </row>
    <row r="3" spans="2:3" ht="18" customHeight="1" x14ac:dyDescent="0.35"/>
    <row r="5" spans="2:3" x14ac:dyDescent="0.35">
      <c r="B5" s="7" t="s">
        <v>22</v>
      </c>
      <c r="C5" s="7" t="s">
        <v>23</v>
      </c>
    </row>
    <row r="6" spans="2:3" x14ac:dyDescent="0.35">
      <c r="B6" s="8">
        <v>252</v>
      </c>
      <c r="C6" s="8">
        <v>276</v>
      </c>
    </row>
    <row r="7" spans="2:3" x14ac:dyDescent="0.35">
      <c r="B7" s="8">
        <v>423</v>
      </c>
      <c r="C7" s="8">
        <v>410</v>
      </c>
    </row>
    <row r="8" spans="2:3" x14ac:dyDescent="0.35">
      <c r="B8" s="8">
        <v>101</v>
      </c>
      <c r="C8" s="8">
        <v>119</v>
      </c>
    </row>
    <row r="9" spans="2:3" x14ac:dyDescent="0.35">
      <c r="B9" s="8">
        <v>288</v>
      </c>
      <c r="C9" s="8">
        <v>334</v>
      </c>
    </row>
    <row r="10" spans="2:3" x14ac:dyDescent="0.35">
      <c r="B10" s="8">
        <v>248</v>
      </c>
      <c r="C10" s="8">
        <v>252</v>
      </c>
    </row>
    <row r="11" spans="2:3" x14ac:dyDescent="0.35">
      <c r="B11" s="8">
        <v>145</v>
      </c>
      <c r="C11" s="8">
        <v>209</v>
      </c>
    </row>
    <row r="12" spans="2:3" x14ac:dyDescent="0.35">
      <c r="B12" s="8">
        <v>401</v>
      </c>
      <c r="C12" s="8">
        <v>462</v>
      </c>
    </row>
    <row r="13" spans="2:3" x14ac:dyDescent="0.35">
      <c r="B13" s="8">
        <v>287</v>
      </c>
      <c r="C13" s="8">
        <v>342</v>
      </c>
    </row>
    <row r="14" spans="2:3" x14ac:dyDescent="0.35">
      <c r="B14" s="8">
        <v>275</v>
      </c>
      <c r="C14" s="8">
        <v>347</v>
      </c>
    </row>
    <row r="15" spans="2:3" x14ac:dyDescent="0.35">
      <c r="B15" s="8">
        <v>254</v>
      </c>
      <c r="C15" s="8">
        <v>313</v>
      </c>
    </row>
    <row r="16" spans="2:3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pageMargins left="0.7" right="0.7" top="0.75" bottom="0.75" header="0.3" footer="0.3"/>
  <pageSetup orientation="portrait" r:id="rId1"/>
  <headerFooter>
    <oddFooter>&amp;L3/20/2023&amp;CAXP Internal&amp;R12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T100"/>
  <sheetViews>
    <sheetView showGridLines="0" workbookViewId="0">
      <selection activeCell="D11" sqref="D11"/>
    </sheetView>
  </sheetViews>
  <sheetFormatPr defaultRowHeight="14.5" x14ac:dyDescent="0.35"/>
  <cols>
    <col min="1" max="1" width="2.81640625" customWidth="1"/>
    <col min="2" max="2" width="21.453125" bestFit="1" customWidth="1"/>
    <col min="3" max="3" width="19.81640625" bestFit="1" customWidth="1"/>
    <col min="4" max="4" width="26.26953125" bestFit="1" customWidth="1"/>
    <col min="6" max="6" width="20" customWidth="1"/>
    <col min="7" max="7" width="11.453125" customWidth="1"/>
  </cols>
  <sheetData>
    <row r="1" spans="2:20" ht="25.5" customHeight="1" x14ac:dyDescent="0.45">
      <c r="B1" s="18" t="s">
        <v>316</v>
      </c>
    </row>
    <row r="2" spans="2:20" ht="15" customHeight="1" x14ac:dyDescent="0.35">
      <c r="B2" s="30" t="s">
        <v>10</v>
      </c>
    </row>
    <row r="3" spans="2:20" ht="18" customHeight="1" x14ac:dyDescent="0.35"/>
    <row r="4" spans="2:20" x14ac:dyDescent="0.35">
      <c r="F4" s="3" t="s">
        <v>54</v>
      </c>
    </row>
    <row r="5" spans="2:20" x14ac:dyDescent="0.35">
      <c r="B5" s="40" t="s">
        <v>22</v>
      </c>
      <c r="C5" s="43" t="s">
        <v>23</v>
      </c>
      <c r="D5" s="100" t="s">
        <v>243</v>
      </c>
      <c r="F5" s="121" t="s">
        <v>317</v>
      </c>
      <c r="G5" s="121"/>
    </row>
    <row r="6" spans="2:20" x14ac:dyDescent="0.35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20" x14ac:dyDescent="0.35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VAR(D6:D100)</f>
        <v>879.41948488241894</v>
      </c>
    </row>
    <row r="8" spans="2:20" x14ac:dyDescent="0.35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STDEV(D6:D100)</f>
        <v>29.655007753875548</v>
      </c>
    </row>
    <row r="9" spans="2:20" x14ac:dyDescent="0.35">
      <c r="B9" s="8">
        <v>288</v>
      </c>
      <c r="C9" s="8">
        <v>334</v>
      </c>
      <c r="D9" s="8">
        <f t="shared" si="0"/>
        <v>46</v>
      </c>
    </row>
    <row r="10" spans="2:20" x14ac:dyDescent="0.35">
      <c r="B10" s="8">
        <v>248</v>
      </c>
      <c r="C10" s="8">
        <v>252</v>
      </c>
      <c r="D10" s="8">
        <f t="shared" si="0"/>
        <v>4</v>
      </c>
    </row>
    <row r="11" spans="2:20" x14ac:dyDescent="0.35">
      <c r="B11" s="8">
        <v>145</v>
      </c>
      <c r="C11" s="8">
        <v>209</v>
      </c>
      <c r="D11" s="8">
        <f t="shared" si="0"/>
        <v>64</v>
      </c>
      <c r="F11" s="104"/>
      <c r="J11" s="104"/>
      <c r="K11" s="104" t="s">
        <v>342</v>
      </c>
    </row>
    <row r="12" spans="2:20" x14ac:dyDescent="0.35">
      <c r="B12" s="8">
        <v>401</v>
      </c>
      <c r="C12" s="8">
        <v>462</v>
      </c>
      <c r="D12" s="8">
        <f t="shared" si="0"/>
        <v>61</v>
      </c>
      <c r="F12" s="104"/>
      <c r="K12" s="104"/>
      <c r="M12" s="109"/>
      <c r="N12" s="104"/>
      <c r="P12" s="104"/>
      <c r="R12" s="104" t="s">
        <v>343</v>
      </c>
      <c r="T12" s="104"/>
    </row>
    <row r="13" spans="2:20" x14ac:dyDescent="0.35">
      <c r="B13" s="8">
        <v>287</v>
      </c>
      <c r="C13" s="8">
        <v>342</v>
      </c>
      <c r="D13" s="8">
        <f t="shared" si="0"/>
        <v>55</v>
      </c>
    </row>
    <row r="14" spans="2:20" x14ac:dyDescent="0.35">
      <c r="B14" s="8">
        <v>275</v>
      </c>
      <c r="C14" s="8">
        <v>347</v>
      </c>
      <c r="D14" s="8">
        <f t="shared" si="0"/>
        <v>72</v>
      </c>
    </row>
    <row r="15" spans="2:20" x14ac:dyDescent="0.35">
      <c r="B15" s="8">
        <v>254</v>
      </c>
      <c r="C15" s="8">
        <v>313</v>
      </c>
      <c r="D15" s="8">
        <f t="shared" si="0"/>
        <v>59</v>
      </c>
    </row>
    <row r="16" spans="2:20" x14ac:dyDescent="0.35">
      <c r="B16" s="8">
        <v>182</v>
      </c>
      <c r="C16" s="8">
        <v>232</v>
      </c>
      <c r="D16" s="8">
        <f t="shared" si="0"/>
        <v>50</v>
      </c>
    </row>
    <row r="17" spans="2:4" x14ac:dyDescent="0.35">
      <c r="B17" s="8">
        <v>117</v>
      </c>
      <c r="C17" s="8">
        <v>163</v>
      </c>
      <c r="D17" s="8">
        <f t="shared" si="0"/>
        <v>46</v>
      </c>
    </row>
    <row r="18" spans="2:4" x14ac:dyDescent="0.35">
      <c r="B18" s="8">
        <v>130</v>
      </c>
      <c r="C18" s="8">
        <v>119</v>
      </c>
      <c r="D18" s="8">
        <f t="shared" si="0"/>
        <v>-11</v>
      </c>
    </row>
    <row r="19" spans="2:4" x14ac:dyDescent="0.35">
      <c r="B19" s="8">
        <v>219</v>
      </c>
      <c r="C19" s="8">
        <v>304</v>
      </c>
      <c r="D19" s="8">
        <f t="shared" si="0"/>
        <v>85</v>
      </c>
    </row>
    <row r="20" spans="2:4" x14ac:dyDescent="0.35">
      <c r="B20" s="8">
        <v>152</v>
      </c>
      <c r="C20" s="8">
        <v>211</v>
      </c>
      <c r="D20" s="8">
        <f t="shared" si="0"/>
        <v>59</v>
      </c>
    </row>
    <row r="21" spans="2:4" x14ac:dyDescent="0.35">
      <c r="B21" s="8">
        <v>228</v>
      </c>
      <c r="C21" s="8">
        <v>286</v>
      </c>
      <c r="D21" s="8">
        <f t="shared" si="0"/>
        <v>58</v>
      </c>
    </row>
    <row r="22" spans="2:4" x14ac:dyDescent="0.35">
      <c r="B22" s="8">
        <v>62</v>
      </c>
      <c r="C22" s="8">
        <v>122</v>
      </c>
      <c r="D22" s="8">
        <f t="shared" si="0"/>
        <v>60</v>
      </c>
    </row>
    <row r="23" spans="2:4" x14ac:dyDescent="0.35">
      <c r="B23" s="8">
        <v>393</v>
      </c>
      <c r="C23" s="8">
        <v>443</v>
      </c>
      <c r="D23" s="8">
        <f t="shared" si="0"/>
        <v>50</v>
      </c>
    </row>
    <row r="24" spans="2:4" x14ac:dyDescent="0.35">
      <c r="B24" s="8">
        <v>277</v>
      </c>
      <c r="C24" s="8">
        <v>366</v>
      </c>
      <c r="D24" s="8">
        <f t="shared" si="0"/>
        <v>89</v>
      </c>
    </row>
    <row r="25" spans="2:4" x14ac:dyDescent="0.35">
      <c r="B25" s="8">
        <v>206</v>
      </c>
      <c r="C25" s="8">
        <v>244</v>
      </c>
      <c r="D25" s="8">
        <f t="shared" si="0"/>
        <v>38</v>
      </c>
    </row>
    <row r="26" spans="2:4" x14ac:dyDescent="0.35">
      <c r="B26" s="8">
        <v>229</v>
      </c>
      <c r="C26" s="8">
        <v>241</v>
      </c>
      <c r="D26" s="8">
        <f t="shared" si="0"/>
        <v>12</v>
      </c>
    </row>
    <row r="27" spans="2:4" x14ac:dyDescent="0.35">
      <c r="B27" s="8">
        <v>182</v>
      </c>
      <c r="C27" s="8">
        <v>237</v>
      </c>
      <c r="D27" s="8">
        <f t="shared" si="0"/>
        <v>55</v>
      </c>
    </row>
    <row r="28" spans="2:4" x14ac:dyDescent="0.35">
      <c r="B28" s="8">
        <v>98</v>
      </c>
      <c r="C28" s="8">
        <v>122</v>
      </c>
      <c r="D28" s="8">
        <f t="shared" si="0"/>
        <v>24</v>
      </c>
    </row>
    <row r="29" spans="2:4" x14ac:dyDescent="0.35">
      <c r="B29" s="8">
        <v>125</v>
      </c>
      <c r="C29" s="8">
        <v>129</v>
      </c>
      <c r="D29" s="8">
        <f t="shared" si="0"/>
        <v>4</v>
      </c>
    </row>
    <row r="30" spans="2:4" x14ac:dyDescent="0.35">
      <c r="B30" s="8">
        <v>164</v>
      </c>
      <c r="C30" s="8">
        <v>236</v>
      </c>
      <c r="D30" s="8">
        <f t="shared" si="0"/>
        <v>72</v>
      </c>
    </row>
    <row r="31" spans="2:4" x14ac:dyDescent="0.35">
      <c r="B31" s="8">
        <v>186</v>
      </c>
      <c r="C31" s="8">
        <v>251</v>
      </c>
      <c r="D31" s="8">
        <f t="shared" si="0"/>
        <v>65</v>
      </c>
    </row>
    <row r="32" spans="2:4" x14ac:dyDescent="0.35">
      <c r="B32" s="8">
        <v>235</v>
      </c>
      <c r="C32" s="8">
        <v>283</v>
      </c>
      <c r="D32" s="8">
        <f t="shared" si="0"/>
        <v>48</v>
      </c>
    </row>
    <row r="33" spans="2:4" x14ac:dyDescent="0.35">
      <c r="B33" s="8">
        <v>184</v>
      </c>
      <c r="C33" s="8">
        <v>225</v>
      </c>
      <c r="D33" s="8">
        <f t="shared" si="0"/>
        <v>41</v>
      </c>
    </row>
    <row r="34" spans="2:4" x14ac:dyDescent="0.35">
      <c r="B34" s="8">
        <v>76</v>
      </c>
      <c r="C34" s="8">
        <v>102</v>
      </c>
      <c r="D34" s="8">
        <f t="shared" si="0"/>
        <v>26</v>
      </c>
    </row>
    <row r="35" spans="2:4" x14ac:dyDescent="0.35">
      <c r="B35" s="8">
        <v>126</v>
      </c>
      <c r="C35" s="8">
        <v>180</v>
      </c>
      <c r="D35" s="8">
        <f t="shared" si="0"/>
        <v>54</v>
      </c>
    </row>
    <row r="36" spans="2:4" x14ac:dyDescent="0.35">
      <c r="B36" s="8">
        <v>183</v>
      </c>
      <c r="C36" s="8">
        <v>247</v>
      </c>
      <c r="D36" s="8">
        <f t="shared" si="0"/>
        <v>64</v>
      </c>
    </row>
    <row r="37" spans="2:4" x14ac:dyDescent="0.35">
      <c r="B37" s="8">
        <v>242</v>
      </c>
      <c r="C37" s="8">
        <v>343</v>
      </c>
      <c r="D37" s="8">
        <f t="shared" si="0"/>
        <v>101</v>
      </c>
    </row>
    <row r="38" spans="2:4" x14ac:dyDescent="0.35">
      <c r="B38" s="8">
        <v>207</v>
      </c>
      <c r="C38" s="8">
        <v>283</v>
      </c>
      <c r="D38" s="8">
        <f t="shared" si="0"/>
        <v>76</v>
      </c>
    </row>
    <row r="39" spans="2:4" x14ac:dyDescent="0.35">
      <c r="B39" s="8">
        <v>181</v>
      </c>
      <c r="C39" s="8">
        <v>253</v>
      </c>
      <c r="D39" s="8">
        <f t="shared" si="0"/>
        <v>72</v>
      </c>
    </row>
    <row r="40" spans="2:4" x14ac:dyDescent="0.35">
      <c r="B40" s="8">
        <v>239</v>
      </c>
      <c r="C40" s="8">
        <v>263</v>
      </c>
      <c r="D40" s="8">
        <f t="shared" si="0"/>
        <v>24</v>
      </c>
    </row>
    <row r="41" spans="2:4" x14ac:dyDescent="0.35">
      <c r="B41" s="8">
        <v>216</v>
      </c>
      <c r="C41" s="8">
        <v>291</v>
      </c>
      <c r="D41" s="8">
        <f t="shared" si="0"/>
        <v>75</v>
      </c>
    </row>
    <row r="42" spans="2:4" x14ac:dyDescent="0.35">
      <c r="B42" s="8">
        <v>289</v>
      </c>
      <c r="C42" s="8">
        <v>368</v>
      </c>
      <c r="D42" s="8">
        <f t="shared" si="0"/>
        <v>79</v>
      </c>
    </row>
    <row r="43" spans="2:4" x14ac:dyDescent="0.35">
      <c r="B43" s="8">
        <v>213</v>
      </c>
      <c r="C43" s="8">
        <v>206</v>
      </c>
      <c r="D43" s="8">
        <f t="shared" si="0"/>
        <v>-7</v>
      </c>
    </row>
    <row r="44" spans="2:4" x14ac:dyDescent="0.35">
      <c r="B44" s="8">
        <v>209</v>
      </c>
      <c r="C44" s="8">
        <v>231</v>
      </c>
      <c r="D44" s="8">
        <f t="shared" si="0"/>
        <v>22</v>
      </c>
    </row>
    <row r="45" spans="2:4" x14ac:dyDescent="0.35">
      <c r="B45" s="8">
        <v>376</v>
      </c>
      <c r="C45" s="8">
        <v>389</v>
      </c>
      <c r="D45" s="8">
        <f t="shared" si="0"/>
        <v>13</v>
      </c>
    </row>
    <row r="46" spans="2:4" x14ac:dyDescent="0.35">
      <c r="B46" s="8">
        <v>332</v>
      </c>
      <c r="C46" s="8">
        <v>396</v>
      </c>
      <c r="D46" s="8">
        <f t="shared" si="0"/>
        <v>64</v>
      </c>
    </row>
    <row r="47" spans="2:4" x14ac:dyDescent="0.35">
      <c r="B47" s="8">
        <v>249</v>
      </c>
      <c r="C47" s="8">
        <v>339</v>
      </c>
      <c r="D47" s="8">
        <f t="shared" si="0"/>
        <v>90</v>
      </c>
    </row>
    <row r="48" spans="2:4" x14ac:dyDescent="0.35">
      <c r="B48" s="8">
        <v>228</v>
      </c>
      <c r="C48" s="8">
        <v>286</v>
      </c>
      <c r="D48" s="8">
        <f t="shared" si="0"/>
        <v>58</v>
      </c>
    </row>
    <row r="49" spans="2:4" x14ac:dyDescent="0.35">
      <c r="B49" s="8">
        <v>124</v>
      </c>
      <c r="C49" s="8">
        <v>146</v>
      </c>
      <c r="D49" s="8">
        <f t="shared" si="0"/>
        <v>22</v>
      </c>
    </row>
    <row r="50" spans="2:4" x14ac:dyDescent="0.35">
      <c r="B50" s="8">
        <v>194</v>
      </c>
      <c r="C50" s="8">
        <v>315</v>
      </c>
      <c r="D50" s="8">
        <f t="shared" si="0"/>
        <v>121</v>
      </c>
    </row>
    <row r="51" spans="2:4" x14ac:dyDescent="0.35">
      <c r="B51" s="8">
        <v>157</v>
      </c>
      <c r="C51" s="8">
        <v>183</v>
      </c>
      <c r="D51" s="8">
        <f t="shared" si="0"/>
        <v>26</v>
      </c>
    </row>
    <row r="52" spans="2:4" x14ac:dyDescent="0.35">
      <c r="B52" s="8">
        <v>402</v>
      </c>
      <c r="C52" s="8">
        <v>481</v>
      </c>
      <c r="D52" s="8">
        <f t="shared" si="0"/>
        <v>79</v>
      </c>
    </row>
    <row r="53" spans="2:4" x14ac:dyDescent="0.35">
      <c r="B53" s="8">
        <v>323</v>
      </c>
      <c r="C53" s="8">
        <v>349</v>
      </c>
      <c r="D53" s="8">
        <f t="shared" si="0"/>
        <v>26</v>
      </c>
    </row>
    <row r="54" spans="2:4" x14ac:dyDescent="0.35">
      <c r="B54" s="8">
        <v>181</v>
      </c>
      <c r="C54" s="8">
        <v>225</v>
      </c>
      <c r="D54" s="8">
        <f t="shared" si="0"/>
        <v>44</v>
      </c>
    </row>
    <row r="55" spans="2:4" x14ac:dyDescent="0.35">
      <c r="B55" s="8">
        <v>157</v>
      </c>
      <c r="C55" s="8">
        <v>217</v>
      </c>
      <c r="D55" s="8">
        <f t="shared" si="0"/>
        <v>60</v>
      </c>
    </row>
    <row r="56" spans="2:4" x14ac:dyDescent="0.35">
      <c r="B56" s="8">
        <v>266</v>
      </c>
      <c r="C56" s="8">
        <v>353</v>
      </c>
      <c r="D56" s="8">
        <f t="shared" si="0"/>
        <v>87</v>
      </c>
    </row>
    <row r="57" spans="2:4" x14ac:dyDescent="0.35">
      <c r="B57" s="8">
        <v>268</v>
      </c>
      <c r="C57" s="8">
        <v>314</v>
      </c>
      <c r="D57" s="8">
        <f t="shared" si="0"/>
        <v>46</v>
      </c>
    </row>
    <row r="58" spans="2:4" x14ac:dyDescent="0.35">
      <c r="B58" s="8">
        <v>167</v>
      </c>
      <c r="C58" s="8">
        <v>247</v>
      </c>
      <c r="D58" s="8">
        <f t="shared" si="0"/>
        <v>80</v>
      </c>
    </row>
    <row r="59" spans="2:4" x14ac:dyDescent="0.35">
      <c r="B59" s="8">
        <v>342</v>
      </c>
      <c r="C59" s="8">
        <v>410</v>
      </c>
      <c r="D59" s="8">
        <f t="shared" si="0"/>
        <v>68</v>
      </c>
    </row>
    <row r="60" spans="2:4" x14ac:dyDescent="0.35">
      <c r="B60" s="8">
        <v>349</v>
      </c>
      <c r="C60" s="8">
        <v>395</v>
      </c>
      <c r="D60" s="8">
        <f t="shared" si="0"/>
        <v>46</v>
      </c>
    </row>
    <row r="61" spans="2:4" x14ac:dyDescent="0.35">
      <c r="B61" s="8">
        <v>340</v>
      </c>
      <c r="C61" s="8">
        <v>416</v>
      </c>
      <c r="D61" s="8">
        <f t="shared" si="0"/>
        <v>76</v>
      </c>
    </row>
    <row r="62" spans="2:4" x14ac:dyDescent="0.35">
      <c r="B62" s="8">
        <v>227</v>
      </c>
      <c r="C62" s="8">
        <v>342</v>
      </c>
      <c r="D62" s="8">
        <f t="shared" si="0"/>
        <v>115</v>
      </c>
    </row>
    <row r="63" spans="2:4" x14ac:dyDescent="0.35">
      <c r="B63" s="8">
        <v>409</v>
      </c>
      <c r="C63" s="8">
        <v>446</v>
      </c>
      <c r="D63" s="8">
        <f t="shared" si="0"/>
        <v>37</v>
      </c>
    </row>
    <row r="64" spans="2:4" x14ac:dyDescent="0.35">
      <c r="B64" s="8">
        <v>400</v>
      </c>
      <c r="C64" s="8">
        <v>477</v>
      </c>
      <c r="D64" s="8">
        <f t="shared" si="0"/>
        <v>77</v>
      </c>
    </row>
    <row r="65" spans="2:4" x14ac:dyDescent="0.35">
      <c r="B65" s="8">
        <v>374</v>
      </c>
      <c r="C65" s="8">
        <v>444</v>
      </c>
      <c r="D65" s="8">
        <f t="shared" si="0"/>
        <v>70</v>
      </c>
    </row>
    <row r="66" spans="2:4" x14ac:dyDescent="0.35">
      <c r="B66" s="8">
        <v>255</v>
      </c>
      <c r="C66" s="8">
        <v>351</v>
      </c>
      <c r="D66" s="8">
        <f t="shared" si="0"/>
        <v>96</v>
      </c>
    </row>
    <row r="67" spans="2:4" x14ac:dyDescent="0.35">
      <c r="B67" s="8">
        <v>146</v>
      </c>
      <c r="C67" s="8">
        <v>165</v>
      </c>
      <c r="D67" s="8">
        <f t="shared" si="0"/>
        <v>19</v>
      </c>
    </row>
    <row r="68" spans="2:4" x14ac:dyDescent="0.35">
      <c r="B68" s="8">
        <v>248</v>
      </c>
      <c r="C68" s="8">
        <v>317</v>
      </c>
      <c r="D68" s="8">
        <f t="shared" si="0"/>
        <v>69</v>
      </c>
    </row>
    <row r="69" spans="2:4" x14ac:dyDescent="0.35">
      <c r="B69" s="8">
        <v>198</v>
      </c>
      <c r="C69" s="8">
        <v>250</v>
      </c>
      <c r="D69" s="8">
        <f t="shared" si="0"/>
        <v>52</v>
      </c>
    </row>
    <row r="70" spans="2:4" x14ac:dyDescent="0.35">
      <c r="B70" s="8">
        <v>210</v>
      </c>
      <c r="C70" s="8">
        <v>217</v>
      </c>
      <c r="D70" s="8">
        <f t="shared" si="0"/>
        <v>7</v>
      </c>
    </row>
    <row r="71" spans="2:4" x14ac:dyDescent="0.35">
      <c r="B71" s="8">
        <v>107</v>
      </c>
      <c r="C71" s="8">
        <v>138</v>
      </c>
      <c r="D71" s="8">
        <f t="shared" ref="D71:D100" si="1">C71-B71</f>
        <v>31</v>
      </c>
    </row>
    <row r="72" spans="2:4" x14ac:dyDescent="0.35">
      <c r="B72" s="8">
        <v>239</v>
      </c>
      <c r="C72" s="8">
        <v>302</v>
      </c>
      <c r="D72" s="8">
        <f t="shared" si="1"/>
        <v>63</v>
      </c>
    </row>
    <row r="73" spans="2:4" x14ac:dyDescent="0.35">
      <c r="B73" s="8">
        <v>287</v>
      </c>
      <c r="C73" s="8">
        <v>311</v>
      </c>
      <c r="D73" s="8">
        <f t="shared" si="1"/>
        <v>24</v>
      </c>
    </row>
    <row r="74" spans="2:4" x14ac:dyDescent="0.35">
      <c r="B74" s="8">
        <v>340</v>
      </c>
      <c r="C74" s="8">
        <v>373</v>
      </c>
      <c r="D74" s="8">
        <f t="shared" si="1"/>
        <v>33</v>
      </c>
    </row>
    <row r="75" spans="2:4" x14ac:dyDescent="0.35">
      <c r="B75" s="8">
        <v>155</v>
      </c>
      <c r="C75" s="8">
        <v>196</v>
      </c>
      <c r="D75" s="8">
        <f t="shared" si="1"/>
        <v>41</v>
      </c>
    </row>
    <row r="76" spans="2:4" x14ac:dyDescent="0.35">
      <c r="B76" s="8">
        <v>263</v>
      </c>
      <c r="C76" s="8">
        <v>306</v>
      </c>
      <c r="D76" s="8">
        <f t="shared" si="1"/>
        <v>43</v>
      </c>
    </row>
    <row r="77" spans="2:4" x14ac:dyDescent="0.35">
      <c r="B77" s="8">
        <v>265</v>
      </c>
      <c r="C77" s="8">
        <v>302</v>
      </c>
      <c r="D77" s="8">
        <f t="shared" si="1"/>
        <v>37</v>
      </c>
    </row>
    <row r="78" spans="2:4" x14ac:dyDescent="0.35">
      <c r="B78" s="8">
        <v>249</v>
      </c>
      <c r="C78" s="8">
        <v>278</v>
      </c>
      <c r="D78" s="8">
        <f t="shared" si="1"/>
        <v>29</v>
      </c>
    </row>
    <row r="79" spans="2:4" x14ac:dyDescent="0.35">
      <c r="B79" s="8">
        <v>377</v>
      </c>
      <c r="C79" s="8">
        <v>429</v>
      </c>
      <c r="D79" s="8">
        <f t="shared" si="1"/>
        <v>52</v>
      </c>
    </row>
    <row r="80" spans="2:4" x14ac:dyDescent="0.35">
      <c r="B80" s="8">
        <v>301</v>
      </c>
      <c r="C80" s="8">
        <v>338</v>
      </c>
      <c r="D80" s="8">
        <f t="shared" si="1"/>
        <v>37</v>
      </c>
    </row>
    <row r="81" spans="2:4" x14ac:dyDescent="0.35">
      <c r="B81" s="8">
        <v>242</v>
      </c>
      <c r="C81" s="8">
        <v>261</v>
      </c>
      <c r="D81" s="8">
        <f t="shared" si="1"/>
        <v>19</v>
      </c>
    </row>
    <row r="82" spans="2:4" x14ac:dyDescent="0.35">
      <c r="B82" s="8">
        <v>211</v>
      </c>
      <c r="C82" s="8">
        <v>256</v>
      </c>
      <c r="D82" s="8">
        <f t="shared" si="1"/>
        <v>45</v>
      </c>
    </row>
    <row r="83" spans="2:4" x14ac:dyDescent="0.35">
      <c r="B83" s="8">
        <v>160</v>
      </c>
      <c r="C83" s="8">
        <v>183</v>
      </c>
      <c r="D83" s="8">
        <f t="shared" si="1"/>
        <v>23</v>
      </c>
    </row>
    <row r="84" spans="2:4" x14ac:dyDescent="0.35">
      <c r="B84" s="8">
        <v>218</v>
      </c>
      <c r="C84" s="8">
        <v>274</v>
      </c>
      <c r="D84" s="8">
        <f t="shared" si="1"/>
        <v>56</v>
      </c>
    </row>
    <row r="85" spans="2:4" x14ac:dyDescent="0.35">
      <c r="B85" s="8">
        <v>133</v>
      </c>
      <c r="C85" s="8">
        <v>182</v>
      </c>
      <c r="D85" s="8">
        <f t="shared" si="1"/>
        <v>49</v>
      </c>
    </row>
    <row r="86" spans="2:4" x14ac:dyDescent="0.35">
      <c r="B86" s="8">
        <v>122</v>
      </c>
      <c r="C86" s="8">
        <v>183</v>
      </c>
      <c r="D86" s="8">
        <f t="shared" si="1"/>
        <v>61</v>
      </c>
    </row>
    <row r="87" spans="2:4" x14ac:dyDescent="0.35">
      <c r="B87" s="8">
        <v>236</v>
      </c>
      <c r="C87" s="8">
        <v>309</v>
      </c>
      <c r="D87" s="8">
        <f t="shared" si="1"/>
        <v>73</v>
      </c>
    </row>
    <row r="88" spans="2:4" x14ac:dyDescent="0.35">
      <c r="B88" s="8">
        <v>143</v>
      </c>
      <c r="C88" s="8">
        <v>178</v>
      </c>
      <c r="D88" s="8">
        <f t="shared" si="1"/>
        <v>35</v>
      </c>
    </row>
    <row r="89" spans="2:4" x14ac:dyDescent="0.35">
      <c r="B89" s="8">
        <v>354</v>
      </c>
      <c r="C89" s="8">
        <v>458</v>
      </c>
      <c r="D89" s="8">
        <f t="shared" si="1"/>
        <v>104</v>
      </c>
    </row>
    <row r="90" spans="2:4" x14ac:dyDescent="0.35">
      <c r="B90" s="8">
        <v>214</v>
      </c>
      <c r="C90" s="8">
        <v>234</v>
      </c>
      <c r="D90" s="8">
        <f t="shared" si="1"/>
        <v>20</v>
      </c>
    </row>
    <row r="91" spans="2:4" x14ac:dyDescent="0.35">
      <c r="B91" s="8">
        <v>225</v>
      </c>
      <c r="C91" s="8">
        <v>306</v>
      </c>
      <c r="D91" s="8">
        <f t="shared" si="1"/>
        <v>81</v>
      </c>
    </row>
    <row r="92" spans="2:4" x14ac:dyDescent="0.35">
      <c r="B92" s="8">
        <v>261</v>
      </c>
      <c r="C92" s="8">
        <v>400</v>
      </c>
      <c r="D92" s="8">
        <f t="shared" si="1"/>
        <v>139</v>
      </c>
    </row>
    <row r="93" spans="2:4" x14ac:dyDescent="0.35">
      <c r="B93" s="8">
        <v>277</v>
      </c>
      <c r="C93" s="8">
        <v>337</v>
      </c>
      <c r="D93" s="8">
        <f t="shared" si="1"/>
        <v>60</v>
      </c>
    </row>
    <row r="94" spans="2:4" x14ac:dyDescent="0.35">
      <c r="B94" s="8">
        <v>282</v>
      </c>
      <c r="C94" s="8">
        <v>325</v>
      </c>
      <c r="D94" s="8">
        <f t="shared" si="1"/>
        <v>43</v>
      </c>
    </row>
    <row r="95" spans="2:4" x14ac:dyDescent="0.35">
      <c r="B95" s="8">
        <v>322</v>
      </c>
      <c r="C95" s="8">
        <v>329</v>
      </c>
      <c r="D95" s="8">
        <f t="shared" si="1"/>
        <v>7</v>
      </c>
    </row>
    <row r="96" spans="2:4" x14ac:dyDescent="0.35">
      <c r="B96" s="8">
        <v>326</v>
      </c>
      <c r="C96" s="8">
        <v>369</v>
      </c>
      <c r="D96" s="8">
        <f t="shared" si="1"/>
        <v>43</v>
      </c>
    </row>
    <row r="97" spans="2:4" x14ac:dyDescent="0.35">
      <c r="B97" s="8">
        <v>421</v>
      </c>
      <c r="C97" s="8">
        <v>457</v>
      </c>
      <c r="D97" s="8">
        <f t="shared" si="1"/>
        <v>36</v>
      </c>
    </row>
    <row r="98" spans="2:4" x14ac:dyDescent="0.35">
      <c r="B98" s="8">
        <v>368</v>
      </c>
      <c r="C98" s="8">
        <v>421</v>
      </c>
      <c r="D98" s="8">
        <f t="shared" si="1"/>
        <v>53</v>
      </c>
    </row>
    <row r="99" spans="2:4" x14ac:dyDescent="0.35">
      <c r="B99" s="8">
        <v>279</v>
      </c>
      <c r="C99" s="8">
        <v>282</v>
      </c>
      <c r="D99" s="8">
        <f t="shared" si="1"/>
        <v>3</v>
      </c>
    </row>
    <row r="100" spans="2:4" x14ac:dyDescent="0.35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  <headerFooter>
    <oddFooter>&amp;L3/20/2023&amp;CAXP Internal&amp;R13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H100"/>
  <sheetViews>
    <sheetView showGridLines="0" workbookViewId="0">
      <selection activeCell="E14" sqref="E14"/>
    </sheetView>
  </sheetViews>
  <sheetFormatPr defaultRowHeight="14.5" x14ac:dyDescent="0.35"/>
  <cols>
    <col min="1" max="1" width="2.81640625" customWidth="1"/>
    <col min="2" max="2" width="10.7265625" bestFit="1" customWidth="1"/>
    <col min="3" max="3" width="19.81640625" bestFit="1" customWidth="1"/>
    <col min="5" max="5" width="22.7265625" bestFit="1" customWidth="1"/>
    <col min="6" max="6" width="12" bestFit="1" customWidth="1"/>
    <col min="7" max="7" width="13.453125" bestFit="1" customWidth="1"/>
  </cols>
  <sheetData>
    <row r="1" spans="2:8" ht="25.5" customHeight="1" x14ac:dyDescent="0.45">
      <c r="B1" s="18" t="s">
        <v>125</v>
      </c>
    </row>
    <row r="2" spans="2:8" ht="15" customHeight="1" x14ac:dyDescent="0.35">
      <c r="B2" s="30" t="s">
        <v>81</v>
      </c>
    </row>
    <row r="3" spans="2:8" ht="18" customHeight="1" x14ac:dyDescent="0.35"/>
    <row r="4" spans="2:8" x14ac:dyDescent="0.35">
      <c r="E4" s="3" t="s">
        <v>54</v>
      </c>
    </row>
    <row r="5" spans="2:8" x14ac:dyDescent="0.35">
      <c r="B5" s="7" t="s">
        <v>77</v>
      </c>
      <c r="C5" s="7" t="s">
        <v>23</v>
      </c>
      <c r="E5" s="121" t="s">
        <v>80</v>
      </c>
      <c r="F5" s="121"/>
      <c r="G5" s="121"/>
      <c r="H5" s="109" t="s">
        <v>344</v>
      </c>
    </row>
    <row r="6" spans="2:8" x14ac:dyDescent="0.35">
      <c r="B6" s="8">
        <v>90.2</v>
      </c>
      <c r="C6" s="8">
        <v>276</v>
      </c>
      <c r="F6" s="17" t="s">
        <v>77</v>
      </c>
      <c r="G6" s="17" t="s">
        <v>79</v>
      </c>
    </row>
    <row r="7" spans="2:8" x14ac:dyDescent="0.35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8" x14ac:dyDescent="0.35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8" x14ac:dyDescent="0.35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8" x14ac:dyDescent="0.35">
      <c r="B10" s="8">
        <v>74.900000000000006</v>
      </c>
      <c r="C10" s="8">
        <v>252</v>
      </c>
      <c r="E10" s="20"/>
      <c r="F10" s="1"/>
      <c r="G10" s="1"/>
    </row>
    <row r="11" spans="2:8" x14ac:dyDescent="0.35">
      <c r="B11" s="8">
        <v>80.7</v>
      </c>
      <c r="C11" s="8">
        <v>209</v>
      </c>
      <c r="E11" s="20"/>
      <c r="F11" s="1"/>
      <c r="G11" s="1"/>
    </row>
    <row r="12" spans="2:8" x14ac:dyDescent="0.35">
      <c r="B12" s="8">
        <v>83.3</v>
      </c>
      <c r="C12" s="8">
        <v>462</v>
      </c>
      <c r="E12" s="20"/>
      <c r="F12" s="1"/>
      <c r="G12" s="1"/>
    </row>
    <row r="13" spans="2:8" x14ac:dyDescent="0.35">
      <c r="B13" s="8">
        <v>88.7</v>
      </c>
      <c r="C13" s="8">
        <v>342</v>
      </c>
      <c r="E13" s="20"/>
    </row>
    <row r="14" spans="2:8" x14ac:dyDescent="0.35">
      <c r="B14" s="8">
        <v>75.400000000000006</v>
      </c>
      <c r="C14" s="8">
        <v>347</v>
      </c>
    </row>
    <row r="15" spans="2:8" x14ac:dyDescent="0.35">
      <c r="B15" s="8">
        <v>82.1</v>
      </c>
      <c r="C15" s="8">
        <v>313</v>
      </c>
    </row>
    <row r="16" spans="2:8" x14ac:dyDescent="0.35">
      <c r="B16" s="8">
        <v>87.5</v>
      </c>
      <c r="C16" s="8">
        <v>232</v>
      </c>
    </row>
    <row r="17" spans="2:3" x14ac:dyDescent="0.35">
      <c r="B17" s="8">
        <v>66.900000000000006</v>
      </c>
      <c r="C17" s="8">
        <v>163</v>
      </c>
    </row>
    <row r="18" spans="2:3" x14ac:dyDescent="0.35">
      <c r="B18" s="8">
        <v>71.3</v>
      </c>
      <c r="C18" s="8">
        <v>119</v>
      </c>
    </row>
    <row r="19" spans="2:3" x14ac:dyDescent="0.35">
      <c r="B19" s="8">
        <v>76.8</v>
      </c>
      <c r="C19" s="8">
        <v>304</v>
      </c>
    </row>
    <row r="20" spans="2:3" x14ac:dyDescent="0.35">
      <c r="B20" s="8">
        <v>72.3</v>
      </c>
      <c r="C20" s="8">
        <v>211</v>
      </c>
    </row>
    <row r="21" spans="2:3" x14ac:dyDescent="0.35">
      <c r="B21" s="8">
        <v>72.400000000000006</v>
      </c>
      <c r="C21" s="8">
        <v>286</v>
      </c>
    </row>
    <row r="22" spans="2:3" x14ac:dyDescent="0.35">
      <c r="B22" s="8">
        <v>72</v>
      </c>
      <c r="C22" s="8">
        <v>122</v>
      </c>
    </row>
    <row r="23" spans="2:3" x14ac:dyDescent="0.35">
      <c r="B23" s="8">
        <v>81</v>
      </c>
      <c r="C23" s="8">
        <v>443</v>
      </c>
    </row>
    <row r="24" spans="2:3" x14ac:dyDescent="0.35">
      <c r="B24" s="8">
        <v>96.1</v>
      </c>
      <c r="C24" s="8">
        <v>366</v>
      </c>
    </row>
    <row r="25" spans="2:3" x14ac:dyDescent="0.35">
      <c r="B25" s="8">
        <v>76.7</v>
      </c>
      <c r="C25" s="8">
        <v>244</v>
      </c>
    </row>
    <row r="26" spans="2:3" x14ac:dyDescent="0.35">
      <c r="B26" s="8">
        <v>80.3</v>
      </c>
      <c r="C26" s="8">
        <v>241</v>
      </c>
    </row>
    <row r="27" spans="2:3" x14ac:dyDescent="0.35">
      <c r="B27" s="8">
        <v>77.8</v>
      </c>
      <c r="C27" s="8">
        <v>237</v>
      </c>
    </row>
    <row r="28" spans="2:3" x14ac:dyDescent="0.35">
      <c r="B28" s="8">
        <v>62.6</v>
      </c>
      <c r="C28" s="8">
        <v>122</v>
      </c>
    </row>
    <row r="29" spans="2:3" x14ac:dyDescent="0.35">
      <c r="B29" s="8">
        <v>80.2</v>
      </c>
      <c r="C29" s="8">
        <v>129</v>
      </c>
    </row>
    <row r="30" spans="2:3" x14ac:dyDescent="0.35">
      <c r="B30" s="8">
        <v>79.099999999999994</v>
      </c>
      <c r="C30" s="8">
        <v>236</v>
      </c>
    </row>
    <row r="31" spans="2:3" x14ac:dyDescent="0.35">
      <c r="B31" s="8">
        <v>77.8</v>
      </c>
      <c r="C31" s="8">
        <v>251</v>
      </c>
    </row>
    <row r="32" spans="2:3" x14ac:dyDescent="0.35">
      <c r="B32" s="8">
        <v>75.099999999999994</v>
      </c>
      <c r="C32" s="8">
        <v>283</v>
      </c>
    </row>
    <row r="33" spans="2:3" x14ac:dyDescent="0.35">
      <c r="B33" s="8">
        <v>82.2</v>
      </c>
      <c r="C33" s="8">
        <v>225</v>
      </c>
    </row>
    <row r="34" spans="2:3" x14ac:dyDescent="0.35">
      <c r="B34" s="8">
        <v>70.5</v>
      </c>
      <c r="C34" s="8">
        <v>102</v>
      </c>
    </row>
    <row r="35" spans="2:3" x14ac:dyDescent="0.35">
      <c r="B35" s="8">
        <v>70.8</v>
      </c>
      <c r="C35" s="8">
        <v>180</v>
      </c>
    </row>
    <row r="36" spans="2:3" x14ac:dyDescent="0.35">
      <c r="B36" s="8">
        <v>87.5</v>
      </c>
      <c r="C36" s="8">
        <v>247</v>
      </c>
    </row>
    <row r="37" spans="2:3" x14ac:dyDescent="0.35">
      <c r="B37" s="8">
        <v>79.5</v>
      </c>
      <c r="C37" s="8">
        <v>343</v>
      </c>
    </row>
    <row r="38" spans="2:3" x14ac:dyDescent="0.35">
      <c r="B38" s="8">
        <v>80.8</v>
      </c>
      <c r="C38" s="8">
        <v>283</v>
      </c>
    </row>
    <row r="39" spans="2:3" x14ac:dyDescent="0.35">
      <c r="B39" s="8">
        <v>79.599999999999994</v>
      </c>
      <c r="C39" s="8">
        <v>253</v>
      </c>
    </row>
    <row r="40" spans="2:3" x14ac:dyDescent="0.35">
      <c r="B40" s="8">
        <v>88.9</v>
      </c>
      <c r="C40" s="8">
        <v>263</v>
      </c>
    </row>
    <row r="41" spans="2:3" x14ac:dyDescent="0.35">
      <c r="B41" s="8">
        <v>85.9</v>
      </c>
      <c r="C41" s="8">
        <v>291</v>
      </c>
    </row>
    <row r="42" spans="2:3" x14ac:dyDescent="0.35">
      <c r="B42" s="8">
        <v>82.3</v>
      </c>
      <c r="C42" s="8">
        <v>368</v>
      </c>
    </row>
    <row r="43" spans="2:3" x14ac:dyDescent="0.35">
      <c r="B43" s="8">
        <v>76.7</v>
      </c>
      <c r="C43" s="8">
        <v>206</v>
      </c>
    </row>
    <row r="44" spans="2:3" x14ac:dyDescent="0.35">
      <c r="B44" s="8">
        <v>79.900000000000006</v>
      </c>
      <c r="C44" s="8">
        <v>231</v>
      </c>
    </row>
    <row r="45" spans="2:3" x14ac:dyDescent="0.35">
      <c r="B45" s="8">
        <v>86.2</v>
      </c>
      <c r="C45" s="8">
        <v>389</v>
      </c>
    </row>
    <row r="46" spans="2:3" x14ac:dyDescent="0.35">
      <c r="B46" s="8">
        <v>79.2</v>
      </c>
      <c r="C46" s="8">
        <v>396</v>
      </c>
    </row>
    <row r="47" spans="2:3" x14ac:dyDescent="0.35">
      <c r="B47" s="8">
        <v>83.4</v>
      </c>
      <c r="C47" s="8">
        <v>339</v>
      </c>
    </row>
    <row r="48" spans="2:3" x14ac:dyDescent="0.35">
      <c r="B48" s="8">
        <v>85.2</v>
      </c>
      <c r="C48" s="8">
        <v>286</v>
      </c>
    </row>
    <row r="49" spans="2:3" x14ac:dyDescent="0.35">
      <c r="B49" s="8">
        <v>77.8</v>
      </c>
      <c r="C49" s="8">
        <v>146</v>
      </c>
    </row>
    <row r="50" spans="2:3" x14ac:dyDescent="0.35">
      <c r="B50" s="8">
        <v>80.2</v>
      </c>
      <c r="C50" s="8">
        <v>315</v>
      </c>
    </row>
    <row r="51" spans="2:3" x14ac:dyDescent="0.35">
      <c r="B51" s="8">
        <v>71</v>
      </c>
      <c r="C51" s="8">
        <v>183</v>
      </c>
    </row>
    <row r="52" spans="2:3" x14ac:dyDescent="0.35">
      <c r="B52" s="8">
        <v>87.2</v>
      </c>
      <c r="C52" s="8">
        <v>481</v>
      </c>
    </row>
    <row r="53" spans="2:3" x14ac:dyDescent="0.35">
      <c r="B53" s="8">
        <v>82.9</v>
      </c>
      <c r="C53" s="8">
        <v>349</v>
      </c>
    </row>
    <row r="54" spans="2:3" x14ac:dyDescent="0.35">
      <c r="B54" s="8">
        <v>73.5</v>
      </c>
      <c r="C54" s="8">
        <v>225</v>
      </c>
    </row>
    <row r="55" spans="2:3" x14ac:dyDescent="0.35">
      <c r="B55" s="8">
        <v>74.599999999999994</v>
      </c>
      <c r="C55" s="8">
        <v>217</v>
      </c>
    </row>
    <row r="56" spans="2:3" x14ac:dyDescent="0.35">
      <c r="B56" s="8">
        <v>75.099999999999994</v>
      </c>
      <c r="C56" s="8">
        <v>353</v>
      </c>
    </row>
    <row r="57" spans="2:3" x14ac:dyDescent="0.35">
      <c r="B57" s="8">
        <v>85.1</v>
      </c>
      <c r="C57" s="8">
        <v>314</v>
      </c>
    </row>
    <row r="58" spans="2:3" x14ac:dyDescent="0.35">
      <c r="B58" s="8">
        <v>74.900000000000006</v>
      </c>
      <c r="C58" s="8">
        <v>247</v>
      </c>
    </row>
    <row r="59" spans="2:3" x14ac:dyDescent="0.35">
      <c r="B59" s="8">
        <v>84.6</v>
      </c>
      <c r="C59" s="8">
        <v>410</v>
      </c>
    </row>
    <row r="60" spans="2:3" x14ac:dyDescent="0.35">
      <c r="B60" s="8">
        <v>81.7</v>
      </c>
      <c r="C60" s="8">
        <v>395</v>
      </c>
    </row>
    <row r="61" spans="2:3" x14ac:dyDescent="0.35">
      <c r="B61" s="8">
        <v>81.400000000000006</v>
      </c>
      <c r="C61" s="8">
        <v>416</v>
      </c>
    </row>
    <row r="62" spans="2:3" x14ac:dyDescent="0.35">
      <c r="B62" s="8">
        <v>83.8</v>
      </c>
      <c r="C62" s="8">
        <v>342</v>
      </c>
    </row>
    <row r="63" spans="2:3" x14ac:dyDescent="0.35">
      <c r="B63" s="8">
        <v>88.5</v>
      </c>
      <c r="C63" s="8">
        <v>446</v>
      </c>
    </row>
    <row r="64" spans="2:3" x14ac:dyDescent="0.35">
      <c r="B64" s="8">
        <v>84.9</v>
      </c>
      <c r="C64" s="8">
        <v>477</v>
      </c>
    </row>
    <row r="65" spans="2:3" x14ac:dyDescent="0.35">
      <c r="B65" s="8">
        <v>84.3</v>
      </c>
      <c r="C65" s="8">
        <v>444</v>
      </c>
    </row>
    <row r="66" spans="2:3" x14ac:dyDescent="0.35">
      <c r="B66" s="8">
        <v>78.2</v>
      </c>
      <c r="C66" s="8">
        <v>351</v>
      </c>
    </row>
    <row r="67" spans="2:3" x14ac:dyDescent="0.35">
      <c r="B67" s="8">
        <v>80</v>
      </c>
      <c r="C67" s="8">
        <v>165</v>
      </c>
    </row>
    <row r="68" spans="2:3" x14ac:dyDescent="0.35">
      <c r="B68" s="8">
        <v>74.8</v>
      </c>
      <c r="C68" s="8">
        <v>317</v>
      </c>
    </row>
    <row r="69" spans="2:3" x14ac:dyDescent="0.35">
      <c r="B69" s="8">
        <v>78.5</v>
      </c>
      <c r="C69" s="8">
        <v>250</v>
      </c>
    </row>
    <row r="70" spans="2:3" x14ac:dyDescent="0.35">
      <c r="B70" s="8">
        <v>71.8</v>
      </c>
      <c r="C70" s="8">
        <v>217</v>
      </c>
    </row>
    <row r="71" spans="2:3" x14ac:dyDescent="0.35">
      <c r="B71" s="8">
        <v>69.900000000000006</v>
      </c>
      <c r="C71" s="8">
        <v>138</v>
      </c>
    </row>
    <row r="72" spans="2:3" x14ac:dyDescent="0.35">
      <c r="B72" s="8">
        <v>82.7</v>
      </c>
      <c r="C72" s="8">
        <v>302</v>
      </c>
    </row>
    <row r="73" spans="2:3" x14ac:dyDescent="0.35">
      <c r="B73" s="8">
        <v>74</v>
      </c>
      <c r="C73" s="8">
        <v>311</v>
      </c>
    </row>
    <row r="74" spans="2:3" x14ac:dyDescent="0.35">
      <c r="B74" s="8">
        <v>84</v>
      </c>
      <c r="C74" s="8">
        <v>373</v>
      </c>
    </row>
    <row r="75" spans="2:3" x14ac:dyDescent="0.35">
      <c r="B75" s="8">
        <v>84.7</v>
      </c>
      <c r="C75" s="8">
        <v>196</v>
      </c>
    </row>
    <row r="76" spans="2:3" x14ac:dyDescent="0.35">
      <c r="B76" s="8">
        <v>78.2</v>
      </c>
      <c r="C76" s="8">
        <v>306</v>
      </c>
    </row>
    <row r="77" spans="2:3" x14ac:dyDescent="0.35">
      <c r="B77" s="8">
        <v>85</v>
      </c>
      <c r="C77" s="8">
        <v>302</v>
      </c>
    </row>
    <row r="78" spans="2:3" x14ac:dyDescent="0.35">
      <c r="B78" s="8">
        <v>80.099999999999994</v>
      </c>
      <c r="C78" s="8">
        <v>278</v>
      </c>
    </row>
    <row r="79" spans="2:3" x14ac:dyDescent="0.35">
      <c r="B79" s="8">
        <v>85.3</v>
      </c>
      <c r="C79" s="8">
        <v>429</v>
      </c>
    </row>
    <row r="80" spans="2:3" x14ac:dyDescent="0.35">
      <c r="B80" s="8">
        <v>79.7</v>
      </c>
      <c r="C80" s="8">
        <v>338</v>
      </c>
    </row>
    <row r="81" spans="2:3" x14ac:dyDescent="0.35">
      <c r="B81" s="8">
        <v>79.599999999999994</v>
      </c>
      <c r="C81" s="8">
        <v>261</v>
      </c>
    </row>
    <row r="82" spans="2:3" x14ac:dyDescent="0.35">
      <c r="B82" s="8">
        <v>78.900000000000006</v>
      </c>
      <c r="C82" s="8">
        <v>256</v>
      </c>
    </row>
    <row r="83" spans="2:3" x14ac:dyDescent="0.35">
      <c r="B83" s="8">
        <v>78.5</v>
      </c>
      <c r="C83" s="8">
        <v>183</v>
      </c>
    </row>
    <row r="84" spans="2:3" x14ac:dyDescent="0.35">
      <c r="B84" s="8">
        <v>72</v>
      </c>
      <c r="C84" s="8">
        <v>274</v>
      </c>
    </row>
    <row r="85" spans="2:3" x14ac:dyDescent="0.35">
      <c r="B85" s="8">
        <v>74.2</v>
      </c>
      <c r="C85" s="8">
        <v>182</v>
      </c>
    </row>
    <row r="86" spans="2:3" x14ac:dyDescent="0.35">
      <c r="B86" s="8">
        <v>71.7</v>
      </c>
      <c r="C86" s="8">
        <v>183</v>
      </c>
    </row>
    <row r="87" spans="2:3" x14ac:dyDescent="0.35">
      <c r="B87" s="8">
        <v>80.7</v>
      </c>
      <c r="C87" s="8">
        <v>309</v>
      </c>
    </row>
    <row r="88" spans="2:3" x14ac:dyDescent="0.35">
      <c r="B88" s="8">
        <v>84.1</v>
      </c>
      <c r="C88" s="8">
        <v>178</v>
      </c>
    </row>
    <row r="89" spans="2:3" x14ac:dyDescent="0.35">
      <c r="B89" s="8">
        <v>87.4</v>
      </c>
      <c r="C89" s="8">
        <v>458</v>
      </c>
    </row>
    <row r="90" spans="2:3" x14ac:dyDescent="0.35">
      <c r="B90" s="8">
        <v>77.400000000000006</v>
      </c>
      <c r="C90" s="8">
        <v>234</v>
      </c>
    </row>
    <row r="91" spans="2:3" x14ac:dyDescent="0.35">
      <c r="B91" s="8">
        <v>84.7</v>
      </c>
      <c r="C91" s="8">
        <v>306</v>
      </c>
    </row>
    <row r="92" spans="2:3" x14ac:dyDescent="0.35">
      <c r="B92" s="8">
        <v>78.8</v>
      </c>
      <c r="C92" s="8">
        <v>400</v>
      </c>
    </row>
    <row r="93" spans="2:3" x14ac:dyDescent="0.35">
      <c r="B93" s="8">
        <v>92.7</v>
      </c>
      <c r="C93" s="8">
        <v>337</v>
      </c>
    </row>
    <row r="94" spans="2:3" x14ac:dyDescent="0.35">
      <c r="B94" s="8">
        <v>88.8</v>
      </c>
      <c r="C94" s="8">
        <v>325</v>
      </c>
    </row>
    <row r="95" spans="2:3" x14ac:dyDescent="0.35">
      <c r="B95" s="8">
        <v>86.6</v>
      </c>
      <c r="C95" s="8">
        <v>329</v>
      </c>
    </row>
    <row r="96" spans="2:3" x14ac:dyDescent="0.35">
      <c r="B96" s="8">
        <v>77.900000000000006</v>
      </c>
      <c r="C96" s="8">
        <v>369</v>
      </c>
    </row>
    <row r="97" spans="2:3" x14ac:dyDescent="0.35">
      <c r="B97" s="8">
        <v>86.1</v>
      </c>
      <c r="C97" s="8">
        <v>457</v>
      </c>
    </row>
    <row r="98" spans="2:3" x14ac:dyDescent="0.35">
      <c r="B98" s="8">
        <v>89.9</v>
      </c>
      <c r="C98" s="8">
        <v>421</v>
      </c>
    </row>
    <row r="99" spans="2:3" x14ac:dyDescent="0.35">
      <c r="B99" s="8">
        <v>83.1</v>
      </c>
      <c r="C99" s="8">
        <v>282</v>
      </c>
    </row>
    <row r="100" spans="2:3" x14ac:dyDescent="0.35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  <pageSetup orientation="portrait" r:id="rId1"/>
  <headerFooter>
    <oddFooter>&amp;L3/20/2023&amp;CAXP Internal&amp;R14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G100"/>
  <sheetViews>
    <sheetView showGridLines="0" workbookViewId="0"/>
  </sheetViews>
  <sheetFormatPr defaultRowHeight="14.5" x14ac:dyDescent="0.35"/>
  <cols>
    <col min="1" max="1" width="2.81640625" customWidth="1"/>
    <col min="2" max="2" width="17.54296875" bestFit="1" customWidth="1"/>
    <col min="3" max="3" width="10.7265625" bestFit="1" customWidth="1"/>
    <col min="5" max="5" width="14.26953125" customWidth="1"/>
    <col min="6" max="7" width="12.81640625" customWidth="1"/>
  </cols>
  <sheetData>
    <row r="1" spans="2:7" ht="25.5" customHeight="1" x14ac:dyDescent="0.45">
      <c r="B1" s="18" t="s">
        <v>126</v>
      </c>
    </row>
    <row r="2" spans="2:7" ht="15" customHeight="1" x14ac:dyDescent="0.35">
      <c r="B2" s="30" t="s">
        <v>290</v>
      </c>
    </row>
    <row r="3" spans="2:7" ht="18" customHeight="1" x14ac:dyDescent="0.35"/>
    <row r="4" spans="2:7" x14ac:dyDescent="0.35">
      <c r="E4" s="3" t="s">
        <v>53</v>
      </c>
    </row>
    <row r="5" spans="2:7" x14ac:dyDescent="0.35">
      <c r="B5" s="7" t="s">
        <v>36</v>
      </c>
      <c r="C5" s="7" t="s">
        <v>77</v>
      </c>
      <c r="E5" s="122" t="s">
        <v>60</v>
      </c>
      <c r="F5" s="122"/>
      <c r="G5" s="122"/>
    </row>
    <row r="6" spans="2:7" x14ac:dyDescent="0.35">
      <c r="B6" s="8" t="s">
        <v>24</v>
      </c>
      <c r="C6" s="8">
        <v>90.2</v>
      </c>
      <c r="F6" s="17" t="s">
        <v>24</v>
      </c>
      <c r="G6" s="17" t="s">
        <v>26</v>
      </c>
    </row>
    <row r="7" spans="2:7" x14ac:dyDescent="0.35">
      <c r="B7" s="8" t="s">
        <v>24</v>
      </c>
      <c r="C7" s="8">
        <v>92.8</v>
      </c>
      <c r="E7" s="20" t="s">
        <v>18</v>
      </c>
      <c r="F7" s="75">
        <f>AVERAGEIFS(C6:C100,B6:B100,F6)</f>
        <v>81.327777777777783</v>
      </c>
      <c r="G7" s="71">
        <f>COUNTIFS($B$6:$B$100,G6)</f>
        <v>59</v>
      </c>
    </row>
    <row r="8" spans="2:7" x14ac:dyDescent="0.35">
      <c r="B8" s="8" t="s">
        <v>26</v>
      </c>
      <c r="C8" s="8">
        <v>68.7</v>
      </c>
      <c r="E8" s="20" t="s">
        <v>63</v>
      </c>
      <c r="F8" s="72" cm="1">
        <f t="array" ref="F8:G8">_xlfn.MAXIFS(C6:C100,B6:B100,F6:G6)</f>
        <v>96.1</v>
      </c>
      <c r="G8" s="72">
        <v>89.9</v>
      </c>
    </row>
    <row r="9" spans="2:7" x14ac:dyDescent="0.35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</row>
    <row r="10" spans="2:7" x14ac:dyDescent="0.35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 = F6,$C$6:$C$100))</f>
        <v>6.6434333254128743</v>
      </c>
      <c r="G10" s="72" cm="1">
        <f t="array" ref="G10">_xlfn.STDEV.S(IF($B$6:$B$100 = G6,$C$6:$C$100))</f>
        <v>5.8085519088336834</v>
      </c>
    </row>
    <row r="11" spans="2:7" x14ac:dyDescent="0.35">
      <c r="B11" s="8" t="s">
        <v>26</v>
      </c>
      <c r="C11" s="8">
        <v>80.7</v>
      </c>
    </row>
    <row r="12" spans="2:7" x14ac:dyDescent="0.35">
      <c r="B12" s="8" t="s">
        <v>26</v>
      </c>
      <c r="C12" s="8">
        <v>83.3</v>
      </c>
    </row>
    <row r="13" spans="2:7" x14ac:dyDescent="0.35">
      <c r="B13" s="8" t="s">
        <v>24</v>
      </c>
      <c r="C13" s="8">
        <v>88.7</v>
      </c>
    </row>
    <row r="14" spans="2:7" x14ac:dyDescent="0.35">
      <c r="B14" s="8" t="s">
        <v>26</v>
      </c>
      <c r="C14" s="8">
        <v>75.400000000000006</v>
      </c>
    </row>
    <row r="15" spans="2:7" x14ac:dyDescent="0.35">
      <c r="B15" s="8" t="s">
        <v>26</v>
      </c>
      <c r="C15" s="8">
        <v>82.1</v>
      </c>
    </row>
    <row r="16" spans="2:7" x14ac:dyDescent="0.35">
      <c r="B16" s="8" t="s">
        <v>24</v>
      </c>
      <c r="C16" s="8">
        <v>87.5</v>
      </c>
    </row>
    <row r="17" spans="2:3" x14ac:dyDescent="0.35">
      <c r="B17" s="8" t="s">
        <v>26</v>
      </c>
      <c r="C17" s="8">
        <v>66.900000000000006</v>
      </c>
    </row>
    <row r="18" spans="2:3" x14ac:dyDescent="0.35">
      <c r="B18" s="8" t="s">
        <v>24</v>
      </c>
      <c r="C18" s="8">
        <v>71.3</v>
      </c>
    </row>
    <row r="19" spans="2:3" x14ac:dyDescent="0.35">
      <c r="B19" s="8" t="s">
        <v>26</v>
      </c>
      <c r="C19" s="8">
        <v>76.8</v>
      </c>
    </row>
    <row r="20" spans="2:3" x14ac:dyDescent="0.35">
      <c r="B20" s="8" t="s">
        <v>24</v>
      </c>
      <c r="C20" s="8">
        <v>72.3</v>
      </c>
    </row>
    <row r="21" spans="2:3" x14ac:dyDescent="0.35">
      <c r="B21" s="8" t="s">
        <v>26</v>
      </c>
      <c r="C21" s="8">
        <v>72.400000000000006</v>
      </c>
    </row>
    <row r="22" spans="2:3" x14ac:dyDescent="0.35">
      <c r="B22" s="8" t="s">
        <v>26</v>
      </c>
      <c r="C22" s="8">
        <v>72</v>
      </c>
    </row>
    <row r="23" spans="2:3" x14ac:dyDescent="0.35">
      <c r="B23" s="8" t="s">
        <v>26</v>
      </c>
      <c r="C23" s="8">
        <v>81</v>
      </c>
    </row>
    <row r="24" spans="2:3" x14ac:dyDescent="0.35">
      <c r="B24" s="8" t="s">
        <v>24</v>
      </c>
      <c r="C24" s="8">
        <v>96.1</v>
      </c>
    </row>
    <row r="25" spans="2:3" x14ac:dyDescent="0.35">
      <c r="B25" s="8" t="s">
        <v>26</v>
      </c>
      <c r="C25" s="8">
        <v>76.7</v>
      </c>
    </row>
    <row r="26" spans="2:3" x14ac:dyDescent="0.35">
      <c r="B26" s="8" t="s">
        <v>24</v>
      </c>
      <c r="C26" s="8">
        <v>80.3</v>
      </c>
    </row>
    <row r="27" spans="2:3" x14ac:dyDescent="0.35">
      <c r="B27" s="8" t="s">
        <v>26</v>
      </c>
      <c r="C27" s="8">
        <v>77.8</v>
      </c>
    </row>
    <row r="28" spans="2:3" x14ac:dyDescent="0.35">
      <c r="B28" s="8" t="s">
        <v>26</v>
      </c>
      <c r="C28" s="8">
        <v>62.6</v>
      </c>
    </row>
    <row r="29" spans="2:3" x14ac:dyDescent="0.35">
      <c r="B29" s="8" t="s">
        <v>26</v>
      </c>
      <c r="C29" s="8">
        <v>80.2</v>
      </c>
    </row>
    <row r="30" spans="2:3" x14ac:dyDescent="0.35">
      <c r="B30" s="8" t="s">
        <v>24</v>
      </c>
      <c r="C30" s="8">
        <v>79.099999999999994</v>
      </c>
    </row>
    <row r="31" spans="2:3" x14ac:dyDescent="0.35">
      <c r="B31" s="8" t="s">
        <v>26</v>
      </c>
      <c r="C31" s="8">
        <v>77.8</v>
      </c>
    </row>
    <row r="32" spans="2:3" x14ac:dyDescent="0.35">
      <c r="B32" s="8" t="s">
        <v>26</v>
      </c>
      <c r="C32" s="8">
        <v>75.099999999999994</v>
      </c>
    </row>
    <row r="33" spans="2:3" x14ac:dyDescent="0.35">
      <c r="B33" s="8" t="s">
        <v>26</v>
      </c>
      <c r="C33" s="8">
        <v>82.2</v>
      </c>
    </row>
    <row r="34" spans="2:3" x14ac:dyDescent="0.35">
      <c r="B34" s="8" t="s">
        <v>26</v>
      </c>
      <c r="C34" s="8">
        <v>70.5</v>
      </c>
    </row>
    <row r="35" spans="2:3" x14ac:dyDescent="0.35">
      <c r="B35" s="8" t="s">
        <v>26</v>
      </c>
      <c r="C35" s="8">
        <v>70.8</v>
      </c>
    </row>
    <row r="36" spans="2:3" x14ac:dyDescent="0.35">
      <c r="B36" s="8" t="s">
        <v>24</v>
      </c>
      <c r="C36" s="8">
        <v>87.5</v>
      </c>
    </row>
    <row r="37" spans="2:3" x14ac:dyDescent="0.35">
      <c r="B37" s="8" t="s">
        <v>26</v>
      </c>
      <c r="C37" s="8">
        <v>79.5</v>
      </c>
    </row>
    <row r="38" spans="2:3" x14ac:dyDescent="0.35">
      <c r="B38" s="8" t="s">
        <v>24</v>
      </c>
      <c r="C38" s="8">
        <v>80.8</v>
      </c>
    </row>
    <row r="39" spans="2:3" x14ac:dyDescent="0.35">
      <c r="B39" s="8" t="s">
        <v>26</v>
      </c>
      <c r="C39" s="8">
        <v>79.599999999999994</v>
      </c>
    </row>
    <row r="40" spans="2:3" x14ac:dyDescent="0.35">
      <c r="B40" s="8" t="s">
        <v>24</v>
      </c>
      <c r="C40" s="8">
        <v>88.9</v>
      </c>
    </row>
    <row r="41" spans="2:3" x14ac:dyDescent="0.35">
      <c r="B41" s="8" t="s">
        <v>26</v>
      </c>
      <c r="C41" s="8">
        <v>85.9</v>
      </c>
    </row>
    <row r="42" spans="2:3" x14ac:dyDescent="0.35">
      <c r="B42" s="8" t="s">
        <v>24</v>
      </c>
      <c r="C42" s="8">
        <v>82.3</v>
      </c>
    </row>
    <row r="43" spans="2:3" x14ac:dyDescent="0.35">
      <c r="B43" s="8" t="s">
        <v>26</v>
      </c>
      <c r="C43" s="8">
        <v>76.7</v>
      </c>
    </row>
    <row r="44" spans="2:3" x14ac:dyDescent="0.35">
      <c r="B44" s="8" t="s">
        <v>26</v>
      </c>
      <c r="C44" s="8">
        <v>79.900000000000006</v>
      </c>
    </row>
    <row r="45" spans="2:3" x14ac:dyDescent="0.35">
      <c r="B45" s="8" t="s">
        <v>26</v>
      </c>
      <c r="C45" s="8">
        <v>86.2</v>
      </c>
    </row>
    <row r="46" spans="2:3" x14ac:dyDescent="0.35">
      <c r="B46" s="8" t="s">
        <v>26</v>
      </c>
      <c r="C46" s="8">
        <v>79.2</v>
      </c>
    </row>
    <row r="47" spans="2:3" x14ac:dyDescent="0.35">
      <c r="B47" s="8" t="s">
        <v>24</v>
      </c>
      <c r="C47" s="8">
        <v>83.4</v>
      </c>
    </row>
    <row r="48" spans="2:3" x14ac:dyDescent="0.35">
      <c r="B48" s="8" t="s">
        <v>26</v>
      </c>
      <c r="C48" s="8">
        <v>85.2</v>
      </c>
    </row>
    <row r="49" spans="2:3" x14ac:dyDescent="0.35">
      <c r="B49" s="8" t="s">
        <v>24</v>
      </c>
      <c r="C49" s="8">
        <v>77.8</v>
      </c>
    </row>
    <row r="50" spans="2:3" x14ac:dyDescent="0.35">
      <c r="B50" s="8" t="s">
        <v>26</v>
      </c>
      <c r="C50" s="8">
        <v>80.2</v>
      </c>
    </row>
    <row r="51" spans="2:3" x14ac:dyDescent="0.35">
      <c r="B51" s="8" t="s">
        <v>24</v>
      </c>
      <c r="C51" s="8">
        <v>71</v>
      </c>
    </row>
    <row r="52" spans="2:3" x14ac:dyDescent="0.35">
      <c r="B52" s="8" t="s">
        <v>24</v>
      </c>
      <c r="C52" s="8">
        <v>87.2</v>
      </c>
    </row>
    <row r="53" spans="2:3" x14ac:dyDescent="0.35">
      <c r="B53" s="8" t="s">
        <v>24</v>
      </c>
      <c r="C53" s="8">
        <v>82.9</v>
      </c>
    </row>
    <row r="54" spans="2:3" x14ac:dyDescent="0.35">
      <c r="B54" s="8" t="s">
        <v>26</v>
      </c>
      <c r="C54" s="8">
        <v>73.5</v>
      </c>
    </row>
    <row r="55" spans="2:3" x14ac:dyDescent="0.35">
      <c r="B55" s="8" t="s">
        <v>26</v>
      </c>
      <c r="C55" s="8">
        <v>74.599999999999994</v>
      </c>
    </row>
    <row r="56" spans="2:3" x14ac:dyDescent="0.35">
      <c r="B56" s="8" t="s">
        <v>24</v>
      </c>
      <c r="C56" s="8">
        <v>75.099999999999994</v>
      </c>
    </row>
    <row r="57" spans="2:3" x14ac:dyDescent="0.35">
      <c r="B57" s="8" t="s">
        <v>26</v>
      </c>
      <c r="C57" s="8">
        <v>85.1</v>
      </c>
    </row>
    <row r="58" spans="2:3" x14ac:dyDescent="0.35">
      <c r="B58" s="8" t="s">
        <v>24</v>
      </c>
      <c r="C58" s="8">
        <v>74.900000000000006</v>
      </c>
    </row>
    <row r="59" spans="2:3" x14ac:dyDescent="0.35">
      <c r="B59" s="8" t="s">
        <v>26</v>
      </c>
      <c r="C59" s="8">
        <v>84.6</v>
      </c>
    </row>
    <row r="60" spans="2:3" x14ac:dyDescent="0.35">
      <c r="B60" s="8" t="s">
        <v>24</v>
      </c>
      <c r="C60" s="8">
        <v>81.7</v>
      </c>
    </row>
    <row r="61" spans="2:3" x14ac:dyDescent="0.35">
      <c r="B61" s="8" t="s">
        <v>26</v>
      </c>
      <c r="C61" s="8">
        <v>81.400000000000006</v>
      </c>
    </row>
    <row r="62" spans="2:3" x14ac:dyDescent="0.35">
      <c r="B62" s="8" t="s">
        <v>24</v>
      </c>
      <c r="C62" s="8">
        <v>83.8</v>
      </c>
    </row>
    <row r="63" spans="2:3" x14ac:dyDescent="0.35">
      <c r="B63" s="8" t="s">
        <v>26</v>
      </c>
      <c r="C63" s="8">
        <v>88.5</v>
      </c>
    </row>
    <row r="64" spans="2:3" x14ac:dyDescent="0.35">
      <c r="B64" s="8" t="s">
        <v>26</v>
      </c>
      <c r="C64" s="8">
        <v>84.9</v>
      </c>
    </row>
    <row r="65" spans="2:3" x14ac:dyDescent="0.35">
      <c r="B65" s="8" t="s">
        <v>26</v>
      </c>
      <c r="C65" s="8">
        <v>84.3</v>
      </c>
    </row>
    <row r="66" spans="2:3" x14ac:dyDescent="0.35">
      <c r="B66" s="8" t="s">
        <v>26</v>
      </c>
      <c r="C66" s="8">
        <v>78.2</v>
      </c>
    </row>
    <row r="67" spans="2:3" x14ac:dyDescent="0.35">
      <c r="B67" s="8" t="s">
        <v>26</v>
      </c>
      <c r="C67" s="8">
        <v>80</v>
      </c>
    </row>
    <row r="68" spans="2:3" x14ac:dyDescent="0.35">
      <c r="B68" s="8" t="s">
        <v>24</v>
      </c>
      <c r="C68" s="8">
        <v>74.8</v>
      </c>
    </row>
    <row r="69" spans="2:3" x14ac:dyDescent="0.35">
      <c r="B69" s="8" t="s">
        <v>26</v>
      </c>
      <c r="C69" s="8">
        <v>78.5</v>
      </c>
    </row>
    <row r="70" spans="2:3" x14ac:dyDescent="0.35">
      <c r="B70" s="8" t="s">
        <v>26</v>
      </c>
      <c r="C70" s="8">
        <v>71.8</v>
      </c>
    </row>
    <row r="71" spans="2:3" x14ac:dyDescent="0.35">
      <c r="B71" s="8" t="s">
        <v>26</v>
      </c>
      <c r="C71" s="8">
        <v>69.900000000000006</v>
      </c>
    </row>
    <row r="72" spans="2:3" x14ac:dyDescent="0.35">
      <c r="B72" s="8" t="s">
        <v>24</v>
      </c>
      <c r="C72" s="8">
        <v>82.7</v>
      </c>
    </row>
    <row r="73" spans="2:3" x14ac:dyDescent="0.35">
      <c r="B73" s="8" t="s">
        <v>26</v>
      </c>
      <c r="C73" s="8">
        <v>74</v>
      </c>
    </row>
    <row r="74" spans="2:3" x14ac:dyDescent="0.35">
      <c r="B74" s="8" t="s">
        <v>24</v>
      </c>
      <c r="C74" s="8">
        <v>84</v>
      </c>
    </row>
    <row r="75" spans="2:3" x14ac:dyDescent="0.35">
      <c r="B75" s="8" t="s">
        <v>26</v>
      </c>
      <c r="C75" s="8">
        <v>84.7</v>
      </c>
    </row>
    <row r="76" spans="2:3" x14ac:dyDescent="0.35">
      <c r="B76" s="8" t="s">
        <v>26</v>
      </c>
      <c r="C76" s="8">
        <v>78.2</v>
      </c>
    </row>
    <row r="77" spans="2:3" x14ac:dyDescent="0.35">
      <c r="B77" s="8" t="s">
        <v>26</v>
      </c>
      <c r="C77" s="8">
        <v>85</v>
      </c>
    </row>
    <row r="78" spans="2:3" x14ac:dyDescent="0.35">
      <c r="B78" s="8" t="s">
        <v>24</v>
      </c>
      <c r="C78" s="8">
        <v>80.099999999999994</v>
      </c>
    </row>
    <row r="79" spans="2:3" x14ac:dyDescent="0.35">
      <c r="B79" s="8" t="s">
        <v>26</v>
      </c>
      <c r="C79" s="8">
        <v>85.3</v>
      </c>
    </row>
    <row r="80" spans="2:3" x14ac:dyDescent="0.35">
      <c r="B80" s="8" t="s">
        <v>26</v>
      </c>
      <c r="C80" s="8">
        <v>79.7</v>
      </c>
    </row>
    <row r="81" spans="2:3" x14ac:dyDescent="0.35">
      <c r="B81" s="8" t="s">
        <v>24</v>
      </c>
      <c r="C81" s="8">
        <v>79.599999999999994</v>
      </c>
    </row>
    <row r="82" spans="2:3" x14ac:dyDescent="0.35">
      <c r="B82" s="8" t="s">
        <v>24</v>
      </c>
      <c r="C82" s="8">
        <v>78.900000000000006</v>
      </c>
    </row>
    <row r="83" spans="2:3" x14ac:dyDescent="0.35">
      <c r="B83" s="8" t="s">
        <v>26</v>
      </c>
      <c r="C83" s="8">
        <v>78.5</v>
      </c>
    </row>
    <row r="84" spans="2:3" x14ac:dyDescent="0.35">
      <c r="B84" s="8" t="s">
        <v>24</v>
      </c>
      <c r="C84" s="8">
        <v>72</v>
      </c>
    </row>
    <row r="85" spans="2:3" x14ac:dyDescent="0.35">
      <c r="B85" s="8" t="s">
        <v>24</v>
      </c>
      <c r="C85" s="8">
        <v>74.2</v>
      </c>
    </row>
    <row r="86" spans="2:3" x14ac:dyDescent="0.35">
      <c r="B86" s="8" t="s">
        <v>24</v>
      </c>
      <c r="C86" s="8">
        <v>71.7</v>
      </c>
    </row>
    <row r="87" spans="2:3" x14ac:dyDescent="0.35">
      <c r="B87" s="8" t="s">
        <v>26</v>
      </c>
      <c r="C87" s="8">
        <v>80.7</v>
      </c>
    </row>
    <row r="88" spans="2:3" x14ac:dyDescent="0.35">
      <c r="B88" s="8" t="s">
        <v>26</v>
      </c>
      <c r="C88" s="8">
        <v>84.1</v>
      </c>
    </row>
    <row r="89" spans="2:3" x14ac:dyDescent="0.35">
      <c r="B89" s="8" t="s">
        <v>24</v>
      </c>
      <c r="C89" s="8">
        <v>87.4</v>
      </c>
    </row>
    <row r="90" spans="2:3" x14ac:dyDescent="0.35">
      <c r="B90" s="8" t="s">
        <v>24</v>
      </c>
      <c r="C90" s="8">
        <v>77.400000000000006</v>
      </c>
    </row>
    <row r="91" spans="2:3" x14ac:dyDescent="0.35">
      <c r="B91" s="8" t="s">
        <v>26</v>
      </c>
      <c r="C91" s="8">
        <v>84.7</v>
      </c>
    </row>
    <row r="92" spans="2:3" x14ac:dyDescent="0.35">
      <c r="B92" s="8" t="s">
        <v>24</v>
      </c>
      <c r="C92" s="8">
        <v>78.8</v>
      </c>
    </row>
    <row r="93" spans="2:3" x14ac:dyDescent="0.35">
      <c r="B93" s="8" t="s">
        <v>24</v>
      </c>
      <c r="C93" s="8">
        <v>92.7</v>
      </c>
    </row>
    <row r="94" spans="2:3" x14ac:dyDescent="0.35">
      <c r="B94" s="8" t="s">
        <v>26</v>
      </c>
      <c r="C94" s="8">
        <v>88.8</v>
      </c>
    </row>
    <row r="95" spans="2:3" x14ac:dyDescent="0.35">
      <c r="B95" s="8" t="s">
        <v>26</v>
      </c>
      <c r="C95" s="8">
        <v>86.6</v>
      </c>
    </row>
    <row r="96" spans="2:3" x14ac:dyDescent="0.35">
      <c r="B96" s="8" t="s">
        <v>24</v>
      </c>
      <c r="C96" s="8">
        <v>77.900000000000006</v>
      </c>
    </row>
    <row r="97" spans="2:3" x14ac:dyDescent="0.35">
      <c r="B97" s="8" t="s">
        <v>26</v>
      </c>
      <c r="C97" s="8">
        <v>86.1</v>
      </c>
    </row>
    <row r="98" spans="2:3" x14ac:dyDescent="0.35">
      <c r="B98" s="8" t="s">
        <v>26</v>
      </c>
      <c r="C98" s="8">
        <v>89.9</v>
      </c>
    </row>
    <row r="99" spans="2:3" x14ac:dyDescent="0.35">
      <c r="B99" s="8" t="s">
        <v>26</v>
      </c>
      <c r="C99" s="8">
        <v>83.1</v>
      </c>
    </row>
    <row r="100" spans="2:3" x14ac:dyDescent="0.35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pageSetup orientation="portrait" r:id="rId1"/>
  <headerFooter>
    <oddFooter>&amp;L3/20/2023&amp;CAXP Internal&amp;R15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G11" sqref="G11"/>
    </sheetView>
  </sheetViews>
  <sheetFormatPr defaultRowHeight="14.5" x14ac:dyDescent="0.35"/>
  <cols>
    <col min="1" max="1" width="2.81640625" customWidth="1"/>
    <col min="2" max="2" width="10.7265625" bestFit="1" customWidth="1"/>
    <col min="4" max="4" width="13.453125" bestFit="1" customWidth="1"/>
    <col min="5" max="5" width="10.26953125" bestFit="1" customWidth="1"/>
    <col min="7" max="8" width="11.453125" customWidth="1"/>
    <col min="10" max="11" width="11.453125" customWidth="1"/>
  </cols>
  <sheetData>
    <row r="1" spans="2:11" ht="25.5" customHeight="1" x14ac:dyDescent="0.45">
      <c r="B1" s="18" t="s">
        <v>127</v>
      </c>
    </row>
    <row r="2" spans="2:11" ht="15" customHeight="1" x14ac:dyDescent="0.35">
      <c r="B2" s="30" t="s">
        <v>84</v>
      </c>
    </row>
    <row r="3" spans="2:11" ht="18" customHeight="1" x14ac:dyDescent="0.35"/>
    <row r="4" spans="2:11" x14ac:dyDescent="0.35">
      <c r="D4" s="3" t="s">
        <v>52</v>
      </c>
      <c r="G4" s="3" t="s">
        <v>54</v>
      </c>
      <c r="J4" s="3" t="s">
        <v>54</v>
      </c>
    </row>
    <row r="5" spans="2:11" x14ac:dyDescent="0.35">
      <c r="B5" s="7" t="s">
        <v>77</v>
      </c>
      <c r="D5" s="9" t="s">
        <v>77</v>
      </c>
      <c r="E5" t="s">
        <v>15</v>
      </c>
      <c r="G5" s="121" t="s">
        <v>85</v>
      </c>
      <c r="H5" s="121"/>
      <c r="J5" s="121" t="s">
        <v>86</v>
      </c>
      <c r="K5" s="121"/>
    </row>
    <row r="6" spans="2:11" x14ac:dyDescent="0.35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AVERAGE(B6:B100)</f>
        <v>80.169473684210516</v>
      </c>
    </row>
    <row r="7" spans="2:11" x14ac:dyDescent="0.35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35">
      <c r="B8" s="8">
        <v>68.7</v>
      </c>
      <c r="D8" t="s">
        <v>40</v>
      </c>
      <c r="E8">
        <v>17</v>
      </c>
    </row>
    <row r="9" spans="2:11" x14ac:dyDescent="0.35">
      <c r="B9" s="8">
        <v>80.7</v>
      </c>
      <c r="D9" t="s">
        <v>41</v>
      </c>
      <c r="E9">
        <v>24</v>
      </c>
    </row>
    <row r="10" spans="2:11" x14ac:dyDescent="0.35">
      <c r="B10" s="8">
        <v>74.900000000000006</v>
      </c>
      <c r="D10" t="s">
        <v>42</v>
      </c>
      <c r="E10">
        <v>29</v>
      </c>
      <c r="G10" t="s">
        <v>345</v>
      </c>
    </row>
    <row r="11" spans="2:11" x14ac:dyDescent="0.35">
      <c r="B11" s="8">
        <v>80.7</v>
      </c>
      <c r="D11" t="s">
        <v>43</v>
      </c>
      <c r="E11">
        <v>17</v>
      </c>
    </row>
    <row r="12" spans="2:11" x14ac:dyDescent="0.35">
      <c r="B12" s="8">
        <v>83.3</v>
      </c>
      <c r="D12" t="s">
        <v>44</v>
      </c>
      <c r="E12">
        <v>3</v>
      </c>
    </row>
    <row r="13" spans="2:11" x14ac:dyDescent="0.35">
      <c r="B13" s="8">
        <v>88.7</v>
      </c>
      <c r="D13" t="s">
        <v>45</v>
      </c>
      <c r="E13">
        <v>1</v>
      </c>
    </row>
    <row r="14" spans="2:11" x14ac:dyDescent="0.35">
      <c r="B14" s="8">
        <v>75.400000000000006</v>
      </c>
      <c r="D14" t="s">
        <v>17</v>
      </c>
      <c r="E14">
        <v>95</v>
      </c>
    </row>
    <row r="15" spans="2:11" x14ac:dyDescent="0.35">
      <c r="B15" s="8">
        <v>82.1</v>
      </c>
    </row>
    <row r="16" spans="2:11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G5:H5"/>
    <mergeCell ref="J5:K5"/>
  </mergeCells>
  <pageMargins left="0.7" right="0.7" top="0.75" bottom="0.75" header="0.3" footer="0.3"/>
  <pageSetup orientation="portrait" r:id="rId2"/>
  <headerFooter>
    <oddFooter>&amp;L3/20/2023&amp;CAXP Internal&amp;R16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J100"/>
  <sheetViews>
    <sheetView showGridLines="0" workbookViewId="0">
      <selection activeCell="I12" sqref="I12"/>
    </sheetView>
  </sheetViews>
  <sheetFormatPr defaultRowHeight="14.5" x14ac:dyDescent="0.35"/>
  <cols>
    <col min="1" max="1" width="2.81640625" customWidth="1"/>
    <col min="2" max="2" width="10" bestFit="1" customWidth="1"/>
    <col min="3" max="3" width="10.7265625" bestFit="1" customWidth="1"/>
    <col min="5" max="5" width="13.453125" bestFit="1" customWidth="1"/>
    <col min="6" max="6" width="10.26953125" bestFit="1" customWidth="1"/>
    <col min="8" max="9" width="11.453125" customWidth="1"/>
  </cols>
  <sheetData>
    <row r="1" spans="2:10" ht="25.5" customHeight="1" x14ac:dyDescent="0.45">
      <c r="B1" s="18" t="s">
        <v>291</v>
      </c>
    </row>
    <row r="2" spans="2:10" ht="15" customHeight="1" x14ac:dyDescent="0.35">
      <c r="B2" s="30" t="s">
        <v>82</v>
      </c>
    </row>
    <row r="3" spans="2:10" ht="18" customHeight="1" x14ac:dyDescent="0.35"/>
    <row r="4" spans="2:10" x14ac:dyDescent="0.35">
      <c r="E4" s="3" t="s">
        <v>54</v>
      </c>
      <c r="H4" s="3" t="s">
        <v>54</v>
      </c>
    </row>
    <row r="5" spans="2:10" x14ac:dyDescent="0.35">
      <c r="B5" s="7" t="s">
        <v>20</v>
      </c>
      <c r="C5" s="7" t="s">
        <v>77</v>
      </c>
      <c r="E5" s="121" t="s">
        <v>86</v>
      </c>
      <c r="F5" s="121"/>
      <c r="H5" s="121" t="s">
        <v>87</v>
      </c>
      <c r="I5" s="121"/>
    </row>
    <row r="6" spans="2:10" x14ac:dyDescent="0.35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19</v>
      </c>
    </row>
    <row r="7" spans="2:10" x14ac:dyDescent="0.35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VLOOKUP(I6,B6:C100,2,0)</f>
        <v>96.1</v>
      </c>
    </row>
    <row r="8" spans="2:10" x14ac:dyDescent="0.35">
      <c r="B8" s="8">
        <v>3</v>
      </c>
      <c r="C8" s="8">
        <v>68.7</v>
      </c>
      <c r="H8" s="20" t="s">
        <v>90</v>
      </c>
      <c r="I8" s="75">
        <f>(I7-F6)/F7</f>
        <v>2.581606573180991</v>
      </c>
      <c r="J8">
        <f>STANDARDIZE(I7,F6,F7)</f>
        <v>2.581606573180991</v>
      </c>
    </row>
    <row r="9" spans="2:10" x14ac:dyDescent="0.35">
      <c r="B9" s="8">
        <v>4</v>
      </c>
      <c r="C9" s="8">
        <v>80.7</v>
      </c>
    </row>
    <row r="10" spans="2:10" x14ac:dyDescent="0.35">
      <c r="B10" s="8">
        <v>5</v>
      </c>
      <c r="C10" s="8">
        <v>74.900000000000006</v>
      </c>
    </row>
    <row r="11" spans="2:10" x14ac:dyDescent="0.35">
      <c r="B11" s="8">
        <v>6</v>
      </c>
      <c r="C11" s="8">
        <v>80.7</v>
      </c>
    </row>
    <row r="12" spans="2:10" x14ac:dyDescent="0.35">
      <c r="B12" s="8">
        <v>7</v>
      </c>
      <c r="C12" s="8">
        <v>83.3</v>
      </c>
    </row>
    <row r="13" spans="2:10" x14ac:dyDescent="0.35">
      <c r="B13" s="8">
        <v>8</v>
      </c>
      <c r="C13" s="8">
        <v>88.7</v>
      </c>
    </row>
    <row r="14" spans="2:10" x14ac:dyDescent="0.35">
      <c r="B14" s="8">
        <v>9</v>
      </c>
      <c r="C14" s="8">
        <v>75.400000000000006</v>
      </c>
    </row>
    <row r="15" spans="2:10" x14ac:dyDescent="0.35">
      <c r="B15" s="8">
        <v>10</v>
      </c>
      <c r="C15" s="8">
        <v>82.1</v>
      </c>
    </row>
    <row r="16" spans="2:10" x14ac:dyDescent="0.35">
      <c r="B16" s="8">
        <v>11</v>
      </c>
      <c r="C16" s="8">
        <v>87.5</v>
      </c>
    </row>
    <row r="17" spans="2:3" x14ac:dyDescent="0.35">
      <c r="B17" s="8">
        <v>12</v>
      </c>
      <c r="C17" s="8">
        <v>66.900000000000006</v>
      </c>
    </row>
    <row r="18" spans="2:3" x14ac:dyDescent="0.35">
      <c r="B18" s="8">
        <v>13</v>
      </c>
      <c r="C18" s="8">
        <v>71.3</v>
      </c>
    </row>
    <row r="19" spans="2:3" x14ac:dyDescent="0.35">
      <c r="B19" s="8">
        <v>14</v>
      </c>
      <c r="C19" s="8">
        <v>76.8</v>
      </c>
    </row>
    <row r="20" spans="2:3" x14ac:dyDescent="0.35">
      <c r="B20" s="8">
        <v>15</v>
      </c>
      <c r="C20" s="8">
        <v>72.3</v>
      </c>
    </row>
    <row r="21" spans="2:3" x14ac:dyDescent="0.35">
      <c r="B21" s="8">
        <v>16</v>
      </c>
      <c r="C21" s="8">
        <v>72.400000000000006</v>
      </c>
    </row>
    <row r="22" spans="2:3" x14ac:dyDescent="0.35">
      <c r="B22" s="8">
        <v>17</v>
      </c>
      <c r="C22" s="8">
        <v>72</v>
      </c>
    </row>
    <row r="23" spans="2:3" x14ac:dyDescent="0.35">
      <c r="B23" s="8">
        <v>18</v>
      </c>
      <c r="C23" s="8">
        <v>81</v>
      </c>
    </row>
    <row r="24" spans="2:3" x14ac:dyDescent="0.35">
      <c r="B24" s="8">
        <v>19</v>
      </c>
      <c r="C24" s="8">
        <v>96.1</v>
      </c>
    </row>
    <row r="25" spans="2:3" x14ac:dyDescent="0.35">
      <c r="B25" s="8">
        <v>20</v>
      </c>
      <c r="C25" s="8">
        <v>76.7</v>
      </c>
    </row>
    <row r="26" spans="2:3" x14ac:dyDescent="0.35">
      <c r="B26" s="8">
        <v>21</v>
      </c>
      <c r="C26" s="8">
        <v>80.3</v>
      </c>
    </row>
    <row r="27" spans="2:3" x14ac:dyDescent="0.35">
      <c r="B27" s="8">
        <v>22</v>
      </c>
      <c r="C27" s="8">
        <v>77.8</v>
      </c>
    </row>
    <row r="28" spans="2:3" x14ac:dyDescent="0.35">
      <c r="B28" s="8">
        <v>23</v>
      </c>
      <c r="C28" s="8">
        <v>62.6</v>
      </c>
    </row>
    <row r="29" spans="2:3" x14ac:dyDescent="0.35">
      <c r="B29" s="8">
        <v>24</v>
      </c>
      <c r="C29" s="8">
        <v>80.2</v>
      </c>
    </row>
    <row r="30" spans="2:3" x14ac:dyDescent="0.35">
      <c r="B30" s="8">
        <v>25</v>
      </c>
      <c r="C30" s="8">
        <v>79.099999999999994</v>
      </c>
    </row>
    <row r="31" spans="2:3" x14ac:dyDescent="0.35">
      <c r="B31" s="8">
        <v>26</v>
      </c>
      <c r="C31" s="8">
        <v>77.8</v>
      </c>
    </row>
    <row r="32" spans="2:3" x14ac:dyDescent="0.35">
      <c r="B32" s="8">
        <v>27</v>
      </c>
      <c r="C32" s="8">
        <v>75.099999999999994</v>
      </c>
    </row>
    <row r="33" spans="2:3" x14ac:dyDescent="0.35">
      <c r="B33" s="8">
        <v>28</v>
      </c>
      <c r="C33" s="8">
        <v>82.2</v>
      </c>
    </row>
    <row r="34" spans="2:3" x14ac:dyDescent="0.35">
      <c r="B34" s="8">
        <v>29</v>
      </c>
      <c r="C34" s="8">
        <v>70.5</v>
      </c>
    </row>
    <row r="35" spans="2:3" x14ac:dyDescent="0.35">
      <c r="B35" s="8">
        <v>30</v>
      </c>
      <c r="C35" s="8">
        <v>70.8</v>
      </c>
    </row>
    <row r="36" spans="2:3" x14ac:dyDescent="0.35">
      <c r="B36" s="8">
        <v>31</v>
      </c>
      <c r="C36" s="8">
        <v>87.5</v>
      </c>
    </row>
    <row r="37" spans="2:3" x14ac:dyDescent="0.35">
      <c r="B37" s="8">
        <v>32</v>
      </c>
      <c r="C37" s="8">
        <v>79.5</v>
      </c>
    </row>
    <row r="38" spans="2:3" x14ac:dyDescent="0.35">
      <c r="B38" s="8">
        <v>33</v>
      </c>
      <c r="C38" s="8">
        <v>80.8</v>
      </c>
    </row>
    <row r="39" spans="2:3" x14ac:dyDescent="0.35">
      <c r="B39" s="8">
        <v>34</v>
      </c>
      <c r="C39" s="8">
        <v>79.599999999999994</v>
      </c>
    </row>
    <row r="40" spans="2:3" x14ac:dyDescent="0.35">
      <c r="B40" s="8">
        <v>35</v>
      </c>
      <c r="C40" s="8">
        <v>88.9</v>
      </c>
    </row>
    <row r="41" spans="2:3" x14ac:dyDescent="0.35">
      <c r="B41" s="8">
        <v>36</v>
      </c>
      <c r="C41" s="8">
        <v>85.9</v>
      </c>
    </row>
    <row r="42" spans="2:3" x14ac:dyDescent="0.35">
      <c r="B42" s="8">
        <v>37</v>
      </c>
      <c r="C42" s="8">
        <v>82.3</v>
      </c>
    </row>
    <row r="43" spans="2:3" x14ac:dyDescent="0.35">
      <c r="B43" s="8">
        <v>38</v>
      </c>
      <c r="C43" s="8">
        <v>76.7</v>
      </c>
    </row>
    <row r="44" spans="2:3" x14ac:dyDescent="0.35">
      <c r="B44" s="8">
        <v>39</v>
      </c>
      <c r="C44" s="8">
        <v>79.900000000000006</v>
      </c>
    </row>
    <row r="45" spans="2:3" x14ac:dyDescent="0.35">
      <c r="B45" s="8">
        <v>40</v>
      </c>
      <c r="C45" s="8">
        <v>86.2</v>
      </c>
    </row>
    <row r="46" spans="2:3" x14ac:dyDescent="0.35">
      <c r="B46" s="8">
        <v>41</v>
      </c>
      <c r="C46" s="8">
        <v>79.2</v>
      </c>
    </row>
    <row r="47" spans="2:3" x14ac:dyDescent="0.35">
      <c r="B47" s="8">
        <v>42</v>
      </c>
      <c r="C47" s="8">
        <v>83.4</v>
      </c>
    </row>
    <row r="48" spans="2:3" x14ac:dyDescent="0.35">
      <c r="B48" s="8">
        <v>43</v>
      </c>
      <c r="C48" s="8">
        <v>85.2</v>
      </c>
    </row>
    <row r="49" spans="2:3" x14ac:dyDescent="0.35">
      <c r="B49" s="8">
        <v>44</v>
      </c>
      <c r="C49" s="8">
        <v>77.8</v>
      </c>
    </row>
    <row r="50" spans="2:3" x14ac:dyDescent="0.35">
      <c r="B50" s="8">
        <v>45</v>
      </c>
      <c r="C50" s="8">
        <v>80.2</v>
      </c>
    </row>
    <row r="51" spans="2:3" x14ac:dyDescent="0.35">
      <c r="B51" s="8">
        <v>46</v>
      </c>
      <c r="C51" s="8">
        <v>71</v>
      </c>
    </row>
    <row r="52" spans="2:3" x14ac:dyDescent="0.35">
      <c r="B52" s="8">
        <v>47</v>
      </c>
      <c r="C52" s="8">
        <v>87.2</v>
      </c>
    </row>
    <row r="53" spans="2:3" x14ac:dyDescent="0.35">
      <c r="B53" s="8">
        <v>48</v>
      </c>
      <c r="C53" s="8">
        <v>82.9</v>
      </c>
    </row>
    <row r="54" spans="2:3" x14ac:dyDescent="0.35">
      <c r="B54" s="8">
        <v>49</v>
      </c>
      <c r="C54" s="8">
        <v>73.5</v>
      </c>
    </row>
    <row r="55" spans="2:3" x14ac:dyDescent="0.35">
      <c r="B55" s="8">
        <v>50</v>
      </c>
      <c r="C55" s="8">
        <v>74.599999999999994</v>
      </c>
    </row>
    <row r="56" spans="2:3" x14ac:dyDescent="0.35">
      <c r="B56" s="8">
        <v>51</v>
      </c>
      <c r="C56" s="8">
        <v>75.099999999999994</v>
      </c>
    </row>
    <row r="57" spans="2:3" x14ac:dyDescent="0.35">
      <c r="B57" s="8">
        <v>52</v>
      </c>
      <c r="C57" s="8">
        <v>85.1</v>
      </c>
    </row>
    <row r="58" spans="2:3" x14ac:dyDescent="0.35">
      <c r="B58" s="8">
        <v>53</v>
      </c>
      <c r="C58" s="8">
        <v>74.900000000000006</v>
      </c>
    </row>
    <row r="59" spans="2:3" x14ac:dyDescent="0.35">
      <c r="B59" s="8">
        <v>54</v>
      </c>
      <c r="C59" s="8">
        <v>84.6</v>
      </c>
    </row>
    <row r="60" spans="2:3" x14ac:dyDescent="0.35">
      <c r="B60" s="8">
        <v>55</v>
      </c>
      <c r="C60" s="8">
        <v>81.7</v>
      </c>
    </row>
    <row r="61" spans="2:3" x14ac:dyDescent="0.35">
      <c r="B61" s="8">
        <v>56</v>
      </c>
      <c r="C61" s="8">
        <v>81.400000000000006</v>
      </c>
    </row>
    <row r="62" spans="2:3" x14ac:dyDescent="0.35">
      <c r="B62" s="8">
        <v>57</v>
      </c>
      <c r="C62" s="8">
        <v>83.8</v>
      </c>
    </row>
    <row r="63" spans="2:3" x14ac:dyDescent="0.35">
      <c r="B63" s="8">
        <v>58</v>
      </c>
      <c r="C63" s="8">
        <v>88.5</v>
      </c>
    </row>
    <row r="64" spans="2:3" x14ac:dyDescent="0.35">
      <c r="B64" s="8">
        <v>59</v>
      </c>
      <c r="C64" s="8">
        <v>84.9</v>
      </c>
    </row>
    <row r="65" spans="2:3" x14ac:dyDescent="0.35">
      <c r="B65" s="8">
        <v>60</v>
      </c>
      <c r="C65" s="8">
        <v>84.3</v>
      </c>
    </row>
    <row r="66" spans="2:3" x14ac:dyDescent="0.35">
      <c r="B66" s="8">
        <v>61</v>
      </c>
      <c r="C66" s="8">
        <v>78.2</v>
      </c>
    </row>
    <row r="67" spans="2:3" x14ac:dyDescent="0.35">
      <c r="B67" s="8">
        <v>62</v>
      </c>
      <c r="C67" s="8">
        <v>80</v>
      </c>
    </row>
    <row r="68" spans="2:3" x14ac:dyDescent="0.35">
      <c r="B68" s="8">
        <v>63</v>
      </c>
      <c r="C68" s="8">
        <v>74.8</v>
      </c>
    </row>
    <row r="69" spans="2:3" x14ac:dyDescent="0.35">
      <c r="B69" s="8">
        <v>64</v>
      </c>
      <c r="C69" s="8">
        <v>78.5</v>
      </c>
    </row>
    <row r="70" spans="2:3" x14ac:dyDescent="0.35">
      <c r="B70" s="8">
        <v>65</v>
      </c>
      <c r="C70" s="8">
        <v>71.8</v>
      </c>
    </row>
    <row r="71" spans="2:3" x14ac:dyDescent="0.35">
      <c r="B71" s="8">
        <v>66</v>
      </c>
      <c r="C71" s="8">
        <v>69.900000000000006</v>
      </c>
    </row>
    <row r="72" spans="2:3" x14ac:dyDescent="0.35">
      <c r="B72" s="8">
        <v>67</v>
      </c>
      <c r="C72" s="8">
        <v>82.7</v>
      </c>
    </row>
    <row r="73" spans="2:3" x14ac:dyDescent="0.35">
      <c r="B73" s="8">
        <v>68</v>
      </c>
      <c r="C73" s="8">
        <v>74</v>
      </c>
    </row>
    <row r="74" spans="2:3" x14ac:dyDescent="0.35">
      <c r="B74" s="8">
        <v>69</v>
      </c>
      <c r="C74" s="8">
        <v>84</v>
      </c>
    </row>
    <row r="75" spans="2:3" x14ac:dyDescent="0.35">
      <c r="B75" s="8">
        <v>70</v>
      </c>
      <c r="C75" s="8">
        <v>84.7</v>
      </c>
    </row>
    <row r="76" spans="2:3" x14ac:dyDescent="0.35">
      <c r="B76" s="8">
        <v>71</v>
      </c>
      <c r="C76" s="8">
        <v>78.2</v>
      </c>
    </row>
    <row r="77" spans="2:3" x14ac:dyDescent="0.35">
      <c r="B77" s="8">
        <v>72</v>
      </c>
      <c r="C77" s="8">
        <v>85</v>
      </c>
    </row>
    <row r="78" spans="2:3" x14ac:dyDescent="0.35">
      <c r="B78" s="8">
        <v>73</v>
      </c>
      <c r="C78" s="8">
        <v>80.099999999999994</v>
      </c>
    </row>
    <row r="79" spans="2:3" x14ac:dyDescent="0.35">
      <c r="B79" s="8">
        <v>74</v>
      </c>
      <c r="C79" s="8">
        <v>85.3</v>
      </c>
    </row>
    <row r="80" spans="2:3" x14ac:dyDescent="0.35">
      <c r="B80" s="8">
        <v>75</v>
      </c>
      <c r="C80" s="8">
        <v>79.7</v>
      </c>
    </row>
    <row r="81" spans="2:3" x14ac:dyDescent="0.35">
      <c r="B81" s="8">
        <v>76</v>
      </c>
      <c r="C81" s="8">
        <v>79.599999999999994</v>
      </c>
    </row>
    <row r="82" spans="2:3" x14ac:dyDescent="0.35">
      <c r="B82" s="8">
        <v>77</v>
      </c>
      <c r="C82" s="8">
        <v>78.900000000000006</v>
      </c>
    </row>
    <row r="83" spans="2:3" x14ac:dyDescent="0.35">
      <c r="B83" s="8">
        <v>78</v>
      </c>
      <c r="C83" s="8">
        <v>78.5</v>
      </c>
    </row>
    <row r="84" spans="2:3" x14ac:dyDescent="0.35">
      <c r="B84" s="8">
        <v>79</v>
      </c>
      <c r="C84" s="8">
        <v>72</v>
      </c>
    </row>
    <row r="85" spans="2:3" x14ac:dyDescent="0.35">
      <c r="B85" s="8">
        <v>80</v>
      </c>
      <c r="C85" s="8">
        <v>74.2</v>
      </c>
    </row>
    <row r="86" spans="2:3" x14ac:dyDescent="0.35">
      <c r="B86" s="8">
        <v>81</v>
      </c>
      <c r="C86" s="8">
        <v>71.7</v>
      </c>
    </row>
    <row r="87" spans="2:3" x14ac:dyDescent="0.35">
      <c r="B87" s="8">
        <v>82</v>
      </c>
      <c r="C87" s="8">
        <v>80.7</v>
      </c>
    </row>
    <row r="88" spans="2:3" x14ac:dyDescent="0.35">
      <c r="B88" s="8">
        <v>83</v>
      </c>
      <c r="C88" s="8">
        <v>84.1</v>
      </c>
    </row>
    <row r="89" spans="2:3" x14ac:dyDescent="0.35">
      <c r="B89" s="8">
        <v>84</v>
      </c>
      <c r="C89" s="8">
        <v>87.4</v>
      </c>
    </row>
    <row r="90" spans="2:3" x14ac:dyDescent="0.35">
      <c r="B90" s="8">
        <v>85</v>
      </c>
      <c r="C90" s="8">
        <v>77.400000000000006</v>
      </c>
    </row>
    <row r="91" spans="2:3" x14ac:dyDescent="0.35">
      <c r="B91" s="8">
        <v>86</v>
      </c>
      <c r="C91" s="8">
        <v>84.7</v>
      </c>
    </row>
    <row r="92" spans="2:3" x14ac:dyDescent="0.35">
      <c r="B92" s="8">
        <v>87</v>
      </c>
      <c r="C92" s="8">
        <v>78.8</v>
      </c>
    </row>
    <row r="93" spans="2:3" x14ac:dyDescent="0.35">
      <c r="B93" s="8">
        <v>88</v>
      </c>
      <c r="C93" s="8">
        <v>92.7</v>
      </c>
    </row>
    <row r="94" spans="2:3" x14ac:dyDescent="0.35">
      <c r="B94" s="8">
        <v>89</v>
      </c>
      <c r="C94" s="8">
        <v>88.8</v>
      </c>
    </row>
    <row r="95" spans="2:3" x14ac:dyDescent="0.35">
      <c r="B95" s="8">
        <v>90</v>
      </c>
      <c r="C95" s="8">
        <v>86.6</v>
      </c>
    </row>
    <row r="96" spans="2:3" x14ac:dyDescent="0.35">
      <c r="B96" s="8">
        <v>91</v>
      </c>
      <c r="C96" s="8">
        <v>77.900000000000006</v>
      </c>
    </row>
    <row r="97" spans="2:3" x14ac:dyDescent="0.35">
      <c r="B97" s="8">
        <v>92</v>
      </c>
      <c r="C97" s="8">
        <v>86.1</v>
      </c>
    </row>
    <row r="98" spans="2:3" x14ac:dyDescent="0.35">
      <c r="B98" s="8">
        <v>93</v>
      </c>
      <c r="C98" s="8">
        <v>89.9</v>
      </c>
    </row>
    <row r="99" spans="2:3" x14ac:dyDescent="0.35">
      <c r="B99" s="8">
        <v>94</v>
      </c>
      <c r="C99" s="8">
        <v>83.1</v>
      </c>
    </row>
    <row r="100" spans="2:3" x14ac:dyDescent="0.35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headerFooter>
    <oddFooter>&amp;L3/20/2023&amp;CAXP Internal&amp;R17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0" sqref="H10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1.7265625" customWidth="1"/>
    <col min="8" max="8" width="9.1796875" customWidth="1"/>
  </cols>
  <sheetData>
    <row r="1" spans="2:10" ht="25.5" customHeight="1" x14ac:dyDescent="0.45">
      <c r="B1" s="18" t="s">
        <v>128</v>
      </c>
    </row>
    <row r="2" spans="2:10" ht="15" customHeight="1" x14ac:dyDescent="0.35">
      <c r="B2" s="30" t="s">
        <v>83</v>
      </c>
    </row>
    <row r="3" spans="2:10" ht="18" customHeight="1" x14ac:dyDescent="0.35"/>
    <row r="4" spans="2:10" x14ac:dyDescent="0.35">
      <c r="D4" s="3" t="s">
        <v>54</v>
      </c>
      <c r="G4" s="3" t="s">
        <v>54</v>
      </c>
    </row>
    <row r="5" spans="2:10" x14ac:dyDescent="0.35">
      <c r="B5" s="7" t="s">
        <v>77</v>
      </c>
      <c r="D5" s="121" t="s">
        <v>86</v>
      </c>
      <c r="E5" s="121"/>
      <c r="G5" s="121" t="s">
        <v>96</v>
      </c>
      <c r="H5" s="121"/>
      <c r="I5" s="121"/>
      <c r="J5" s="121"/>
    </row>
    <row r="6" spans="2:10" ht="15" customHeight="1" x14ac:dyDescent="0.35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x14ac:dyDescent="0.35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E6-H6*E7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x14ac:dyDescent="0.35">
      <c r="B8" s="8">
        <v>68.7</v>
      </c>
      <c r="G8" s="27" t="s">
        <v>93</v>
      </c>
      <c r="H8" s="72">
        <f>$E$6+H6*$E$7</f>
        <v>86.340253725322782</v>
      </c>
      <c r="I8" s="72">
        <f>$E$6+I6*$E$7</f>
        <v>92.511033766435034</v>
      </c>
      <c r="J8" s="72">
        <f t="shared" ref="J8" si="1">$E$6+J6*$E$7</f>
        <v>98.6818138075473</v>
      </c>
    </row>
    <row r="9" spans="2:10" x14ac:dyDescent="0.35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x14ac:dyDescent="0.35">
      <c r="B10" s="8">
        <v>74.900000000000006</v>
      </c>
      <c r="G10" s="27" t="s">
        <v>95</v>
      </c>
      <c r="H10" s="79">
        <f>COUNTIFS($B$6:$B$100, "&gt;="&amp;H7,$B$6:$B$100, "&lt;="&amp;H8)/COUNT($B$6:$B$100)</f>
        <v>0.69473684210526321</v>
      </c>
      <c r="I10" s="79">
        <f t="shared" ref="I10:J10" si="2">COUNTIFS($B$6:$B$100, "&gt;="&amp;I7,$B$6:$B$100, "&lt;="&amp;I8)/COUNT($B$6:$B$100)</f>
        <v>0.94736842105263153</v>
      </c>
      <c r="J10" s="79">
        <f t="shared" si="2"/>
        <v>1</v>
      </c>
    </row>
    <row r="11" spans="2:10" x14ac:dyDescent="0.35">
      <c r="B11" s="8">
        <v>80.7</v>
      </c>
    </row>
    <row r="12" spans="2:10" x14ac:dyDescent="0.35">
      <c r="B12" s="8">
        <v>83.3</v>
      </c>
    </row>
    <row r="13" spans="2:10" x14ac:dyDescent="0.35">
      <c r="B13" s="8">
        <v>88.7</v>
      </c>
    </row>
    <row r="14" spans="2:10" x14ac:dyDescent="0.35">
      <c r="B14" s="8">
        <v>75.400000000000006</v>
      </c>
    </row>
    <row r="15" spans="2:10" x14ac:dyDescent="0.35">
      <c r="B15" s="8">
        <v>82.1</v>
      </c>
    </row>
    <row r="16" spans="2:10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J5"/>
  </mergeCells>
  <pageMargins left="0.7" right="0.7" top="0.75" bottom="0.75" header="0.3" footer="0.3"/>
  <pageSetup orientation="portrait" r:id="rId1"/>
  <headerFooter>
    <oddFooter>&amp;L3/20/2023&amp;CAXP Internal&amp;R18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O58"/>
  <sheetViews>
    <sheetView showGridLines="0" topLeftCell="D2" workbookViewId="0">
      <selection activeCell="O20" sqref="O20"/>
    </sheetView>
  </sheetViews>
  <sheetFormatPr defaultRowHeight="14.5" x14ac:dyDescent="0.35"/>
  <cols>
    <col min="1" max="1" width="2.81640625" customWidth="1"/>
    <col min="2" max="2" width="13.1796875" bestFit="1" customWidth="1"/>
    <col min="4" max="4" width="11.453125" customWidth="1"/>
    <col min="5" max="5" width="13.54296875" bestFit="1" customWidth="1"/>
    <col min="6" max="6" width="20.08984375" bestFit="1" customWidth="1"/>
    <col min="7" max="8" width="11.453125" customWidth="1"/>
    <col min="11" max="13" width="11.453125" customWidth="1"/>
  </cols>
  <sheetData>
    <row r="1" spans="2:15" ht="25.5" customHeight="1" x14ac:dyDescent="0.45">
      <c r="B1" s="18" t="s">
        <v>129</v>
      </c>
      <c r="H1" t="s">
        <v>361</v>
      </c>
    </row>
    <row r="2" spans="2:15" ht="15" customHeight="1" x14ac:dyDescent="0.35">
      <c r="B2" s="30" t="s">
        <v>292</v>
      </c>
    </row>
    <row r="3" spans="2:15" ht="18" customHeight="1" x14ac:dyDescent="0.35"/>
    <row r="4" spans="2:15" x14ac:dyDescent="0.35">
      <c r="D4" s="3" t="s">
        <v>54</v>
      </c>
      <c r="G4" s="3" t="s">
        <v>54</v>
      </c>
      <c r="J4" s="3" t="s">
        <v>54</v>
      </c>
    </row>
    <row r="5" spans="2:15" x14ac:dyDescent="0.35">
      <c r="B5" s="7" t="s">
        <v>35</v>
      </c>
      <c r="D5" s="121" t="s">
        <v>85</v>
      </c>
      <c r="E5" s="121"/>
      <c r="G5" s="121" t="s">
        <v>86</v>
      </c>
      <c r="H5" s="121"/>
      <c r="J5" s="121" t="s">
        <v>96</v>
      </c>
      <c r="K5" s="121"/>
      <c r="L5" s="121"/>
      <c r="M5" s="121"/>
    </row>
    <row r="6" spans="2:15" ht="15" customHeight="1" x14ac:dyDescent="0.35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5" x14ac:dyDescent="0.35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5" x14ac:dyDescent="0.35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5" ht="15" customHeight="1" x14ac:dyDescent="0.35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5" x14ac:dyDescent="0.35">
      <c r="B10" s="12">
        <v>255500</v>
      </c>
      <c r="J10" s="27" t="s">
        <v>95</v>
      </c>
      <c r="K10" s="79">
        <f>COUNTIFS($B$6:$B$58, "&gt;="&amp;K7,$B$6:$B$58, "&lt;="&amp;K8)/COUNT($B$6:$B$58)</f>
        <v>0.8867924528301887</v>
      </c>
      <c r="L10" s="79">
        <f t="shared" ref="L10:M10" si="2">COUNTIFS($B$6:$B$58, "&gt;="&amp;L7,$B$6:$B$58, "&lt;="&amp;L8)/COUNT($B$6:$B$58)</f>
        <v>0.96226415094339623</v>
      </c>
      <c r="M10" s="79">
        <f t="shared" si="2"/>
        <v>0.98113207547169812</v>
      </c>
    </row>
    <row r="11" spans="2:15" x14ac:dyDescent="0.35">
      <c r="B11" s="12">
        <v>103500</v>
      </c>
    </row>
    <row r="12" spans="2:15" x14ac:dyDescent="0.35">
      <c r="B12" s="12">
        <v>114500</v>
      </c>
      <c r="O12" t="s">
        <v>362</v>
      </c>
    </row>
    <row r="13" spans="2:15" x14ac:dyDescent="0.35">
      <c r="B13" s="12">
        <v>124000</v>
      </c>
      <c r="O13" t="s">
        <v>363</v>
      </c>
    </row>
    <row r="14" spans="2:15" x14ac:dyDescent="0.35">
      <c r="B14" s="12">
        <v>132500</v>
      </c>
      <c r="E14" s="9" t="s">
        <v>318</v>
      </c>
      <c r="F14" t="s">
        <v>360</v>
      </c>
      <c r="O14" t="s">
        <v>364</v>
      </c>
    </row>
    <row r="15" spans="2:15" x14ac:dyDescent="0.35">
      <c r="B15" s="12">
        <v>99000</v>
      </c>
      <c r="E15" s="110" t="s">
        <v>346</v>
      </c>
      <c r="F15" s="102">
        <v>7</v>
      </c>
    </row>
    <row r="16" spans="2:15" x14ac:dyDescent="0.35">
      <c r="B16" s="12">
        <v>124000</v>
      </c>
      <c r="E16" s="110" t="s">
        <v>347</v>
      </c>
      <c r="F16" s="102">
        <v>5</v>
      </c>
    </row>
    <row r="17" spans="2:6" x14ac:dyDescent="0.35">
      <c r="B17" s="12">
        <v>82000</v>
      </c>
      <c r="E17" s="110" t="s">
        <v>348</v>
      </c>
      <c r="F17" s="102">
        <v>15</v>
      </c>
    </row>
    <row r="18" spans="2:6" x14ac:dyDescent="0.35">
      <c r="B18" s="12">
        <v>185000</v>
      </c>
      <c r="E18" s="110" t="s">
        <v>349</v>
      </c>
      <c r="F18" s="102">
        <v>9</v>
      </c>
    </row>
    <row r="19" spans="2:6" x14ac:dyDescent="0.35">
      <c r="B19" s="12">
        <v>89500</v>
      </c>
      <c r="E19" s="110" t="s">
        <v>350</v>
      </c>
      <c r="F19" s="102">
        <v>6</v>
      </c>
    </row>
    <row r="20" spans="2:6" x14ac:dyDescent="0.35">
      <c r="B20" s="12">
        <v>91500</v>
      </c>
      <c r="E20" s="110" t="s">
        <v>351</v>
      </c>
      <c r="F20" s="102">
        <v>1</v>
      </c>
    </row>
    <row r="21" spans="2:6" x14ac:dyDescent="0.35">
      <c r="B21" s="12">
        <v>113500</v>
      </c>
      <c r="E21" s="110" t="s">
        <v>352</v>
      </c>
      <c r="F21" s="102">
        <v>1</v>
      </c>
    </row>
    <row r="22" spans="2:6" x14ac:dyDescent="0.35">
      <c r="B22" s="12">
        <v>99000</v>
      </c>
      <c r="E22" s="110" t="s">
        <v>353</v>
      </c>
      <c r="F22" s="102">
        <v>2</v>
      </c>
    </row>
    <row r="23" spans="2:6" x14ac:dyDescent="0.35">
      <c r="B23" s="12">
        <v>75500</v>
      </c>
      <c r="E23" s="110" t="s">
        <v>354</v>
      </c>
      <c r="F23" s="102">
        <v>2</v>
      </c>
    </row>
    <row r="24" spans="2:6" x14ac:dyDescent="0.35">
      <c r="B24" s="12">
        <v>86000</v>
      </c>
      <c r="E24" s="110" t="s">
        <v>355</v>
      </c>
      <c r="F24" s="102">
        <v>1</v>
      </c>
    </row>
    <row r="25" spans="2:6" x14ac:dyDescent="0.35">
      <c r="B25" s="12">
        <v>156500</v>
      </c>
      <c r="E25" s="110" t="s">
        <v>356</v>
      </c>
      <c r="F25" s="102">
        <v>1</v>
      </c>
    </row>
    <row r="26" spans="2:6" x14ac:dyDescent="0.35">
      <c r="B26" s="12">
        <v>99500</v>
      </c>
      <c r="E26" s="110" t="s">
        <v>357</v>
      </c>
      <c r="F26" s="102">
        <v>1</v>
      </c>
    </row>
    <row r="27" spans="2:6" x14ac:dyDescent="0.35">
      <c r="B27" s="12">
        <v>148000</v>
      </c>
      <c r="E27" s="110" t="s">
        <v>358</v>
      </c>
      <c r="F27" s="102">
        <v>1</v>
      </c>
    </row>
    <row r="28" spans="2:6" x14ac:dyDescent="0.35">
      <c r="B28" s="12">
        <v>82000</v>
      </c>
      <c r="E28" s="110" t="s">
        <v>359</v>
      </c>
      <c r="F28" s="102">
        <v>1</v>
      </c>
    </row>
    <row r="29" spans="2:6" x14ac:dyDescent="0.35">
      <c r="B29" s="12">
        <v>103500</v>
      </c>
      <c r="E29" s="110" t="s">
        <v>17</v>
      </c>
      <c r="F29" s="102">
        <v>53</v>
      </c>
    </row>
    <row r="30" spans="2:6" x14ac:dyDescent="0.35">
      <c r="B30" s="12">
        <v>205500</v>
      </c>
    </row>
    <row r="31" spans="2:6" x14ac:dyDescent="0.35">
      <c r="B31" s="12">
        <v>103500</v>
      </c>
    </row>
    <row r="32" spans="2:6" x14ac:dyDescent="0.35">
      <c r="B32" s="12">
        <v>340000</v>
      </c>
    </row>
    <row r="33" spans="2:2" x14ac:dyDescent="0.35">
      <c r="B33" s="12">
        <v>103500</v>
      </c>
    </row>
    <row r="34" spans="2:2" x14ac:dyDescent="0.35">
      <c r="B34" s="12">
        <v>99500</v>
      </c>
    </row>
    <row r="35" spans="2:2" x14ac:dyDescent="0.35">
      <c r="B35" s="12">
        <v>103000</v>
      </c>
    </row>
    <row r="36" spans="2:2" x14ac:dyDescent="0.35">
      <c r="B36" s="12">
        <v>103500</v>
      </c>
    </row>
    <row r="37" spans="2:2" x14ac:dyDescent="0.35">
      <c r="B37" s="12">
        <v>165000</v>
      </c>
    </row>
    <row r="38" spans="2:2" x14ac:dyDescent="0.35">
      <c r="B38" s="12">
        <v>124500</v>
      </c>
    </row>
    <row r="39" spans="2:2" x14ac:dyDescent="0.35">
      <c r="B39" s="12">
        <v>103500</v>
      </c>
    </row>
    <row r="40" spans="2:2" x14ac:dyDescent="0.35">
      <c r="B40" s="12">
        <v>82500</v>
      </c>
    </row>
    <row r="41" spans="2:2" x14ac:dyDescent="0.35">
      <c r="B41" s="12">
        <v>93000</v>
      </c>
    </row>
    <row r="42" spans="2:2" x14ac:dyDescent="0.35">
      <c r="B42" s="12">
        <v>168000</v>
      </c>
    </row>
    <row r="43" spans="2:2" x14ac:dyDescent="0.35">
      <c r="B43" s="12">
        <v>96000</v>
      </c>
    </row>
    <row r="44" spans="2:2" x14ac:dyDescent="0.35">
      <c r="B44" s="12">
        <v>80000</v>
      </c>
    </row>
    <row r="45" spans="2:2" x14ac:dyDescent="0.35">
      <c r="B45" s="12">
        <v>124500</v>
      </c>
    </row>
    <row r="46" spans="2:2" x14ac:dyDescent="0.35">
      <c r="B46" s="12">
        <v>99000</v>
      </c>
    </row>
    <row r="47" spans="2:2" x14ac:dyDescent="0.35">
      <c r="B47" s="12">
        <v>124000</v>
      </c>
    </row>
    <row r="48" spans="2:2" x14ac:dyDescent="0.35">
      <c r="B48" s="12">
        <v>91500</v>
      </c>
    </row>
    <row r="49" spans="2:2" x14ac:dyDescent="0.35">
      <c r="B49" s="12">
        <v>144500</v>
      </c>
    </row>
    <row r="50" spans="2:2" x14ac:dyDescent="0.35">
      <c r="B50" s="12">
        <v>114500</v>
      </c>
    </row>
    <row r="51" spans="2:2" x14ac:dyDescent="0.35">
      <c r="B51" s="12">
        <v>104500</v>
      </c>
    </row>
    <row r="52" spans="2:2" x14ac:dyDescent="0.35">
      <c r="B52" s="12">
        <v>124000</v>
      </c>
    </row>
    <row r="53" spans="2:2" x14ac:dyDescent="0.35">
      <c r="B53" s="12">
        <v>113000</v>
      </c>
    </row>
    <row r="54" spans="2:2" x14ac:dyDescent="0.35">
      <c r="B54" s="12">
        <v>78000</v>
      </c>
    </row>
    <row r="55" spans="2:2" x14ac:dyDescent="0.35">
      <c r="B55" s="12">
        <v>109000</v>
      </c>
    </row>
    <row r="56" spans="2:2" x14ac:dyDescent="0.35">
      <c r="B56" s="12">
        <v>99500</v>
      </c>
    </row>
    <row r="57" spans="2:2" x14ac:dyDescent="0.35">
      <c r="B57" s="12">
        <v>107000</v>
      </c>
    </row>
    <row r="58" spans="2:2" x14ac:dyDescent="0.35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pageSetup orientation="portrait" r:id="rId2"/>
  <headerFooter>
    <oddFooter>&amp;L3/20/2023&amp;CAXP Internal&amp;R19</oddFooter>
  </headerFooter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F11" sqref="F11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1:8" ht="25.5" customHeight="1" x14ac:dyDescent="0.45">
      <c r="B1" s="18" t="s">
        <v>131</v>
      </c>
    </row>
    <row r="2" spans="1:8" ht="15" customHeight="1" x14ac:dyDescent="0.35">
      <c r="A2" t="s">
        <v>130</v>
      </c>
      <c r="B2" s="30" t="s">
        <v>296</v>
      </c>
    </row>
    <row r="3" spans="1:8" ht="18" customHeight="1" x14ac:dyDescent="0.35"/>
    <row r="4" spans="1:8" x14ac:dyDescent="0.35">
      <c r="D4" s="3" t="s">
        <v>54</v>
      </c>
      <c r="G4" s="3" t="s">
        <v>54</v>
      </c>
    </row>
    <row r="5" spans="1:8" x14ac:dyDescent="0.35">
      <c r="B5" s="7" t="s">
        <v>77</v>
      </c>
      <c r="D5" s="121" t="s">
        <v>86</v>
      </c>
      <c r="E5" s="121"/>
      <c r="G5" s="121" t="s">
        <v>294</v>
      </c>
      <c r="H5" s="121"/>
    </row>
    <row r="6" spans="1:8" x14ac:dyDescent="0.35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35">
      <c r="B7" s="8">
        <v>92.8</v>
      </c>
      <c r="D7" s="20" t="s">
        <v>70</v>
      </c>
      <c r="E7" s="75">
        <f>_xlfn.STDEV.S(B6:B100)</f>
        <v>6.1707800411122609</v>
      </c>
      <c r="G7" s="20" t="s">
        <v>293</v>
      </c>
      <c r="H7" s="81">
        <f>_xlfn.NORM.DIST(H6,E6,E7,TRUE)</f>
        <v>4.9675867098228202E-2</v>
      </c>
    </row>
    <row r="8" spans="1:8" x14ac:dyDescent="0.35">
      <c r="B8" s="8">
        <v>68.7</v>
      </c>
    </row>
    <row r="9" spans="1:8" x14ac:dyDescent="0.35">
      <c r="B9" s="8">
        <v>80.7</v>
      </c>
      <c r="D9" s="20"/>
      <c r="E9" s="29"/>
    </row>
    <row r="10" spans="1:8" x14ac:dyDescent="0.35">
      <c r="B10" s="8">
        <v>74.900000000000006</v>
      </c>
      <c r="D10" s="20"/>
      <c r="E10" s="29"/>
      <c r="F10" t="s">
        <v>365</v>
      </c>
    </row>
    <row r="11" spans="1:8" x14ac:dyDescent="0.35">
      <c r="B11" s="8">
        <v>80.7</v>
      </c>
    </row>
    <row r="12" spans="1:8" x14ac:dyDescent="0.35">
      <c r="B12" s="8">
        <v>83.3</v>
      </c>
    </row>
    <row r="13" spans="1:8" x14ac:dyDescent="0.35">
      <c r="B13" s="8">
        <v>88.7</v>
      </c>
    </row>
    <row r="14" spans="1:8" x14ac:dyDescent="0.35">
      <c r="B14" s="8">
        <v>75.400000000000006</v>
      </c>
    </row>
    <row r="15" spans="1:8" x14ac:dyDescent="0.35">
      <c r="B15" s="8">
        <v>82.1</v>
      </c>
    </row>
    <row r="16" spans="1: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  <headerFooter>
    <oddFooter>&amp;L3/20/2023&amp;CAXP Internal&amp;R20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E100"/>
  <sheetViews>
    <sheetView showGridLines="0" workbookViewId="0">
      <selection activeCell="E9" sqref="E9"/>
    </sheetView>
  </sheetViews>
  <sheetFormatPr defaultRowHeight="14.5" x14ac:dyDescent="0.35"/>
  <cols>
    <col min="1" max="1" width="2.81640625" customWidth="1"/>
    <col min="2" max="2" width="10.7265625" bestFit="1" customWidth="1"/>
    <col min="4" max="4" width="17.1796875" customWidth="1"/>
    <col min="5" max="5" width="9.1796875" customWidth="1"/>
  </cols>
  <sheetData>
    <row r="1" spans="2:5" ht="25.5" customHeight="1" x14ac:dyDescent="0.45">
      <c r="B1" s="18" t="s">
        <v>297</v>
      </c>
    </row>
    <row r="2" spans="2:5" ht="15" customHeight="1" x14ac:dyDescent="0.35">
      <c r="B2" s="30" t="s">
        <v>295</v>
      </c>
    </row>
    <row r="3" spans="2:5" ht="18" customHeight="1" x14ac:dyDescent="0.35"/>
    <row r="4" spans="2:5" x14ac:dyDescent="0.35">
      <c r="D4" s="3" t="s">
        <v>54</v>
      </c>
    </row>
    <row r="5" spans="2:5" x14ac:dyDescent="0.35">
      <c r="B5" s="7" t="s">
        <v>77</v>
      </c>
      <c r="D5" s="121" t="s">
        <v>294</v>
      </c>
      <c r="E5" s="121"/>
    </row>
    <row r="6" spans="2:5" x14ac:dyDescent="0.35">
      <c r="B6" s="8">
        <v>90.2</v>
      </c>
      <c r="D6" s="20" t="s">
        <v>107</v>
      </c>
      <c r="E6" s="71">
        <v>-1</v>
      </c>
    </row>
    <row r="7" spans="2:5" x14ac:dyDescent="0.35">
      <c r="B7" s="8">
        <v>92.8</v>
      </c>
      <c r="D7" s="20" t="s">
        <v>108</v>
      </c>
      <c r="E7" s="71">
        <v>1</v>
      </c>
    </row>
    <row r="8" spans="2:5" x14ac:dyDescent="0.35">
      <c r="B8" s="8">
        <v>68.7</v>
      </c>
      <c r="D8" s="20" t="s">
        <v>132</v>
      </c>
      <c r="E8" s="81">
        <f>_xlfn.NORM.S.DIST(E7,TRUE) - _xlfn.NORM.S.DIST(E6, TRUE)</f>
        <v>0.68268949213708607</v>
      </c>
    </row>
    <row r="9" spans="2:5" x14ac:dyDescent="0.35">
      <c r="B9" s="8">
        <v>80.7</v>
      </c>
      <c r="D9" s="20"/>
      <c r="E9" s="29"/>
    </row>
    <row r="10" spans="2:5" x14ac:dyDescent="0.35">
      <c r="B10" s="8">
        <v>74.900000000000006</v>
      </c>
    </row>
    <row r="11" spans="2:5" x14ac:dyDescent="0.35">
      <c r="B11" s="8">
        <v>80.7</v>
      </c>
    </row>
    <row r="12" spans="2:5" x14ac:dyDescent="0.35">
      <c r="B12" s="8">
        <v>83.3</v>
      </c>
    </row>
    <row r="13" spans="2:5" x14ac:dyDescent="0.35">
      <c r="B13" s="8">
        <v>88.7</v>
      </c>
    </row>
    <row r="14" spans="2:5" x14ac:dyDescent="0.35">
      <c r="B14" s="8">
        <v>75.400000000000006</v>
      </c>
    </row>
    <row r="15" spans="2:5" x14ac:dyDescent="0.35">
      <c r="B15" s="8">
        <v>82.1</v>
      </c>
    </row>
    <row r="16" spans="2:5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headerFooter>
    <oddFooter>&amp;L3/20/2023&amp;CAXP Internal&amp;R21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8" sqref="H8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2:8" ht="25.5" customHeight="1" x14ac:dyDescent="0.45">
      <c r="B1" s="18" t="s">
        <v>133</v>
      </c>
    </row>
    <row r="2" spans="2:8" ht="15" customHeight="1" x14ac:dyDescent="0.35">
      <c r="B2" s="31" t="s">
        <v>296</v>
      </c>
    </row>
    <row r="3" spans="2:8" ht="18" customHeight="1" x14ac:dyDescent="0.35"/>
    <row r="4" spans="2:8" x14ac:dyDescent="0.35">
      <c r="D4" s="3" t="s">
        <v>54</v>
      </c>
      <c r="G4" s="3" t="s">
        <v>54</v>
      </c>
    </row>
    <row r="5" spans="2:8" x14ac:dyDescent="0.35">
      <c r="B5" s="7" t="s">
        <v>77</v>
      </c>
      <c r="D5" s="121" t="s">
        <v>86</v>
      </c>
      <c r="E5" s="121"/>
      <c r="G5" s="121" t="s">
        <v>294</v>
      </c>
      <c r="H5" s="121"/>
    </row>
    <row r="6" spans="2:8" x14ac:dyDescent="0.35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35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35">
      <c r="B8" s="8">
        <v>68.7</v>
      </c>
      <c r="G8" s="20"/>
      <c r="H8" s="29"/>
    </row>
    <row r="9" spans="2:8" x14ac:dyDescent="0.35">
      <c r="B9" s="8">
        <v>80.7</v>
      </c>
    </row>
    <row r="10" spans="2:8" x14ac:dyDescent="0.35">
      <c r="B10" s="8">
        <v>74.900000000000006</v>
      </c>
    </row>
    <row r="11" spans="2:8" x14ac:dyDescent="0.35">
      <c r="B11" s="8">
        <v>80.7</v>
      </c>
    </row>
    <row r="12" spans="2:8" x14ac:dyDescent="0.35">
      <c r="B12" s="8">
        <v>83.3</v>
      </c>
    </row>
    <row r="13" spans="2:8" x14ac:dyDescent="0.35">
      <c r="B13" s="8">
        <v>88.7</v>
      </c>
    </row>
    <row r="14" spans="2:8" x14ac:dyDescent="0.35">
      <c r="B14" s="8">
        <v>75.400000000000006</v>
      </c>
    </row>
    <row r="15" spans="2:8" x14ac:dyDescent="0.35">
      <c r="B15" s="8">
        <v>82.1</v>
      </c>
    </row>
    <row r="16" spans="2: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  <headerFooter>
    <oddFooter>&amp;L3/20/2023&amp;CAXP Internal&amp;R22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workbookViewId="0">
      <selection activeCell="G12" sqref="G12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8" max="8" width="18.1796875" bestFit="1" customWidth="1"/>
    <col min="9" max="9" width="21.7265625" bestFit="1" customWidth="1"/>
  </cols>
  <sheetData>
    <row r="1" spans="2:9" ht="25.5" customHeight="1" x14ac:dyDescent="0.45">
      <c r="B1" s="18" t="s">
        <v>134</v>
      </c>
    </row>
    <row r="2" spans="2:9" ht="15" customHeight="1" x14ac:dyDescent="0.35">
      <c r="B2" s="30" t="s">
        <v>298</v>
      </c>
    </row>
    <row r="3" spans="2:9" ht="18" customHeight="1" x14ac:dyDescent="0.35"/>
    <row r="4" spans="2:9" x14ac:dyDescent="0.35">
      <c r="D4" s="3" t="s">
        <v>54</v>
      </c>
      <c r="G4" s="3" t="s">
        <v>54</v>
      </c>
    </row>
    <row r="5" spans="2:9" x14ac:dyDescent="0.35">
      <c r="B5" s="7" t="s">
        <v>77</v>
      </c>
      <c r="D5" s="121" t="s">
        <v>86</v>
      </c>
      <c r="E5" s="121"/>
      <c r="G5" s="10" t="s">
        <v>99</v>
      </c>
      <c r="H5" s="10" t="s">
        <v>100</v>
      </c>
      <c r="I5" s="10" t="s">
        <v>105</v>
      </c>
    </row>
    <row r="6" spans="2:9" x14ac:dyDescent="0.35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IF(G6&lt;$G$16,H6,0)</f>
        <v>3.0952931395656784E-4</v>
      </c>
    </row>
    <row r="7" spans="2:9" x14ac:dyDescent="0.35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IF(G7&lt;$G$16,H7,0)</f>
        <v>8.4716192775783749E-4</v>
      </c>
    </row>
    <row r="8" spans="2:9" x14ac:dyDescent="0.35">
      <c r="B8" s="8">
        <v>68.7</v>
      </c>
      <c r="G8" s="8">
        <v>64</v>
      </c>
      <c r="H8" s="8">
        <f t="shared" si="0"/>
        <v>2.087421445520822E-3</v>
      </c>
      <c r="I8" s="8">
        <f t="shared" si="1"/>
        <v>2.087421445520822E-3</v>
      </c>
    </row>
    <row r="9" spans="2:9" x14ac:dyDescent="0.35">
      <c r="B9" s="8">
        <v>80.7</v>
      </c>
      <c r="G9" s="8">
        <v>66</v>
      </c>
      <c r="H9" s="8">
        <f t="shared" si="0"/>
        <v>4.6305536271465499E-3</v>
      </c>
      <c r="I9" s="8">
        <f t="shared" si="1"/>
        <v>4.6305536271465499E-3</v>
      </c>
    </row>
    <row r="10" spans="2:9" x14ac:dyDescent="0.35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9.2477219127595003E-3</v>
      </c>
    </row>
    <row r="11" spans="2:9" x14ac:dyDescent="0.35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1.6627067938365887E-2</v>
      </c>
    </row>
    <row r="12" spans="2:9" x14ac:dyDescent="0.35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35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35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35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35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0</v>
      </c>
    </row>
    <row r="17" spans="2:9" x14ac:dyDescent="0.35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0</v>
      </c>
    </row>
    <row r="18" spans="2:9" x14ac:dyDescent="0.35">
      <c r="B18" s="8">
        <v>71.3</v>
      </c>
      <c r="G18" s="8">
        <v>84</v>
      </c>
      <c r="H18" s="8">
        <f t="shared" si="0"/>
        <v>5.332070624163418E-2</v>
      </c>
      <c r="I18" s="8">
        <f t="shared" si="1"/>
        <v>0</v>
      </c>
    </row>
    <row r="19" spans="2:9" x14ac:dyDescent="0.35">
      <c r="B19" s="8">
        <v>76.8</v>
      </c>
      <c r="G19" s="8">
        <v>86</v>
      </c>
      <c r="H19" s="8">
        <f t="shared" si="0"/>
        <v>4.137226830550346E-2</v>
      </c>
      <c r="I19" s="8">
        <f t="shared" si="1"/>
        <v>0</v>
      </c>
    </row>
    <row r="20" spans="2:9" x14ac:dyDescent="0.35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0</v>
      </c>
    </row>
    <row r="21" spans="2:9" x14ac:dyDescent="0.35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0</v>
      </c>
    </row>
    <row r="22" spans="2:9" x14ac:dyDescent="0.35">
      <c r="B22" s="8">
        <v>72</v>
      </c>
      <c r="G22" s="8">
        <v>92</v>
      </c>
      <c r="H22" s="8">
        <f t="shared" si="0"/>
        <v>1.0290205502344866E-2</v>
      </c>
      <c r="I22" s="8">
        <f t="shared" si="1"/>
        <v>0</v>
      </c>
    </row>
    <row r="23" spans="2:9" x14ac:dyDescent="0.35">
      <c r="B23" s="8">
        <v>81</v>
      </c>
      <c r="G23" s="8">
        <v>94</v>
      </c>
      <c r="H23" s="8">
        <f t="shared" si="0"/>
        <v>5.2450997543787847E-3</v>
      </c>
      <c r="I23" s="8">
        <f t="shared" si="1"/>
        <v>0</v>
      </c>
    </row>
    <row r="24" spans="2:9" x14ac:dyDescent="0.35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0</v>
      </c>
    </row>
    <row r="25" spans="2:9" x14ac:dyDescent="0.35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0</v>
      </c>
    </row>
    <row r="26" spans="2:9" x14ac:dyDescent="0.35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0</v>
      </c>
    </row>
    <row r="27" spans="2:9" x14ac:dyDescent="0.35">
      <c r="B27" s="8">
        <v>77.8</v>
      </c>
    </row>
    <row r="28" spans="2:9" x14ac:dyDescent="0.35">
      <c r="B28" s="8">
        <v>62.6</v>
      </c>
    </row>
    <row r="29" spans="2:9" x14ac:dyDescent="0.35">
      <c r="B29" s="8">
        <v>80.2</v>
      </c>
    </row>
    <row r="30" spans="2:9" x14ac:dyDescent="0.35">
      <c r="B30" s="8">
        <v>79.099999999999994</v>
      </c>
    </row>
    <row r="31" spans="2:9" x14ac:dyDescent="0.35">
      <c r="B31" s="8">
        <v>77.8</v>
      </c>
    </row>
    <row r="32" spans="2:9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headerFooter>
    <oddFooter>&amp;L3/20/2023&amp;CAXP Internal&amp;R23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I9" sqref="I9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2:8" ht="25.5" customHeight="1" x14ac:dyDescent="0.45">
      <c r="B1" s="18" t="s">
        <v>135</v>
      </c>
    </row>
    <row r="2" spans="2:8" ht="15" customHeight="1" x14ac:dyDescent="0.35">
      <c r="B2" s="30" t="s">
        <v>300</v>
      </c>
    </row>
    <row r="3" spans="2:8" ht="18" customHeight="1" x14ac:dyDescent="0.35"/>
    <row r="4" spans="2:8" x14ac:dyDescent="0.35">
      <c r="D4" s="3" t="s">
        <v>54</v>
      </c>
      <c r="G4" s="3" t="s">
        <v>54</v>
      </c>
    </row>
    <row r="5" spans="2:8" x14ac:dyDescent="0.35">
      <c r="B5" s="7" t="s">
        <v>77</v>
      </c>
      <c r="D5" s="121" t="s">
        <v>86</v>
      </c>
      <c r="E5" s="121"/>
      <c r="G5" s="121" t="s">
        <v>299</v>
      </c>
      <c r="H5" s="121"/>
    </row>
    <row r="6" spans="2:8" x14ac:dyDescent="0.35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35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35">
      <c r="B8" s="8">
        <v>68.7</v>
      </c>
      <c r="G8" s="20" t="s">
        <v>114</v>
      </c>
      <c r="H8" s="83">
        <f>_xlfn.NORM.INV(H6,E6,E7)</f>
        <v>76.007345795765744</v>
      </c>
    </row>
    <row r="9" spans="2:8" x14ac:dyDescent="0.35">
      <c r="B9" s="8">
        <v>80.7</v>
      </c>
      <c r="D9" s="20"/>
      <c r="E9" s="29"/>
      <c r="G9" s="20" t="s">
        <v>113</v>
      </c>
      <c r="H9" s="83">
        <f>_xlfn.NORM.INV(H7,E6,E7)</f>
        <v>84.331601572655288</v>
      </c>
    </row>
    <row r="10" spans="2:8" x14ac:dyDescent="0.35">
      <c r="B10" s="8">
        <v>74.900000000000006</v>
      </c>
      <c r="D10" s="20"/>
      <c r="E10" s="29"/>
    </row>
    <row r="11" spans="2:8" x14ac:dyDescent="0.35">
      <c r="B11" s="8">
        <v>80.7</v>
      </c>
      <c r="G11" s="111"/>
    </row>
    <row r="12" spans="2:8" x14ac:dyDescent="0.35">
      <c r="B12" s="8">
        <v>83.3</v>
      </c>
    </row>
    <row r="13" spans="2:8" x14ac:dyDescent="0.35">
      <c r="B13" s="8">
        <v>88.7</v>
      </c>
    </row>
    <row r="14" spans="2:8" x14ac:dyDescent="0.35">
      <c r="B14" s="8">
        <v>75.400000000000006</v>
      </c>
    </row>
    <row r="15" spans="2:8" x14ac:dyDescent="0.35">
      <c r="B15" s="8">
        <v>82.1</v>
      </c>
    </row>
    <row r="16" spans="2: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  <headerFooter>
    <oddFooter>&amp;L3/20/2023&amp;CAXP Internal&amp;R24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8" sqref="H8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20" customWidth="1"/>
  </cols>
  <sheetData>
    <row r="1" spans="2:8" ht="25.5" customHeight="1" x14ac:dyDescent="0.45">
      <c r="B1" s="18" t="s">
        <v>136</v>
      </c>
    </row>
    <row r="2" spans="2:8" ht="15" customHeight="1" x14ac:dyDescent="0.35">
      <c r="B2" s="30" t="s">
        <v>301</v>
      </c>
    </row>
    <row r="3" spans="2:8" ht="18" customHeight="1" x14ac:dyDescent="0.35"/>
    <row r="4" spans="2:8" x14ac:dyDescent="0.35">
      <c r="D4" s="3" t="s">
        <v>54</v>
      </c>
      <c r="G4" s="3" t="s">
        <v>54</v>
      </c>
    </row>
    <row r="5" spans="2:8" x14ac:dyDescent="0.35">
      <c r="B5" s="7" t="s">
        <v>77</v>
      </c>
      <c r="D5" s="121" t="s">
        <v>86</v>
      </c>
      <c r="E5" s="121"/>
      <c r="G5" s="121" t="s">
        <v>302</v>
      </c>
      <c r="H5" s="121"/>
    </row>
    <row r="6" spans="2:8" x14ac:dyDescent="0.35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v>0.2</v>
      </c>
    </row>
    <row r="7" spans="2:8" x14ac:dyDescent="0.35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35">
      <c r="B8" s="8">
        <v>68.7</v>
      </c>
      <c r="G8" s="20"/>
      <c r="H8" s="29"/>
    </row>
    <row r="9" spans="2:8" x14ac:dyDescent="0.35">
      <c r="B9" s="8">
        <v>80.7</v>
      </c>
      <c r="D9" s="20"/>
      <c r="E9" s="29"/>
      <c r="G9" s="20"/>
      <c r="H9" s="29"/>
    </row>
    <row r="10" spans="2:8" x14ac:dyDescent="0.35">
      <c r="B10" s="8">
        <v>74.900000000000006</v>
      </c>
      <c r="D10" s="20"/>
      <c r="E10" s="29"/>
    </row>
    <row r="11" spans="2:8" x14ac:dyDescent="0.35">
      <c r="B11" s="8">
        <v>80.7</v>
      </c>
    </row>
    <row r="12" spans="2:8" x14ac:dyDescent="0.35">
      <c r="B12" s="8">
        <v>83.3</v>
      </c>
    </row>
    <row r="13" spans="2:8" x14ac:dyDescent="0.35">
      <c r="B13" s="8">
        <v>88.7</v>
      </c>
    </row>
    <row r="14" spans="2:8" x14ac:dyDescent="0.35">
      <c r="B14" s="8">
        <v>75.400000000000006</v>
      </c>
    </row>
    <row r="15" spans="2:8" x14ac:dyDescent="0.35">
      <c r="B15" s="8">
        <v>82.1</v>
      </c>
    </row>
    <row r="16" spans="2: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  <headerFooter>
    <oddFooter>&amp;L3/20/2023&amp;CAXP Internal&amp;R25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M6" sqref="M6"/>
    </sheetView>
  </sheetViews>
  <sheetFormatPr defaultRowHeight="14.5" x14ac:dyDescent="0.35"/>
  <cols>
    <col min="1" max="1" width="2.81640625" customWidth="1"/>
    <col min="2" max="2" width="10.7265625" bestFit="1" customWidth="1"/>
    <col min="4" max="5" width="11.453125" customWidth="1"/>
    <col min="7" max="7" width="14.26953125" customWidth="1"/>
  </cols>
  <sheetData>
    <row r="1" spans="2:8" ht="25.5" customHeight="1" x14ac:dyDescent="0.45">
      <c r="B1" s="18" t="s">
        <v>137</v>
      </c>
    </row>
    <row r="2" spans="2:8" ht="15" customHeight="1" x14ac:dyDescent="0.35">
      <c r="B2" s="30" t="s">
        <v>303</v>
      </c>
    </row>
    <row r="3" spans="2:8" ht="18" customHeight="1" x14ac:dyDescent="0.35"/>
    <row r="4" spans="2:8" x14ac:dyDescent="0.35">
      <c r="D4" s="3" t="s">
        <v>54</v>
      </c>
      <c r="G4" s="3" t="s">
        <v>54</v>
      </c>
    </row>
    <row r="5" spans="2:8" x14ac:dyDescent="0.35">
      <c r="B5" s="7" t="s">
        <v>77</v>
      </c>
      <c r="D5" s="121" t="s">
        <v>86</v>
      </c>
      <c r="E5" s="121"/>
      <c r="G5" s="121" t="s">
        <v>299</v>
      </c>
      <c r="H5" s="121"/>
    </row>
    <row r="6" spans="2:8" x14ac:dyDescent="0.35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v>0.9</v>
      </c>
    </row>
    <row r="7" spans="2:8" x14ac:dyDescent="0.35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_xlfn.NORM.INV(H6,E6,E7)</f>
        <v>88.077646506529305</v>
      </c>
    </row>
    <row r="8" spans="2:8" x14ac:dyDescent="0.35">
      <c r="B8" s="8">
        <v>68.7</v>
      </c>
      <c r="G8" s="20" t="s">
        <v>90</v>
      </c>
      <c r="H8" s="84">
        <f>_xlfn.NORM.S.INV(H6)</f>
        <v>1.2815515655446006</v>
      </c>
    </row>
    <row r="9" spans="2:8" x14ac:dyDescent="0.35">
      <c r="B9" s="8">
        <v>80.7</v>
      </c>
    </row>
    <row r="10" spans="2:8" x14ac:dyDescent="0.35">
      <c r="B10" s="8">
        <v>74.900000000000006</v>
      </c>
    </row>
    <row r="11" spans="2:8" x14ac:dyDescent="0.35">
      <c r="B11" s="8">
        <v>80.7</v>
      </c>
    </row>
    <row r="12" spans="2:8" x14ac:dyDescent="0.35">
      <c r="B12" s="8">
        <v>83.3</v>
      </c>
    </row>
    <row r="13" spans="2:8" x14ac:dyDescent="0.35">
      <c r="B13" s="8">
        <v>88.7</v>
      </c>
    </row>
    <row r="14" spans="2:8" x14ac:dyDescent="0.35">
      <c r="B14" s="8">
        <v>75.400000000000006</v>
      </c>
    </row>
    <row r="15" spans="2:8" x14ac:dyDescent="0.35">
      <c r="B15" s="8">
        <v>82.1</v>
      </c>
    </row>
    <row r="16" spans="2: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  <headerFooter>
    <oddFooter>&amp;L3/20/2023&amp;CAXP Internal&amp;R26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8" sqref="H18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8" t="s">
        <v>145</v>
      </c>
    </row>
    <row r="2" spans="2:11" ht="15" customHeight="1" x14ac:dyDescent="0.35">
      <c r="B2" s="30" t="s">
        <v>153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23</v>
      </c>
      <c r="D5" s="121" t="s">
        <v>139</v>
      </c>
      <c r="E5" s="121"/>
      <c r="G5" s="121" t="s">
        <v>141</v>
      </c>
      <c r="H5" s="121"/>
      <c r="J5" s="121" t="s">
        <v>147</v>
      </c>
      <c r="K5" s="121"/>
    </row>
    <row r="6" spans="2:11" x14ac:dyDescent="0.35">
      <c r="B6" s="8">
        <v>276</v>
      </c>
      <c r="D6" s="20" t="s">
        <v>71</v>
      </c>
      <c r="E6" s="71">
        <f>COUNT(B6:B100)</f>
        <v>95</v>
      </c>
      <c r="G6" s="20" t="s">
        <v>142</v>
      </c>
      <c r="H6" s="82">
        <v>0.9</v>
      </c>
      <c r="J6" s="20" t="s">
        <v>148</v>
      </c>
      <c r="K6" s="75">
        <f>E7-H11</f>
        <v>274.159110498644</v>
      </c>
    </row>
    <row r="7" spans="2:11" x14ac:dyDescent="0.35">
      <c r="B7" s="8">
        <v>410</v>
      </c>
      <c r="D7" s="20" t="s">
        <v>46</v>
      </c>
      <c r="E7" s="72">
        <f>AVERAGE(B6:B100)</f>
        <v>289.34736842105264</v>
      </c>
      <c r="G7" s="20" t="s">
        <v>143</v>
      </c>
      <c r="H7" s="82">
        <f>1-H6</f>
        <v>9.9999999999999978E-2</v>
      </c>
      <c r="J7" s="20" t="s">
        <v>149</v>
      </c>
      <c r="K7" s="75">
        <f>E7+H11</f>
        <v>304.53562634346127</v>
      </c>
    </row>
    <row r="8" spans="2:11" x14ac:dyDescent="0.35">
      <c r="B8" s="8">
        <v>119</v>
      </c>
      <c r="G8" s="20" t="s">
        <v>144</v>
      </c>
      <c r="H8" s="85">
        <f>H7/2</f>
        <v>4.9999999999999989E-2</v>
      </c>
    </row>
    <row r="9" spans="2:11" x14ac:dyDescent="0.35">
      <c r="B9" s="8">
        <v>334</v>
      </c>
      <c r="D9" s="121" t="s">
        <v>140</v>
      </c>
      <c r="E9" s="121"/>
      <c r="G9" s="20" t="s">
        <v>152</v>
      </c>
      <c r="H9" s="86">
        <f>_xlfn.NORM.S.INV(H8)</f>
        <v>-1.6448536269514726</v>
      </c>
    </row>
    <row r="10" spans="2:11" x14ac:dyDescent="0.35">
      <c r="B10" s="8">
        <v>252</v>
      </c>
      <c r="D10" s="20" t="s">
        <v>70</v>
      </c>
      <c r="E10" s="71">
        <v>90</v>
      </c>
      <c r="G10" s="20" t="s">
        <v>146</v>
      </c>
      <c r="H10" s="75">
        <f>E10/SQRT(E6)</f>
        <v>9.2338051687663878</v>
      </c>
    </row>
    <row r="11" spans="2:11" x14ac:dyDescent="0.35">
      <c r="B11" s="8">
        <v>209</v>
      </c>
      <c r="D11" s="20"/>
      <c r="E11" s="1"/>
      <c r="G11" s="20" t="s">
        <v>150</v>
      </c>
      <c r="H11" s="75">
        <f>ABS(H9)*H10</f>
        <v>15.188257922408647</v>
      </c>
      <c r="I11" s="99">
        <f>_xlfn.CONFIDENCE.NORM(H7,E10,E6)</f>
        <v>15.188257922408638</v>
      </c>
    </row>
    <row r="12" spans="2:11" x14ac:dyDescent="0.35">
      <c r="B12" s="8">
        <v>462</v>
      </c>
    </row>
    <row r="13" spans="2:11" x14ac:dyDescent="0.35">
      <c r="B13" s="8">
        <v>342</v>
      </c>
    </row>
    <row r="14" spans="2:11" x14ac:dyDescent="0.35">
      <c r="B14" s="8">
        <v>347</v>
      </c>
    </row>
    <row r="15" spans="2:11" x14ac:dyDescent="0.35">
      <c r="B15" s="8">
        <v>313</v>
      </c>
    </row>
    <row r="16" spans="2:11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headerFooter>
    <oddFooter>&amp;L3/20/2023&amp;CAXP Internal&amp;R27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E6" sqref="E6"/>
    </sheetView>
  </sheetViews>
  <sheetFormatPr defaultRowHeight="14.5" x14ac:dyDescent="0.35"/>
  <cols>
    <col min="1" max="1" width="2.81640625" customWidth="1"/>
    <col min="2" max="2" width="13.179687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8" t="s">
        <v>151</v>
      </c>
    </row>
    <row r="2" spans="2:11" ht="15" customHeight="1" x14ac:dyDescent="0.35">
      <c r="B2" s="30" t="s">
        <v>304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35</v>
      </c>
      <c r="D5" s="121" t="s">
        <v>139</v>
      </c>
      <c r="E5" s="121"/>
      <c r="G5" s="121" t="s">
        <v>141</v>
      </c>
      <c r="H5" s="121"/>
      <c r="J5" s="121" t="s">
        <v>147</v>
      </c>
      <c r="K5" s="121"/>
    </row>
    <row r="6" spans="2:11" x14ac:dyDescent="0.35">
      <c r="B6" s="12">
        <v>111000</v>
      </c>
      <c r="D6" s="20" t="s">
        <v>71</v>
      </c>
      <c r="E6" s="71">
        <f>COUNT(B6:B58)</f>
        <v>53</v>
      </c>
      <c r="G6" s="20" t="s">
        <v>142</v>
      </c>
      <c r="H6" s="82">
        <v>0.95</v>
      </c>
      <c r="J6" s="20" t="s">
        <v>148</v>
      </c>
      <c r="K6" s="80">
        <f>E7-H8</f>
        <v>98925.93882692905</v>
      </c>
    </row>
    <row r="7" spans="2:11" x14ac:dyDescent="0.35">
      <c r="B7" s="12">
        <v>107000</v>
      </c>
      <c r="D7" s="20" t="s">
        <v>46</v>
      </c>
      <c r="E7" s="80">
        <f>AVERAGE(B6:B58)</f>
        <v>119386.7924528302</v>
      </c>
      <c r="G7" s="20" t="s">
        <v>143</v>
      </c>
      <c r="H7" s="82">
        <f>1-H6</f>
        <v>5.0000000000000044E-2</v>
      </c>
      <c r="J7" s="20" t="s">
        <v>149</v>
      </c>
      <c r="K7" s="80">
        <f>E7+H8</f>
        <v>139847.64607873134</v>
      </c>
    </row>
    <row r="8" spans="2:11" x14ac:dyDescent="0.35">
      <c r="B8" s="12">
        <v>109000</v>
      </c>
      <c r="D8" s="20"/>
      <c r="E8" s="28"/>
      <c r="G8" s="20" t="s">
        <v>150</v>
      </c>
      <c r="H8" s="80">
        <f>_xlfn.CONFIDENCE.NORM(H7,E11,E6)</f>
        <v>20460.853625901145</v>
      </c>
    </row>
    <row r="9" spans="2:11" x14ac:dyDescent="0.35">
      <c r="B9" s="12">
        <v>148000</v>
      </c>
      <c r="D9" s="121" t="s">
        <v>140</v>
      </c>
      <c r="E9" s="121"/>
    </row>
    <row r="10" spans="2:11" x14ac:dyDescent="0.35">
      <c r="B10" s="12">
        <v>255500</v>
      </c>
      <c r="D10" s="20" t="s">
        <v>46</v>
      </c>
      <c r="E10" s="80">
        <v>101000</v>
      </c>
    </row>
    <row r="11" spans="2:11" x14ac:dyDescent="0.35">
      <c r="B11" s="12">
        <v>103500</v>
      </c>
      <c r="D11" s="20" t="s">
        <v>70</v>
      </c>
      <c r="E11" s="80">
        <v>76000</v>
      </c>
      <c r="G11" s="20"/>
    </row>
    <row r="12" spans="2:11" x14ac:dyDescent="0.35">
      <c r="B12" s="12">
        <v>114500</v>
      </c>
    </row>
    <row r="13" spans="2:11" x14ac:dyDescent="0.35">
      <c r="B13" s="12">
        <v>124000</v>
      </c>
    </row>
    <row r="14" spans="2:11" x14ac:dyDescent="0.35">
      <c r="B14" s="12">
        <v>132500</v>
      </c>
    </row>
    <row r="15" spans="2:11" x14ac:dyDescent="0.35">
      <c r="B15" s="12">
        <v>99000</v>
      </c>
    </row>
    <row r="16" spans="2:11" x14ac:dyDescent="0.35">
      <c r="B16" s="12">
        <v>124000</v>
      </c>
    </row>
    <row r="17" spans="2:2" x14ac:dyDescent="0.35">
      <c r="B17" s="12">
        <v>82000</v>
      </c>
    </row>
    <row r="18" spans="2:2" x14ac:dyDescent="0.35">
      <c r="B18" s="12">
        <v>185000</v>
      </c>
    </row>
    <row r="19" spans="2:2" x14ac:dyDescent="0.35">
      <c r="B19" s="12">
        <v>89500</v>
      </c>
    </row>
    <row r="20" spans="2:2" x14ac:dyDescent="0.35">
      <c r="B20" s="12">
        <v>91500</v>
      </c>
    </row>
    <row r="21" spans="2:2" x14ac:dyDescent="0.35">
      <c r="B21" s="12">
        <v>113500</v>
      </c>
    </row>
    <row r="22" spans="2:2" x14ac:dyDescent="0.35">
      <c r="B22" s="12">
        <v>99000</v>
      </c>
    </row>
    <row r="23" spans="2:2" x14ac:dyDescent="0.35">
      <c r="B23" s="12">
        <v>75500</v>
      </c>
    </row>
    <row r="24" spans="2:2" x14ac:dyDescent="0.35">
      <c r="B24" s="12">
        <v>86000</v>
      </c>
    </row>
    <row r="25" spans="2:2" x14ac:dyDescent="0.35">
      <c r="B25" s="12">
        <v>156500</v>
      </c>
    </row>
    <row r="26" spans="2:2" x14ac:dyDescent="0.35">
      <c r="B26" s="12">
        <v>99500</v>
      </c>
    </row>
    <row r="27" spans="2:2" x14ac:dyDescent="0.35">
      <c r="B27" s="12">
        <v>148000</v>
      </c>
    </row>
    <row r="28" spans="2:2" x14ac:dyDescent="0.35">
      <c r="B28" s="12">
        <v>82000</v>
      </c>
    </row>
    <row r="29" spans="2:2" x14ac:dyDescent="0.35">
      <c r="B29" s="12">
        <v>103500</v>
      </c>
    </row>
    <row r="30" spans="2:2" x14ac:dyDescent="0.35">
      <c r="B30" s="12">
        <v>205500</v>
      </c>
    </row>
    <row r="31" spans="2:2" x14ac:dyDescent="0.35">
      <c r="B31" s="12">
        <v>103500</v>
      </c>
    </row>
    <row r="32" spans="2:2" x14ac:dyDescent="0.35">
      <c r="B32" s="12">
        <v>340000</v>
      </c>
    </row>
    <row r="33" spans="2:2" x14ac:dyDescent="0.35">
      <c r="B33" s="12">
        <v>103500</v>
      </c>
    </row>
    <row r="34" spans="2:2" x14ac:dyDescent="0.35">
      <c r="B34" s="12">
        <v>99500</v>
      </c>
    </row>
    <row r="35" spans="2:2" x14ac:dyDescent="0.35">
      <c r="B35" s="12">
        <v>103000</v>
      </c>
    </row>
    <row r="36" spans="2:2" x14ac:dyDescent="0.35">
      <c r="B36" s="12">
        <v>103500</v>
      </c>
    </row>
    <row r="37" spans="2:2" x14ac:dyDescent="0.35">
      <c r="B37" s="12">
        <v>165000</v>
      </c>
    </row>
    <row r="38" spans="2:2" x14ac:dyDescent="0.35">
      <c r="B38" s="12">
        <v>124500</v>
      </c>
    </row>
    <row r="39" spans="2:2" x14ac:dyDescent="0.35">
      <c r="B39" s="12">
        <v>103500</v>
      </c>
    </row>
    <row r="40" spans="2:2" x14ac:dyDescent="0.35">
      <c r="B40" s="12">
        <v>82500</v>
      </c>
    </row>
    <row r="41" spans="2:2" x14ac:dyDescent="0.35">
      <c r="B41" s="12">
        <v>93000</v>
      </c>
    </row>
    <row r="42" spans="2:2" x14ac:dyDescent="0.35">
      <c r="B42" s="12">
        <v>168000</v>
      </c>
    </row>
    <row r="43" spans="2:2" x14ac:dyDescent="0.35">
      <c r="B43" s="12">
        <v>96000</v>
      </c>
    </row>
    <row r="44" spans="2:2" x14ac:dyDescent="0.35">
      <c r="B44" s="12">
        <v>80000</v>
      </c>
    </row>
    <row r="45" spans="2:2" x14ac:dyDescent="0.35">
      <c r="B45" s="12">
        <v>124500</v>
      </c>
    </row>
    <row r="46" spans="2:2" x14ac:dyDescent="0.35">
      <c r="B46" s="12">
        <v>99000</v>
      </c>
    </row>
    <row r="47" spans="2:2" x14ac:dyDescent="0.35">
      <c r="B47" s="12">
        <v>124000</v>
      </c>
    </row>
    <row r="48" spans="2:2" x14ac:dyDescent="0.35">
      <c r="B48" s="12">
        <v>91500</v>
      </c>
    </row>
    <row r="49" spans="2:2" x14ac:dyDescent="0.35">
      <c r="B49" s="12">
        <v>144500</v>
      </c>
    </row>
    <row r="50" spans="2:2" x14ac:dyDescent="0.35">
      <c r="B50" s="12">
        <v>114500</v>
      </c>
    </row>
    <row r="51" spans="2:2" x14ac:dyDescent="0.35">
      <c r="B51" s="12">
        <v>104500</v>
      </c>
    </row>
    <row r="52" spans="2:2" x14ac:dyDescent="0.35">
      <c r="B52" s="12">
        <v>124000</v>
      </c>
    </row>
    <row r="53" spans="2:2" x14ac:dyDescent="0.35">
      <c r="B53" s="12">
        <v>113000</v>
      </c>
    </row>
    <row r="54" spans="2:2" x14ac:dyDescent="0.35">
      <c r="B54" s="12">
        <v>78000</v>
      </c>
    </row>
    <row r="55" spans="2:2" x14ac:dyDescent="0.35">
      <c r="B55" s="12">
        <v>109000</v>
      </c>
    </row>
    <row r="56" spans="2:2" x14ac:dyDescent="0.35">
      <c r="B56" s="12">
        <v>99500</v>
      </c>
    </row>
    <row r="57" spans="2:2" x14ac:dyDescent="0.35">
      <c r="B57" s="12">
        <v>107000</v>
      </c>
    </row>
    <row r="58" spans="2:2" x14ac:dyDescent="0.35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  <headerFooter>
    <oddFooter>&amp;L3/20/2023&amp;CAXP Internal&amp;R28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M100"/>
  <sheetViews>
    <sheetView showGridLines="0" workbookViewId="0">
      <selection activeCell="I11" sqref="I11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3" ht="25.5" customHeight="1" x14ac:dyDescent="0.45">
      <c r="B1" s="18" t="s">
        <v>145</v>
      </c>
    </row>
    <row r="2" spans="2:13" ht="15" customHeight="1" x14ac:dyDescent="0.35">
      <c r="B2" s="30" t="s">
        <v>305</v>
      </c>
    </row>
    <row r="3" spans="2:13" ht="18" customHeight="1" x14ac:dyDescent="0.35">
      <c r="M3">
        <f>COUNT(B6:B100)</f>
        <v>95</v>
      </c>
    </row>
    <row r="4" spans="2:13" x14ac:dyDescent="0.35">
      <c r="D4" s="3" t="s">
        <v>54</v>
      </c>
      <c r="G4" s="3" t="s">
        <v>54</v>
      </c>
      <c r="J4" s="3" t="s">
        <v>54</v>
      </c>
      <c r="M4">
        <f>AVERAGE(B6:B100)</f>
        <v>289.34736842105264</v>
      </c>
    </row>
    <row r="5" spans="2:13" x14ac:dyDescent="0.35">
      <c r="B5" s="7" t="s">
        <v>23</v>
      </c>
      <c r="D5" s="121" t="s">
        <v>139</v>
      </c>
      <c r="E5" s="121"/>
      <c r="G5" s="121" t="s">
        <v>141</v>
      </c>
      <c r="H5" s="121"/>
      <c r="J5" s="121" t="s">
        <v>147</v>
      </c>
      <c r="K5" s="121"/>
      <c r="M5">
        <f>_xlfn.STDEV.S(B6:B7)</f>
        <v>94.752308678997366</v>
      </c>
    </row>
    <row r="6" spans="2:13" x14ac:dyDescent="0.35">
      <c r="B6" s="8">
        <v>276</v>
      </c>
      <c r="D6" s="20" t="s">
        <v>366</v>
      </c>
      <c r="E6" s="112"/>
      <c r="G6" s="20" t="s">
        <v>142</v>
      </c>
      <c r="H6" s="82">
        <v>0.9</v>
      </c>
      <c r="J6" s="20" t="s">
        <v>148</v>
      </c>
      <c r="K6" s="75">
        <f>M4-H11</f>
        <v>273.19795770629611</v>
      </c>
    </row>
    <row r="7" spans="2:13" x14ac:dyDescent="0.35">
      <c r="B7" s="8">
        <v>410</v>
      </c>
      <c r="D7" s="20" t="s">
        <v>46</v>
      </c>
      <c r="E7" s="72">
        <f>M4</f>
        <v>289.34736842105264</v>
      </c>
      <c r="G7" s="20" t="s">
        <v>143</v>
      </c>
      <c r="H7" s="82">
        <f>1-H6</f>
        <v>9.9999999999999978E-2</v>
      </c>
      <c r="J7" s="20" t="s">
        <v>149</v>
      </c>
      <c r="K7" s="75">
        <f>M4+H11</f>
        <v>305.49677913580916</v>
      </c>
    </row>
    <row r="8" spans="2:13" x14ac:dyDescent="0.35">
      <c r="B8" s="8">
        <v>119</v>
      </c>
      <c r="D8" s="20" t="s">
        <v>70</v>
      </c>
      <c r="E8" s="75">
        <f>M5</f>
        <v>94.752308678997366</v>
      </c>
      <c r="G8" s="20" t="s">
        <v>144</v>
      </c>
      <c r="H8" s="85">
        <f>H7/2</f>
        <v>4.9999999999999989E-2</v>
      </c>
    </row>
    <row r="9" spans="2:13" x14ac:dyDescent="0.35">
      <c r="B9" s="8">
        <v>334</v>
      </c>
      <c r="G9" s="20" t="s">
        <v>156</v>
      </c>
      <c r="H9" s="86">
        <f>ABS(_xlfn.T.INV(H8,M3-1))</f>
        <v>1.6612258552965111</v>
      </c>
    </row>
    <row r="10" spans="2:13" x14ac:dyDescent="0.35">
      <c r="B10" s="8">
        <v>252</v>
      </c>
      <c r="G10" s="20" t="s">
        <v>146</v>
      </c>
      <c r="H10" s="75">
        <f>M5/SQRT(M3)</f>
        <v>9.7213817514741567</v>
      </c>
    </row>
    <row r="11" spans="2:13" x14ac:dyDescent="0.35">
      <c r="B11" s="8">
        <v>209</v>
      </c>
      <c r="G11" s="20" t="s">
        <v>150</v>
      </c>
      <c r="H11" s="75">
        <f>H9*H10</f>
        <v>16.149410714756552</v>
      </c>
      <c r="I11" s="99">
        <f>_xlfn.CONFIDENCE.T(H7,E8,M3)</f>
        <v>16.149410714756552</v>
      </c>
    </row>
    <row r="12" spans="2:13" x14ac:dyDescent="0.35">
      <c r="B12" s="8">
        <v>462</v>
      </c>
    </row>
    <row r="13" spans="2:13" x14ac:dyDescent="0.35">
      <c r="B13" s="8">
        <v>342</v>
      </c>
    </row>
    <row r="14" spans="2:13" x14ac:dyDescent="0.35">
      <c r="B14" s="8">
        <v>347</v>
      </c>
    </row>
    <row r="15" spans="2:13" x14ac:dyDescent="0.35">
      <c r="B15" s="8">
        <v>313</v>
      </c>
    </row>
    <row r="16" spans="2:13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headerFooter>
    <oddFooter>&amp;L3/20/2023&amp;CAXP Internal&amp;R29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H7" sqref="H7"/>
    </sheetView>
  </sheetViews>
  <sheetFormatPr defaultRowHeight="14.5" x14ac:dyDescent="0.35"/>
  <cols>
    <col min="1" max="1" width="2.81640625" customWidth="1"/>
    <col min="2" max="2" width="13.1796875" bestFit="1" customWidth="1"/>
    <col min="4" max="4" width="12.179687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8" t="s">
        <v>151</v>
      </c>
    </row>
    <row r="2" spans="2:11" ht="15" customHeight="1" x14ac:dyDescent="0.35">
      <c r="B2" s="30" t="s">
        <v>305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35</v>
      </c>
      <c r="D5" s="121" t="s">
        <v>139</v>
      </c>
      <c r="E5" s="121"/>
      <c r="G5" s="121" t="s">
        <v>141</v>
      </c>
      <c r="H5" s="121"/>
      <c r="J5" s="121" t="s">
        <v>147</v>
      </c>
      <c r="K5" s="121"/>
    </row>
    <row r="6" spans="2:11" x14ac:dyDescent="0.35">
      <c r="B6" s="12">
        <v>111000</v>
      </c>
      <c r="D6" s="20" t="s">
        <v>71</v>
      </c>
      <c r="E6" s="71">
        <f>COUNT(B6:B58)</f>
        <v>53</v>
      </c>
      <c r="G6" s="20" t="s">
        <v>142</v>
      </c>
      <c r="H6" s="82">
        <v>0.8</v>
      </c>
      <c r="J6" s="20" t="s">
        <v>148</v>
      </c>
      <c r="K6" s="80">
        <f>E7-H8</f>
        <v>111265.76090747744</v>
      </c>
    </row>
    <row r="7" spans="2:11" x14ac:dyDescent="0.35">
      <c r="B7" s="12">
        <v>107000</v>
      </c>
      <c r="D7" s="20" t="s">
        <v>46</v>
      </c>
      <c r="E7" s="80">
        <f>AVERAGE(B6:B58)</f>
        <v>119386.7924528302</v>
      </c>
      <c r="G7" s="20" t="s">
        <v>143</v>
      </c>
      <c r="H7" s="82">
        <f>1-H6</f>
        <v>0.19999999999999996</v>
      </c>
      <c r="J7" s="20" t="s">
        <v>149</v>
      </c>
      <c r="K7" s="80">
        <f>E7+H8</f>
        <v>127507.82399818295</v>
      </c>
    </row>
    <row r="8" spans="2:11" x14ac:dyDescent="0.35">
      <c r="B8" s="12">
        <v>109000</v>
      </c>
      <c r="D8" s="20" t="s">
        <v>70</v>
      </c>
      <c r="E8" s="80">
        <f>_xlfn.STDEV.S(B6:B58)</f>
        <v>45546.958176470725</v>
      </c>
      <c r="G8" s="20" t="s">
        <v>150</v>
      </c>
      <c r="H8" s="80">
        <f>_xlfn.CONFIDENCE.T(H7,E8,E6)</f>
        <v>8121.0315453527564</v>
      </c>
    </row>
    <row r="9" spans="2:11" x14ac:dyDescent="0.35">
      <c r="B9" s="12">
        <v>148000</v>
      </c>
      <c r="G9" s="104" t="s">
        <v>370</v>
      </c>
      <c r="H9">
        <f>H7/2</f>
        <v>9.9999999999999978E-2</v>
      </c>
    </row>
    <row r="10" spans="2:11" x14ac:dyDescent="0.35">
      <c r="B10" s="12">
        <v>255500</v>
      </c>
      <c r="G10" s="104" t="s">
        <v>367</v>
      </c>
      <c r="H10" s="98">
        <f>ABS(_xlfn.T.INV(H9,E6-1))</f>
        <v>1.2980450162097479</v>
      </c>
    </row>
    <row r="11" spans="2:11" x14ac:dyDescent="0.35">
      <c r="B11" s="12">
        <v>103500</v>
      </c>
      <c r="G11" s="20" t="s">
        <v>368</v>
      </c>
      <c r="H11" s="98">
        <f>E8/SQRT(E6)</f>
        <v>6256.3558612673714</v>
      </c>
    </row>
    <row r="12" spans="2:11" x14ac:dyDescent="0.35">
      <c r="B12" s="12">
        <v>114500</v>
      </c>
      <c r="G12" s="104" t="s">
        <v>369</v>
      </c>
      <c r="H12" s="113">
        <f>H10*H11</f>
        <v>8121.0315453527564</v>
      </c>
    </row>
    <row r="13" spans="2:11" x14ac:dyDescent="0.35">
      <c r="B13" s="12">
        <v>124000</v>
      </c>
    </row>
    <row r="14" spans="2:11" x14ac:dyDescent="0.35">
      <c r="B14" s="12">
        <v>132500</v>
      </c>
    </row>
    <row r="15" spans="2:11" x14ac:dyDescent="0.35">
      <c r="B15" s="12">
        <v>99000</v>
      </c>
    </row>
    <row r="16" spans="2:11" x14ac:dyDescent="0.35">
      <c r="B16" s="12">
        <v>124000</v>
      </c>
    </row>
    <row r="17" spans="2:2" x14ac:dyDescent="0.35">
      <c r="B17" s="12">
        <v>82000</v>
      </c>
    </row>
    <row r="18" spans="2:2" x14ac:dyDescent="0.35">
      <c r="B18" s="12">
        <v>185000</v>
      </c>
    </row>
    <row r="19" spans="2:2" x14ac:dyDescent="0.35">
      <c r="B19" s="12">
        <v>89500</v>
      </c>
    </row>
    <row r="20" spans="2:2" x14ac:dyDescent="0.35">
      <c r="B20" s="12">
        <v>91500</v>
      </c>
    </row>
    <row r="21" spans="2:2" x14ac:dyDescent="0.35">
      <c r="B21" s="12">
        <v>113500</v>
      </c>
    </row>
    <row r="22" spans="2:2" x14ac:dyDescent="0.35">
      <c r="B22" s="12">
        <v>99000</v>
      </c>
    </row>
    <row r="23" spans="2:2" x14ac:dyDescent="0.35">
      <c r="B23" s="12">
        <v>75500</v>
      </c>
    </row>
    <row r="24" spans="2:2" x14ac:dyDescent="0.35">
      <c r="B24" s="12">
        <v>86000</v>
      </c>
    </row>
    <row r="25" spans="2:2" x14ac:dyDescent="0.35">
      <c r="B25" s="12">
        <v>156500</v>
      </c>
    </row>
    <row r="26" spans="2:2" x14ac:dyDescent="0.35">
      <c r="B26" s="12">
        <v>99500</v>
      </c>
    </row>
    <row r="27" spans="2:2" x14ac:dyDescent="0.35">
      <c r="B27" s="12">
        <v>148000</v>
      </c>
    </row>
    <row r="28" spans="2:2" x14ac:dyDescent="0.35">
      <c r="B28" s="12">
        <v>82000</v>
      </c>
    </row>
    <row r="29" spans="2:2" x14ac:dyDescent="0.35">
      <c r="B29" s="12">
        <v>103500</v>
      </c>
    </row>
    <row r="30" spans="2:2" x14ac:dyDescent="0.35">
      <c r="B30" s="12">
        <v>205500</v>
      </c>
    </row>
    <row r="31" spans="2:2" x14ac:dyDescent="0.35">
      <c r="B31" s="12">
        <v>103500</v>
      </c>
    </row>
    <row r="32" spans="2:2" x14ac:dyDescent="0.35">
      <c r="B32" s="12">
        <v>340000</v>
      </c>
    </row>
    <row r="33" spans="2:2" x14ac:dyDescent="0.35">
      <c r="B33" s="12">
        <v>103500</v>
      </c>
    </row>
    <row r="34" spans="2:2" x14ac:dyDescent="0.35">
      <c r="B34" s="12">
        <v>99500</v>
      </c>
    </row>
    <row r="35" spans="2:2" x14ac:dyDescent="0.35">
      <c r="B35" s="12">
        <v>103000</v>
      </c>
    </row>
    <row r="36" spans="2:2" x14ac:dyDescent="0.35">
      <c r="B36" s="12">
        <v>103500</v>
      </c>
    </row>
    <row r="37" spans="2:2" x14ac:dyDescent="0.35">
      <c r="B37" s="12">
        <v>165000</v>
      </c>
    </row>
    <row r="38" spans="2:2" x14ac:dyDescent="0.35">
      <c r="B38" s="12">
        <v>124500</v>
      </c>
    </row>
    <row r="39" spans="2:2" x14ac:dyDescent="0.35">
      <c r="B39" s="12">
        <v>103500</v>
      </c>
    </row>
    <row r="40" spans="2:2" x14ac:dyDescent="0.35">
      <c r="B40" s="12">
        <v>82500</v>
      </c>
    </row>
    <row r="41" spans="2:2" x14ac:dyDescent="0.35">
      <c r="B41" s="12">
        <v>93000</v>
      </c>
    </row>
    <row r="42" spans="2:2" x14ac:dyDescent="0.35">
      <c r="B42" s="12">
        <v>168000</v>
      </c>
    </row>
    <row r="43" spans="2:2" x14ac:dyDescent="0.35">
      <c r="B43" s="12">
        <v>96000</v>
      </c>
    </row>
    <row r="44" spans="2:2" x14ac:dyDescent="0.35">
      <c r="B44" s="12">
        <v>80000</v>
      </c>
    </row>
    <row r="45" spans="2:2" x14ac:dyDescent="0.35">
      <c r="B45" s="12">
        <v>124500</v>
      </c>
    </row>
    <row r="46" spans="2:2" x14ac:dyDescent="0.35">
      <c r="B46" s="12">
        <v>99000</v>
      </c>
    </row>
    <row r="47" spans="2:2" x14ac:dyDescent="0.35">
      <c r="B47" s="12">
        <v>124000</v>
      </c>
    </row>
    <row r="48" spans="2:2" x14ac:dyDescent="0.35">
      <c r="B48" s="12">
        <v>91500</v>
      </c>
    </row>
    <row r="49" spans="2:2" x14ac:dyDescent="0.35">
      <c r="B49" s="12">
        <v>144500</v>
      </c>
    </row>
    <row r="50" spans="2:2" x14ac:dyDescent="0.35">
      <c r="B50" s="12">
        <v>114500</v>
      </c>
    </row>
    <row r="51" spans="2:2" x14ac:dyDescent="0.35">
      <c r="B51" s="12">
        <v>104500</v>
      </c>
    </row>
    <row r="52" spans="2:2" x14ac:dyDescent="0.35">
      <c r="B52" s="12">
        <v>124000</v>
      </c>
    </row>
    <row r="53" spans="2:2" x14ac:dyDescent="0.35">
      <c r="B53" s="12">
        <v>113000</v>
      </c>
    </row>
    <row r="54" spans="2:2" x14ac:dyDescent="0.35">
      <c r="B54" s="12">
        <v>78000</v>
      </c>
    </row>
    <row r="55" spans="2:2" x14ac:dyDescent="0.35">
      <c r="B55" s="12">
        <v>109000</v>
      </c>
    </row>
    <row r="56" spans="2:2" x14ac:dyDescent="0.35">
      <c r="B56" s="12">
        <v>99500</v>
      </c>
    </row>
    <row r="57" spans="2:2" x14ac:dyDescent="0.35">
      <c r="B57" s="12">
        <v>107000</v>
      </c>
    </row>
    <row r="58" spans="2:2" x14ac:dyDescent="0.35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headerFooter>
    <oddFooter>&amp;L3/20/2023&amp;CAXP Internal&amp;R30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K7" sqref="K7"/>
    </sheetView>
  </sheetViews>
  <sheetFormatPr defaultRowHeight="14.5" x14ac:dyDescent="0.35"/>
  <cols>
    <col min="1" max="1" width="2.81640625" customWidth="1"/>
    <col min="2" max="2" width="17" customWidth="1"/>
    <col min="4" max="4" width="12.81640625" customWidth="1"/>
    <col min="5" max="5" width="11.453125" customWidth="1"/>
    <col min="7" max="7" width="20" customWidth="1"/>
    <col min="8" max="8" width="10.3632812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39" t="s">
        <v>160</v>
      </c>
    </row>
    <row r="2" spans="2:11" ht="15" customHeight="1" x14ac:dyDescent="0.35">
      <c r="B2" s="30" t="s">
        <v>161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21</v>
      </c>
      <c r="D5" s="121" t="s">
        <v>139</v>
      </c>
      <c r="E5" s="121"/>
      <c r="G5" s="121" t="s">
        <v>141</v>
      </c>
      <c r="H5" s="121"/>
      <c r="J5" s="121" t="s">
        <v>147</v>
      </c>
      <c r="K5" s="121"/>
    </row>
    <row r="6" spans="2:11" x14ac:dyDescent="0.35">
      <c r="B6" s="8" t="s">
        <v>25</v>
      </c>
      <c r="D6" s="20" t="s">
        <v>71</v>
      </c>
      <c r="E6" s="71">
        <f>COUNTA(B6:B100)</f>
        <v>95</v>
      </c>
      <c r="G6" s="20" t="s">
        <v>142</v>
      </c>
      <c r="H6" s="82">
        <v>0.9</v>
      </c>
      <c r="J6" s="20" t="s">
        <v>148</v>
      </c>
      <c r="K6" s="82">
        <f>E7-H11</f>
        <v>0.23468857169733498</v>
      </c>
    </row>
    <row r="7" spans="2:11" x14ac:dyDescent="0.35">
      <c r="B7" s="8" t="s">
        <v>25</v>
      </c>
      <c r="D7" s="20" t="s">
        <v>158</v>
      </c>
      <c r="E7" s="75">
        <f>COUNTIF(B6:B100,"Yes")/COUNTA(B6:B100)</f>
        <v>0.24210526315789474</v>
      </c>
      <c r="G7" s="20" t="s">
        <v>143</v>
      </c>
      <c r="H7" s="82">
        <f>1-H6</f>
        <v>9.9999999999999978E-2</v>
      </c>
      <c r="J7" s="20" t="s">
        <v>149</v>
      </c>
      <c r="K7" s="82">
        <f>E7+H11</f>
        <v>0.2495219546184545</v>
      </c>
    </row>
    <row r="8" spans="2:11" x14ac:dyDescent="0.35">
      <c r="B8" s="8" t="s">
        <v>27</v>
      </c>
      <c r="D8" s="20" t="s">
        <v>159</v>
      </c>
      <c r="E8" s="75">
        <f>1-E7</f>
        <v>0.75789473684210529</v>
      </c>
      <c r="G8" s="20" t="s">
        <v>144</v>
      </c>
      <c r="H8" s="85">
        <f>H7/2</f>
        <v>4.9999999999999989E-2</v>
      </c>
    </row>
    <row r="9" spans="2:11" x14ac:dyDescent="0.35">
      <c r="B9" s="8" t="s">
        <v>25</v>
      </c>
      <c r="G9" s="20" t="s">
        <v>152</v>
      </c>
      <c r="H9" s="86">
        <f>ABS(_xlfn.NORM.S.INV(H8))</f>
        <v>1.6448536269514726</v>
      </c>
    </row>
    <row r="10" spans="2:11" x14ac:dyDescent="0.35">
      <c r="B10" s="8" t="s">
        <v>25</v>
      </c>
      <c r="D10" s="121" t="s">
        <v>163</v>
      </c>
      <c r="E10" s="121"/>
      <c r="G10" s="20" t="s">
        <v>146</v>
      </c>
      <c r="H10" s="114">
        <f>SQRT(E7*E8)/E6</f>
        <v>4.5090282436289876E-3</v>
      </c>
    </row>
    <row r="11" spans="2:11" x14ac:dyDescent="0.35">
      <c r="B11" s="8" t="s">
        <v>25</v>
      </c>
      <c r="D11" s="20" t="s">
        <v>164</v>
      </c>
      <c r="E11" s="71"/>
      <c r="G11" s="20" t="s">
        <v>150</v>
      </c>
      <c r="H11" s="87">
        <f>H9*H10</f>
        <v>7.4166914605597687E-3</v>
      </c>
    </row>
    <row r="12" spans="2:11" x14ac:dyDescent="0.35">
      <c r="B12" s="8" t="s">
        <v>25</v>
      </c>
      <c r="D12" s="20" t="s">
        <v>165</v>
      </c>
      <c r="E12" s="71"/>
    </row>
    <row r="13" spans="2:11" x14ac:dyDescent="0.35">
      <c r="B13" s="8" t="s">
        <v>25</v>
      </c>
    </row>
    <row r="14" spans="2:11" x14ac:dyDescent="0.35">
      <c r="B14" s="8" t="s">
        <v>25</v>
      </c>
    </row>
    <row r="15" spans="2:11" x14ac:dyDescent="0.35">
      <c r="B15" s="8" t="s">
        <v>25</v>
      </c>
    </row>
    <row r="16" spans="2:11" x14ac:dyDescent="0.35">
      <c r="B16" s="8" t="s">
        <v>25</v>
      </c>
    </row>
    <row r="17" spans="2:2" x14ac:dyDescent="0.35">
      <c r="B17" s="8" t="s">
        <v>25</v>
      </c>
    </row>
    <row r="18" spans="2:2" x14ac:dyDescent="0.35">
      <c r="B18" s="8" t="s">
        <v>25</v>
      </c>
    </row>
    <row r="19" spans="2:2" x14ac:dyDescent="0.35">
      <c r="B19" s="8" t="s">
        <v>25</v>
      </c>
    </row>
    <row r="20" spans="2:2" x14ac:dyDescent="0.35">
      <c r="B20" s="8" t="s">
        <v>25</v>
      </c>
    </row>
    <row r="21" spans="2:2" x14ac:dyDescent="0.35">
      <c r="B21" s="8" t="s">
        <v>25</v>
      </c>
    </row>
    <row r="22" spans="2:2" x14ac:dyDescent="0.35">
      <c r="B22" s="8" t="s">
        <v>27</v>
      </c>
    </row>
    <row r="23" spans="2:2" x14ac:dyDescent="0.35">
      <c r="B23" s="8" t="s">
        <v>25</v>
      </c>
    </row>
    <row r="24" spans="2:2" x14ac:dyDescent="0.35">
      <c r="B24" s="8" t="s">
        <v>25</v>
      </c>
    </row>
    <row r="25" spans="2:2" x14ac:dyDescent="0.35">
      <c r="B25" s="8" t="s">
        <v>25</v>
      </c>
    </row>
    <row r="26" spans="2:2" x14ac:dyDescent="0.35">
      <c r="B26" s="8" t="s">
        <v>25</v>
      </c>
    </row>
    <row r="27" spans="2:2" x14ac:dyDescent="0.35">
      <c r="B27" s="8" t="s">
        <v>25</v>
      </c>
    </row>
    <row r="28" spans="2:2" x14ac:dyDescent="0.35">
      <c r="B28" s="8" t="s">
        <v>25</v>
      </c>
    </row>
    <row r="29" spans="2:2" x14ac:dyDescent="0.35">
      <c r="B29" s="8" t="s">
        <v>25</v>
      </c>
    </row>
    <row r="30" spans="2:2" x14ac:dyDescent="0.35">
      <c r="B30" s="8" t="s">
        <v>25</v>
      </c>
    </row>
    <row r="31" spans="2:2" x14ac:dyDescent="0.35">
      <c r="B31" s="8" t="s">
        <v>25</v>
      </c>
    </row>
    <row r="32" spans="2:2" x14ac:dyDescent="0.35">
      <c r="B32" s="8" t="s">
        <v>25</v>
      </c>
    </row>
    <row r="33" spans="2:2" x14ac:dyDescent="0.35">
      <c r="B33" s="8" t="s">
        <v>25</v>
      </c>
    </row>
    <row r="34" spans="2:2" x14ac:dyDescent="0.35">
      <c r="B34" s="8" t="s">
        <v>25</v>
      </c>
    </row>
    <row r="35" spans="2:2" x14ac:dyDescent="0.35">
      <c r="B35" s="8" t="s">
        <v>25</v>
      </c>
    </row>
    <row r="36" spans="2:2" x14ac:dyDescent="0.35">
      <c r="B36" s="8" t="s">
        <v>25</v>
      </c>
    </row>
    <row r="37" spans="2:2" x14ac:dyDescent="0.35">
      <c r="B37" s="8" t="s">
        <v>25</v>
      </c>
    </row>
    <row r="38" spans="2:2" x14ac:dyDescent="0.35">
      <c r="B38" s="8" t="s">
        <v>25</v>
      </c>
    </row>
    <row r="39" spans="2:2" x14ac:dyDescent="0.35">
      <c r="B39" s="8" t="s">
        <v>27</v>
      </c>
    </row>
    <row r="40" spans="2:2" x14ac:dyDescent="0.35">
      <c r="B40" s="8" t="s">
        <v>25</v>
      </c>
    </row>
    <row r="41" spans="2:2" x14ac:dyDescent="0.35">
      <c r="B41" s="8" t="s">
        <v>25</v>
      </c>
    </row>
    <row r="42" spans="2:2" x14ac:dyDescent="0.35">
      <c r="B42" s="8" t="s">
        <v>27</v>
      </c>
    </row>
    <row r="43" spans="2:2" x14ac:dyDescent="0.35">
      <c r="B43" s="8" t="s">
        <v>25</v>
      </c>
    </row>
    <row r="44" spans="2:2" x14ac:dyDescent="0.35">
      <c r="B44" s="8" t="s">
        <v>25</v>
      </c>
    </row>
    <row r="45" spans="2:2" x14ac:dyDescent="0.35">
      <c r="B45" s="8" t="s">
        <v>27</v>
      </c>
    </row>
    <row r="46" spans="2:2" x14ac:dyDescent="0.35">
      <c r="B46" s="8" t="s">
        <v>25</v>
      </c>
    </row>
    <row r="47" spans="2:2" x14ac:dyDescent="0.35">
      <c r="B47" s="8" t="s">
        <v>27</v>
      </c>
    </row>
    <row r="48" spans="2:2" x14ac:dyDescent="0.35">
      <c r="B48" s="8" t="s">
        <v>27</v>
      </c>
    </row>
    <row r="49" spans="2:2" x14ac:dyDescent="0.35">
      <c r="B49" s="8" t="s">
        <v>25</v>
      </c>
    </row>
    <row r="50" spans="2:2" x14ac:dyDescent="0.35">
      <c r="B50" s="8" t="s">
        <v>25</v>
      </c>
    </row>
    <row r="51" spans="2:2" x14ac:dyDescent="0.35">
      <c r="B51" s="8" t="s">
        <v>27</v>
      </c>
    </row>
    <row r="52" spans="2:2" x14ac:dyDescent="0.35">
      <c r="B52" s="8" t="s">
        <v>25</v>
      </c>
    </row>
    <row r="53" spans="2:2" x14ac:dyDescent="0.35">
      <c r="B53" s="8" t="s">
        <v>25</v>
      </c>
    </row>
    <row r="54" spans="2:2" x14ac:dyDescent="0.35">
      <c r="B54" s="8" t="s">
        <v>25</v>
      </c>
    </row>
    <row r="55" spans="2:2" x14ac:dyDescent="0.35">
      <c r="B55" s="8" t="s">
        <v>25</v>
      </c>
    </row>
    <row r="56" spans="2:2" x14ac:dyDescent="0.35">
      <c r="B56" s="8" t="s">
        <v>27</v>
      </c>
    </row>
    <row r="57" spans="2:2" x14ac:dyDescent="0.35">
      <c r="B57" s="8" t="s">
        <v>25</v>
      </c>
    </row>
    <row r="58" spans="2:2" x14ac:dyDescent="0.35">
      <c r="B58" s="8" t="s">
        <v>27</v>
      </c>
    </row>
    <row r="59" spans="2:2" x14ac:dyDescent="0.35">
      <c r="B59" s="8" t="s">
        <v>27</v>
      </c>
    </row>
    <row r="60" spans="2:2" x14ac:dyDescent="0.35">
      <c r="B60" s="8" t="s">
        <v>27</v>
      </c>
    </row>
    <row r="61" spans="2:2" x14ac:dyDescent="0.35">
      <c r="B61" s="8" t="s">
        <v>25</v>
      </c>
    </row>
    <row r="62" spans="2:2" x14ac:dyDescent="0.35">
      <c r="B62" s="8" t="s">
        <v>27</v>
      </c>
    </row>
    <row r="63" spans="2:2" x14ac:dyDescent="0.35">
      <c r="B63" s="8" t="s">
        <v>27</v>
      </c>
    </row>
    <row r="64" spans="2:2" x14ac:dyDescent="0.35">
      <c r="B64" s="8" t="s">
        <v>27</v>
      </c>
    </row>
    <row r="65" spans="2:2" x14ac:dyDescent="0.35">
      <c r="B65" s="8" t="s">
        <v>25</v>
      </c>
    </row>
    <row r="66" spans="2:2" x14ac:dyDescent="0.35">
      <c r="B66" s="8" t="s">
        <v>25</v>
      </c>
    </row>
    <row r="67" spans="2:2" x14ac:dyDescent="0.35">
      <c r="B67" s="8" t="s">
        <v>25</v>
      </c>
    </row>
    <row r="68" spans="2:2" x14ac:dyDescent="0.35">
      <c r="B68" s="8" t="s">
        <v>25</v>
      </c>
    </row>
    <row r="69" spans="2:2" x14ac:dyDescent="0.35">
      <c r="B69" s="8" t="s">
        <v>25</v>
      </c>
    </row>
    <row r="70" spans="2:2" x14ac:dyDescent="0.35">
      <c r="B70" s="8" t="s">
        <v>27</v>
      </c>
    </row>
    <row r="71" spans="2:2" x14ac:dyDescent="0.35">
      <c r="B71" s="8" t="s">
        <v>27</v>
      </c>
    </row>
    <row r="72" spans="2:2" x14ac:dyDescent="0.35">
      <c r="B72" s="8" t="s">
        <v>27</v>
      </c>
    </row>
    <row r="73" spans="2:2" x14ac:dyDescent="0.35">
      <c r="B73" s="8" t="s">
        <v>25</v>
      </c>
    </row>
    <row r="74" spans="2:2" x14ac:dyDescent="0.35">
      <c r="B74" s="8" t="s">
        <v>27</v>
      </c>
    </row>
    <row r="75" spans="2:2" x14ac:dyDescent="0.35">
      <c r="B75" s="8" t="s">
        <v>25</v>
      </c>
    </row>
    <row r="76" spans="2:2" x14ac:dyDescent="0.35">
      <c r="B76" s="8" t="s">
        <v>27</v>
      </c>
    </row>
    <row r="77" spans="2:2" x14ac:dyDescent="0.35">
      <c r="B77" s="8" t="s">
        <v>27</v>
      </c>
    </row>
    <row r="78" spans="2:2" x14ac:dyDescent="0.35">
      <c r="B78" s="8" t="s">
        <v>25</v>
      </c>
    </row>
    <row r="79" spans="2:2" x14ac:dyDescent="0.35">
      <c r="B79" s="8" t="s">
        <v>25</v>
      </c>
    </row>
    <row r="80" spans="2:2" x14ac:dyDescent="0.35">
      <c r="B80" s="8" t="s">
        <v>25</v>
      </c>
    </row>
    <row r="81" spans="2:2" x14ac:dyDescent="0.35">
      <c r="B81" s="8" t="s">
        <v>25</v>
      </c>
    </row>
    <row r="82" spans="2:2" x14ac:dyDescent="0.35">
      <c r="B82" s="8" t="s">
        <v>25</v>
      </c>
    </row>
    <row r="83" spans="2:2" x14ac:dyDescent="0.35">
      <c r="B83" s="8" t="s">
        <v>25</v>
      </c>
    </row>
    <row r="84" spans="2:2" x14ac:dyDescent="0.35">
      <c r="B84" s="8" t="s">
        <v>25</v>
      </c>
    </row>
    <row r="85" spans="2:2" x14ac:dyDescent="0.35">
      <c r="B85" s="8" t="s">
        <v>25</v>
      </c>
    </row>
    <row r="86" spans="2:2" x14ac:dyDescent="0.35">
      <c r="B86" s="8" t="s">
        <v>25</v>
      </c>
    </row>
    <row r="87" spans="2:2" x14ac:dyDescent="0.35">
      <c r="B87" s="8" t="s">
        <v>25</v>
      </c>
    </row>
    <row r="88" spans="2:2" x14ac:dyDescent="0.35">
      <c r="B88" s="8" t="s">
        <v>25</v>
      </c>
    </row>
    <row r="89" spans="2:2" x14ac:dyDescent="0.35">
      <c r="B89" s="8" t="s">
        <v>25</v>
      </c>
    </row>
    <row r="90" spans="2:2" x14ac:dyDescent="0.35">
      <c r="B90" s="8" t="s">
        <v>27</v>
      </c>
    </row>
    <row r="91" spans="2:2" x14ac:dyDescent="0.35">
      <c r="B91" s="8" t="s">
        <v>27</v>
      </c>
    </row>
    <row r="92" spans="2:2" x14ac:dyDescent="0.35">
      <c r="B92" s="8" t="s">
        <v>25</v>
      </c>
    </row>
    <row r="93" spans="2:2" x14ac:dyDescent="0.35">
      <c r="B93" s="8" t="s">
        <v>25</v>
      </c>
    </row>
    <row r="94" spans="2:2" x14ac:dyDescent="0.35">
      <c r="B94" s="8" t="s">
        <v>25</v>
      </c>
    </row>
    <row r="95" spans="2:2" x14ac:dyDescent="0.35">
      <c r="B95" s="8" t="s">
        <v>25</v>
      </c>
    </row>
    <row r="96" spans="2:2" x14ac:dyDescent="0.35">
      <c r="B96" s="8" t="s">
        <v>25</v>
      </c>
    </row>
    <row r="97" spans="2:2" x14ac:dyDescent="0.35">
      <c r="B97" s="8" t="s">
        <v>25</v>
      </c>
    </row>
    <row r="98" spans="2:2" x14ac:dyDescent="0.35">
      <c r="B98" s="8" t="s">
        <v>25</v>
      </c>
    </row>
    <row r="99" spans="2:2" x14ac:dyDescent="0.35">
      <c r="B99" s="8" t="s">
        <v>25</v>
      </c>
    </row>
    <row r="100" spans="2:2" x14ac:dyDescent="0.35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headerFooter>
    <oddFooter>&amp;L3/20/2023&amp;CAXP Internal&amp;R31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K8" sqref="K8"/>
    </sheetView>
  </sheetViews>
  <sheetFormatPr defaultRowHeight="14.5" x14ac:dyDescent="0.35"/>
  <cols>
    <col min="1" max="1" width="2.81640625" customWidth="1"/>
    <col min="2" max="2" width="11.453125" customWidth="1"/>
    <col min="4" max="4" width="12.81640625" customWidth="1"/>
    <col min="5" max="5" width="11.453125" customWidth="1"/>
    <col min="7" max="7" width="20" customWidth="1"/>
    <col min="8" max="8" width="9.54296875" bestFit="1" customWidth="1"/>
    <col min="10" max="10" width="14.26953125" customWidth="1"/>
    <col min="11" max="11" width="11.453125" customWidth="1"/>
  </cols>
  <sheetData>
    <row r="1" spans="2:11" ht="25.5" customHeight="1" x14ac:dyDescent="0.45">
      <c r="B1" s="18" t="s">
        <v>162</v>
      </c>
    </row>
    <row r="2" spans="2:11" ht="15" customHeight="1" x14ac:dyDescent="0.35">
      <c r="B2" s="30" t="s">
        <v>161</v>
      </c>
    </row>
    <row r="3" spans="2:11" ht="18" customHeight="1" x14ac:dyDescent="0.35"/>
    <row r="4" spans="2:11" x14ac:dyDescent="0.35">
      <c r="D4" s="3" t="s">
        <v>54</v>
      </c>
      <c r="G4" s="3" t="s">
        <v>54</v>
      </c>
      <c r="J4" s="3" t="s">
        <v>54</v>
      </c>
    </row>
    <row r="5" spans="2:11" x14ac:dyDescent="0.35">
      <c r="B5" s="7" t="s">
        <v>12</v>
      </c>
      <c r="D5" s="121" t="s">
        <v>139</v>
      </c>
      <c r="E5" s="121"/>
      <c r="G5" s="121" t="s">
        <v>141</v>
      </c>
      <c r="H5" s="121"/>
      <c r="J5" s="121" t="s">
        <v>147</v>
      </c>
      <c r="K5" s="121"/>
    </row>
    <row r="6" spans="2:11" x14ac:dyDescent="0.35">
      <c r="B6" s="8" t="s">
        <v>13</v>
      </c>
      <c r="D6" s="20" t="s">
        <v>71</v>
      </c>
      <c r="E6" s="71">
        <f>COUNTA(B6:B100)</f>
        <v>95</v>
      </c>
      <c r="G6" s="20" t="s">
        <v>142</v>
      </c>
      <c r="H6" s="82">
        <v>0.95</v>
      </c>
      <c r="J6" s="20" t="s">
        <v>148</v>
      </c>
      <c r="K6" s="82">
        <f>E7-H11</f>
        <v>0.45802698737891206</v>
      </c>
    </row>
    <row r="7" spans="2:11" x14ac:dyDescent="0.35">
      <c r="B7" s="8" t="s">
        <v>14</v>
      </c>
      <c r="D7" s="20" t="s">
        <v>158</v>
      </c>
      <c r="E7" s="87">
        <f>COUNTIF(B6:B100,"Placed")/E6</f>
        <v>0.55789473684210522</v>
      </c>
      <c r="G7" s="20" t="s">
        <v>143</v>
      </c>
      <c r="H7" s="82">
        <f>1-H6</f>
        <v>5.0000000000000044E-2</v>
      </c>
      <c r="J7" s="20" t="s">
        <v>149</v>
      </c>
      <c r="K7" s="82">
        <f>E7+H11</f>
        <v>0.65776248630529843</v>
      </c>
    </row>
    <row r="8" spans="2:11" x14ac:dyDescent="0.35">
      <c r="B8" s="8" t="s">
        <v>13</v>
      </c>
      <c r="D8" s="20" t="s">
        <v>159</v>
      </c>
      <c r="E8" s="87">
        <f>1-E7</f>
        <v>0.44210526315789478</v>
      </c>
      <c r="G8" s="20" t="s">
        <v>144</v>
      </c>
      <c r="H8" s="85">
        <f>H7/2</f>
        <v>2.5000000000000022E-2</v>
      </c>
    </row>
    <row r="9" spans="2:11" x14ac:dyDescent="0.35">
      <c r="B9" s="8" t="s">
        <v>14</v>
      </c>
      <c r="G9" s="20" t="s">
        <v>152</v>
      </c>
      <c r="H9" s="86">
        <f>ABS(_xlfn.NORM.S.INV(H8))</f>
        <v>1.9599639845400536</v>
      </c>
    </row>
    <row r="10" spans="2:11" x14ac:dyDescent="0.35">
      <c r="B10" s="8" t="s">
        <v>14</v>
      </c>
      <c r="D10" s="121" t="s">
        <v>163</v>
      </c>
      <c r="E10" s="121"/>
      <c r="G10" s="20" t="s">
        <v>146</v>
      </c>
      <c r="H10" s="87">
        <f>SQRT(E7*E8/E6)</f>
        <v>5.0953869688901053E-2</v>
      </c>
    </row>
    <row r="11" spans="2:11" x14ac:dyDescent="0.35">
      <c r="B11" s="8" t="s">
        <v>14</v>
      </c>
      <c r="D11" s="20" t="s">
        <v>164</v>
      </c>
      <c r="E11" s="71"/>
      <c r="G11" s="20" t="s">
        <v>150</v>
      </c>
      <c r="H11" s="87">
        <f>H9*H10</f>
        <v>9.986774946319317E-2</v>
      </c>
    </row>
    <row r="12" spans="2:11" x14ac:dyDescent="0.35">
      <c r="B12" s="8" t="s">
        <v>13</v>
      </c>
      <c r="D12" s="20" t="s">
        <v>165</v>
      </c>
      <c r="E12" s="71"/>
    </row>
    <row r="13" spans="2:11" x14ac:dyDescent="0.35">
      <c r="B13" s="8" t="s">
        <v>13</v>
      </c>
      <c r="D13" s="20"/>
      <c r="E13" s="38"/>
    </row>
    <row r="14" spans="2:11" x14ac:dyDescent="0.35">
      <c r="B14" s="8" t="s">
        <v>13</v>
      </c>
    </row>
    <row r="15" spans="2:11" x14ac:dyDescent="0.35">
      <c r="B15" s="8" t="s">
        <v>13</v>
      </c>
    </row>
    <row r="16" spans="2:11" x14ac:dyDescent="0.35">
      <c r="B16" s="8" t="s">
        <v>14</v>
      </c>
    </row>
    <row r="17" spans="2:2" x14ac:dyDescent="0.35">
      <c r="B17" s="8" t="s">
        <v>13</v>
      </c>
    </row>
    <row r="18" spans="2:2" x14ac:dyDescent="0.35">
      <c r="B18" s="8" t="s">
        <v>14</v>
      </c>
    </row>
    <row r="19" spans="2:2" x14ac:dyDescent="0.35">
      <c r="B19" s="8" t="s">
        <v>13</v>
      </c>
    </row>
    <row r="20" spans="2:2" x14ac:dyDescent="0.35">
      <c r="B20" s="8" t="s">
        <v>13</v>
      </c>
    </row>
    <row r="21" spans="2:2" x14ac:dyDescent="0.35">
      <c r="B21" s="8" t="s">
        <v>13</v>
      </c>
    </row>
    <row r="22" spans="2:2" x14ac:dyDescent="0.35">
      <c r="B22" s="8" t="s">
        <v>14</v>
      </c>
    </row>
    <row r="23" spans="2:2" x14ac:dyDescent="0.35">
      <c r="B23" s="8" t="s">
        <v>13</v>
      </c>
    </row>
    <row r="24" spans="2:2" x14ac:dyDescent="0.35">
      <c r="B24" s="8" t="s">
        <v>14</v>
      </c>
    </row>
    <row r="25" spans="2:2" x14ac:dyDescent="0.35">
      <c r="B25" s="8" t="s">
        <v>14</v>
      </c>
    </row>
    <row r="26" spans="2:2" x14ac:dyDescent="0.35">
      <c r="B26" s="8" t="s">
        <v>14</v>
      </c>
    </row>
    <row r="27" spans="2:2" x14ac:dyDescent="0.35">
      <c r="B27" s="8" t="s">
        <v>13</v>
      </c>
    </row>
    <row r="28" spans="2:2" x14ac:dyDescent="0.35">
      <c r="B28" s="8" t="s">
        <v>14</v>
      </c>
    </row>
    <row r="29" spans="2:2" x14ac:dyDescent="0.35">
      <c r="B29" s="8" t="s">
        <v>14</v>
      </c>
    </row>
    <row r="30" spans="2:2" x14ac:dyDescent="0.35">
      <c r="B30" s="8" t="s">
        <v>13</v>
      </c>
    </row>
    <row r="31" spans="2:2" x14ac:dyDescent="0.35">
      <c r="B31" s="8" t="s">
        <v>13</v>
      </c>
    </row>
    <row r="32" spans="2:2" x14ac:dyDescent="0.35">
      <c r="B32" s="8" t="s">
        <v>13</v>
      </c>
    </row>
    <row r="33" spans="2:2" x14ac:dyDescent="0.35">
      <c r="B33" s="8" t="s">
        <v>14</v>
      </c>
    </row>
    <row r="34" spans="2:2" x14ac:dyDescent="0.35">
      <c r="B34" s="8" t="s">
        <v>14</v>
      </c>
    </row>
    <row r="35" spans="2:2" x14ac:dyDescent="0.35">
      <c r="B35" s="8" t="s">
        <v>13</v>
      </c>
    </row>
    <row r="36" spans="2:2" x14ac:dyDescent="0.35">
      <c r="B36" s="8" t="s">
        <v>14</v>
      </c>
    </row>
    <row r="37" spans="2:2" x14ac:dyDescent="0.35">
      <c r="B37" s="8" t="s">
        <v>14</v>
      </c>
    </row>
    <row r="38" spans="2:2" x14ac:dyDescent="0.35">
      <c r="B38" s="8" t="s">
        <v>14</v>
      </c>
    </row>
    <row r="39" spans="2:2" x14ac:dyDescent="0.35">
      <c r="B39" s="8" t="s">
        <v>13</v>
      </c>
    </row>
    <row r="40" spans="2:2" x14ac:dyDescent="0.35">
      <c r="B40" s="8" t="s">
        <v>14</v>
      </c>
    </row>
    <row r="41" spans="2:2" x14ac:dyDescent="0.35">
      <c r="B41" s="8" t="s">
        <v>13</v>
      </c>
    </row>
    <row r="42" spans="2:2" x14ac:dyDescent="0.35">
      <c r="B42" s="8" t="s">
        <v>13</v>
      </c>
    </row>
    <row r="43" spans="2:2" x14ac:dyDescent="0.35">
      <c r="B43" s="8" t="s">
        <v>14</v>
      </c>
    </row>
    <row r="44" spans="2:2" x14ac:dyDescent="0.35">
      <c r="B44" s="8" t="s">
        <v>14</v>
      </c>
    </row>
    <row r="45" spans="2:2" x14ac:dyDescent="0.35">
      <c r="B45" s="8" t="s">
        <v>14</v>
      </c>
    </row>
    <row r="46" spans="2:2" x14ac:dyDescent="0.35">
      <c r="B46" s="8" t="s">
        <v>13</v>
      </c>
    </row>
    <row r="47" spans="2:2" x14ac:dyDescent="0.35">
      <c r="B47" s="8" t="s">
        <v>13</v>
      </c>
    </row>
    <row r="48" spans="2:2" x14ac:dyDescent="0.35">
      <c r="B48" s="8" t="s">
        <v>13</v>
      </c>
    </row>
    <row r="49" spans="2:2" x14ac:dyDescent="0.35">
      <c r="B49" s="8" t="s">
        <v>14</v>
      </c>
    </row>
    <row r="50" spans="2:2" x14ac:dyDescent="0.35">
      <c r="B50" s="8" t="s">
        <v>13</v>
      </c>
    </row>
    <row r="51" spans="2:2" x14ac:dyDescent="0.35">
      <c r="B51" s="8" t="s">
        <v>14</v>
      </c>
    </row>
    <row r="52" spans="2:2" x14ac:dyDescent="0.35">
      <c r="B52" s="8" t="s">
        <v>13</v>
      </c>
    </row>
    <row r="53" spans="2:2" x14ac:dyDescent="0.35">
      <c r="B53" s="8" t="s">
        <v>14</v>
      </c>
    </row>
    <row r="54" spans="2:2" x14ac:dyDescent="0.35">
      <c r="B54" s="8" t="s">
        <v>13</v>
      </c>
    </row>
    <row r="55" spans="2:2" x14ac:dyDescent="0.35">
      <c r="B55" s="8" t="s">
        <v>13</v>
      </c>
    </row>
    <row r="56" spans="2:2" x14ac:dyDescent="0.35">
      <c r="B56" s="8" t="s">
        <v>13</v>
      </c>
    </row>
    <row r="57" spans="2:2" x14ac:dyDescent="0.35">
      <c r="B57" s="8" t="s">
        <v>14</v>
      </c>
    </row>
    <row r="58" spans="2:2" x14ac:dyDescent="0.35">
      <c r="B58" s="8" t="s">
        <v>13</v>
      </c>
    </row>
    <row r="59" spans="2:2" x14ac:dyDescent="0.35">
      <c r="B59" s="8" t="s">
        <v>13</v>
      </c>
    </row>
    <row r="60" spans="2:2" x14ac:dyDescent="0.35">
      <c r="B60" s="8" t="s">
        <v>13</v>
      </c>
    </row>
    <row r="61" spans="2:2" x14ac:dyDescent="0.35">
      <c r="B61" s="8" t="s">
        <v>13</v>
      </c>
    </row>
    <row r="62" spans="2:2" x14ac:dyDescent="0.35">
      <c r="B62" s="8" t="s">
        <v>13</v>
      </c>
    </row>
    <row r="63" spans="2:2" x14ac:dyDescent="0.35">
      <c r="B63" s="8" t="s">
        <v>13</v>
      </c>
    </row>
    <row r="64" spans="2:2" x14ac:dyDescent="0.35">
      <c r="B64" s="8" t="s">
        <v>13</v>
      </c>
    </row>
    <row r="65" spans="2:2" x14ac:dyDescent="0.35">
      <c r="B65" s="8" t="s">
        <v>13</v>
      </c>
    </row>
    <row r="66" spans="2:2" x14ac:dyDescent="0.35">
      <c r="B66" s="8" t="s">
        <v>13</v>
      </c>
    </row>
    <row r="67" spans="2:2" x14ac:dyDescent="0.35">
      <c r="B67" s="8" t="s">
        <v>14</v>
      </c>
    </row>
    <row r="68" spans="2:2" x14ac:dyDescent="0.35">
      <c r="B68" s="8" t="s">
        <v>13</v>
      </c>
    </row>
    <row r="69" spans="2:2" x14ac:dyDescent="0.35">
      <c r="B69" s="8" t="s">
        <v>13</v>
      </c>
    </row>
    <row r="70" spans="2:2" x14ac:dyDescent="0.35">
      <c r="B70" s="8" t="s">
        <v>14</v>
      </c>
    </row>
    <row r="71" spans="2:2" x14ac:dyDescent="0.35">
      <c r="B71" s="8" t="s">
        <v>14</v>
      </c>
    </row>
    <row r="72" spans="2:2" x14ac:dyDescent="0.35">
      <c r="B72" s="8" t="s">
        <v>13</v>
      </c>
    </row>
    <row r="73" spans="2:2" x14ac:dyDescent="0.35">
      <c r="B73" s="8" t="s">
        <v>14</v>
      </c>
    </row>
    <row r="74" spans="2:2" x14ac:dyDescent="0.35">
      <c r="B74" s="8" t="s">
        <v>13</v>
      </c>
    </row>
    <row r="75" spans="2:2" x14ac:dyDescent="0.35">
      <c r="B75" s="8" t="s">
        <v>14</v>
      </c>
    </row>
    <row r="76" spans="2:2" x14ac:dyDescent="0.35">
      <c r="B76" s="8" t="s">
        <v>13</v>
      </c>
    </row>
    <row r="77" spans="2:2" x14ac:dyDescent="0.35">
      <c r="B77" s="8" t="s">
        <v>14</v>
      </c>
    </row>
    <row r="78" spans="2:2" x14ac:dyDescent="0.35">
      <c r="B78" s="8" t="s">
        <v>14</v>
      </c>
    </row>
    <row r="79" spans="2:2" x14ac:dyDescent="0.35">
      <c r="B79" s="8" t="s">
        <v>14</v>
      </c>
    </row>
    <row r="80" spans="2:2" x14ac:dyDescent="0.35">
      <c r="B80" s="8" t="s">
        <v>13</v>
      </c>
    </row>
    <row r="81" spans="2:2" x14ac:dyDescent="0.35">
      <c r="B81" s="8" t="s">
        <v>14</v>
      </c>
    </row>
    <row r="82" spans="2:2" x14ac:dyDescent="0.35">
      <c r="B82" s="8" t="s">
        <v>14</v>
      </c>
    </row>
    <row r="83" spans="2:2" x14ac:dyDescent="0.35">
      <c r="B83" s="8" t="s">
        <v>13</v>
      </c>
    </row>
    <row r="84" spans="2:2" x14ac:dyDescent="0.35">
      <c r="B84" s="8" t="s">
        <v>13</v>
      </c>
    </row>
    <row r="85" spans="2:2" x14ac:dyDescent="0.35">
      <c r="B85" s="8" t="s">
        <v>14</v>
      </c>
    </row>
    <row r="86" spans="2:2" x14ac:dyDescent="0.35">
      <c r="B86" s="8" t="s">
        <v>14</v>
      </c>
    </row>
    <row r="87" spans="2:2" x14ac:dyDescent="0.35">
      <c r="B87" s="8" t="s">
        <v>13</v>
      </c>
    </row>
    <row r="88" spans="2:2" x14ac:dyDescent="0.35">
      <c r="B88" s="8" t="s">
        <v>14</v>
      </c>
    </row>
    <row r="89" spans="2:2" x14ac:dyDescent="0.35">
      <c r="B89" s="8" t="s">
        <v>13</v>
      </c>
    </row>
    <row r="90" spans="2:2" x14ac:dyDescent="0.35">
      <c r="B90" s="8" t="s">
        <v>13</v>
      </c>
    </row>
    <row r="91" spans="2:2" x14ac:dyDescent="0.35">
      <c r="B91" s="8" t="s">
        <v>13</v>
      </c>
    </row>
    <row r="92" spans="2:2" x14ac:dyDescent="0.35">
      <c r="B92" s="8" t="s">
        <v>13</v>
      </c>
    </row>
    <row r="93" spans="2:2" x14ac:dyDescent="0.35">
      <c r="B93" s="8" t="s">
        <v>14</v>
      </c>
    </row>
    <row r="94" spans="2:2" x14ac:dyDescent="0.35">
      <c r="B94" s="8" t="s">
        <v>13</v>
      </c>
    </row>
    <row r="95" spans="2:2" x14ac:dyDescent="0.35">
      <c r="B95" s="8" t="s">
        <v>14</v>
      </c>
    </row>
    <row r="96" spans="2:2" x14ac:dyDescent="0.35">
      <c r="B96" s="8" t="s">
        <v>13</v>
      </c>
    </row>
    <row r="97" spans="2:2" x14ac:dyDescent="0.35">
      <c r="B97" s="8" t="s">
        <v>13</v>
      </c>
    </row>
    <row r="98" spans="2:2" x14ac:dyDescent="0.35">
      <c r="B98" s="8" t="s">
        <v>14</v>
      </c>
    </row>
    <row r="99" spans="2:2" x14ac:dyDescent="0.35">
      <c r="B99" s="8" t="s">
        <v>13</v>
      </c>
    </row>
    <row r="100" spans="2:2" x14ac:dyDescent="0.35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headerFooter>
    <oddFooter>&amp;L3/20/2023&amp;CAXP Internal&amp;R32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K7" sqref="K7"/>
    </sheetView>
  </sheetViews>
  <sheetFormatPr defaultRowHeight="14.5" x14ac:dyDescent="0.35"/>
  <cols>
    <col min="1" max="1" width="2.81640625" customWidth="1"/>
    <col min="2" max="2" width="11.453125" customWidth="1"/>
    <col min="3" max="3" width="17.1796875" customWidth="1"/>
    <col min="4" max="4" width="11.453125" customWidth="1"/>
    <col min="5" max="5" width="11.26953125" customWidth="1"/>
    <col min="7" max="7" width="12.1796875" customWidth="1"/>
    <col min="8" max="8" width="11.453125" customWidth="1"/>
    <col min="10" max="10" width="20" customWidth="1"/>
    <col min="11" max="11" width="9.54296875" bestFit="1" customWidth="1"/>
    <col min="13" max="13" width="14.26953125" customWidth="1"/>
    <col min="14" max="14" width="11.453125" customWidth="1"/>
  </cols>
  <sheetData>
    <row r="1" spans="2:14" ht="25.5" customHeight="1" x14ac:dyDescent="0.45">
      <c r="B1" s="18" t="s">
        <v>170</v>
      </c>
    </row>
    <row r="2" spans="2:14" ht="15" customHeight="1" x14ac:dyDescent="0.35">
      <c r="B2" s="30" t="s">
        <v>171</v>
      </c>
    </row>
    <row r="3" spans="2:14" ht="18" customHeight="1" x14ac:dyDescent="0.35"/>
    <row r="4" spans="2:14" x14ac:dyDescent="0.35">
      <c r="G4" s="3" t="s">
        <v>54</v>
      </c>
      <c r="J4" s="3" t="s">
        <v>54</v>
      </c>
      <c r="M4" s="3" t="s">
        <v>54</v>
      </c>
    </row>
    <row r="5" spans="2:14" x14ac:dyDescent="0.35">
      <c r="B5" s="40" t="s">
        <v>20</v>
      </c>
      <c r="C5" s="43" t="s">
        <v>76</v>
      </c>
      <c r="D5" s="43" t="s">
        <v>77</v>
      </c>
      <c r="E5" s="42" t="s">
        <v>172</v>
      </c>
      <c r="G5" s="121" t="s">
        <v>139</v>
      </c>
      <c r="H5" s="121"/>
      <c r="J5" s="121" t="s">
        <v>141</v>
      </c>
      <c r="K5" s="121"/>
      <c r="M5" s="121" t="s">
        <v>147</v>
      </c>
      <c r="N5" s="121"/>
    </row>
    <row r="6" spans="2:14" x14ac:dyDescent="0.35">
      <c r="B6" s="8">
        <v>1</v>
      </c>
      <c r="C6" s="8">
        <v>68.400000000000006</v>
      </c>
      <c r="D6" s="8">
        <v>90.2</v>
      </c>
      <c r="E6" s="8">
        <f>D6-C6</f>
        <v>21.799999999999997</v>
      </c>
      <c r="G6" s="20" t="s">
        <v>71</v>
      </c>
      <c r="H6" s="71">
        <f>COUNT(E6:E100)</f>
        <v>95</v>
      </c>
      <c r="J6" s="20" t="s">
        <v>142</v>
      </c>
      <c r="K6" s="82">
        <v>0.95</v>
      </c>
      <c r="M6" s="20" t="s">
        <v>148</v>
      </c>
      <c r="N6" s="75">
        <f>H7-K11</f>
        <v>3.3167348695585517</v>
      </c>
    </row>
    <row r="7" spans="2:14" x14ac:dyDescent="0.35">
      <c r="B7" s="8">
        <v>2</v>
      </c>
      <c r="C7" s="8">
        <v>62.1</v>
      </c>
      <c r="D7" s="8">
        <v>92.8</v>
      </c>
      <c r="E7" s="8">
        <f t="shared" ref="E7:E70" si="0">D7-C7</f>
        <v>30.699999999999996</v>
      </c>
      <c r="G7" s="20" t="s">
        <v>46</v>
      </c>
      <c r="H7" s="72">
        <f>AVERAGE(E6:E100)</f>
        <v>5.1957894736842114</v>
      </c>
      <c r="J7" s="20" t="s">
        <v>143</v>
      </c>
      <c r="K7" s="82">
        <f>1-K6</f>
        <v>5.0000000000000044E-2</v>
      </c>
      <c r="M7" s="20" t="s">
        <v>149</v>
      </c>
      <c r="N7" s="75">
        <f>H7+K11</f>
        <v>7.0748440778098711</v>
      </c>
    </row>
    <row r="8" spans="2:14" x14ac:dyDescent="0.35">
      <c r="B8" s="8">
        <v>3</v>
      </c>
      <c r="C8" s="8">
        <v>70.2</v>
      </c>
      <c r="D8" s="8">
        <v>68.7</v>
      </c>
      <c r="E8" s="8">
        <f t="shared" si="0"/>
        <v>-1.5</v>
      </c>
      <c r="G8" s="20" t="s">
        <v>70</v>
      </c>
      <c r="H8" s="75">
        <f>_xlfn.STDEV.S(E6:E100)</f>
        <v>9.2241463398998604</v>
      </c>
      <c r="J8" s="20" t="s">
        <v>144</v>
      </c>
      <c r="K8" s="85">
        <f>K7/2</f>
        <v>2.5000000000000022E-2</v>
      </c>
    </row>
    <row r="9" spans="2:14" x14ac:dyDescent="0.35">
      <c r="B9" s="8">
        <v>4</v>
      </c>
      <c r="C9" s="8">
        <v>75.099999999999994</v>
      </c>
      <c r="D9" s="8">
        <v>80.7</v>
      </c>
      <c r="E9" s="8">
        <f t="shared" si="0"/>
        <v>5.6000000000000085</v>
      </c>
      <c r="J9" s="20" t="s">
        <v>156</v>
      </c>
      <c r="K9" s="86">
        <f>ABS(_xlfn.T.INV(K8,H6-1))</f>
        <v>1.9855234418666059</v>
      </c>
    </row>
    <row r="10" spans="2:14" x14ac:dyDescent="0.35">
      <c r="B10" s="8">
        <v>5</v>
      </c>
      <c r="C10" s="8">
        <v>60.9</v>
      </c>
      <c r="D10" s="8">
        <v>74.900000000000006</v>
      </c>
      <c r="E10" s="8">
        <f t="shared" si="0"/>
        <v>14.000000000000007</v>
      </c>
      <c r="J10" s="20" t="s">
        <v>146</v>
      </c>
      <c r="K10" s="75">
        <f>H8/SQRT(H6)</f>
        <v>0.94637744612027652</v>
      </c>
    </row>
    <row r="11" spans="2:14" x14ac:dyDescent="0.35">
      <c r="B11" s="8">
        <v>6</v>
      </c>
      <c r="C11" s="8">
        <v>74.5</v>
      </c>
      <c r="D11" s="8">
        <v>80.7</v>
      </c>
      <c r="E11" s="8">
        <f t="shared" si="0"/>
        <v>6.2000000000000028</v>
      </c>
      <c r="J11" s="20" t="s">
        <v>150</v>
      </c>
      <c r="K11" s="75">
        <f>K9*K10</f>
        <v>1.8790546041256597</v>
      </c>
    </row>
    <row r="12" spans="2:14" x14ac:dyDescent="0.35">
      <c r="B12" s="8">
        <v>7</v>
      </c>
      <c r="C12" s="8">
        <v>76.400000000000006</v>
      </c>
      <c r="D12" s="8">
        <v>83.3</v>
      </c>
      <c r="E12" s="8">
        <f t="shared" si="0"/>
        <v>6.8999999999999915</v>
      </c>
    </row>
    <row r="13" spans="2:14" x14ac:dyDescent="0.35">
      <c r="B13" s="8">
        <v>8</v>
      </c>
      <c r="C13" s="8">
        <v>82.6</v>
      </c>
      <c r="D13" s="8">
        <v>88.7</v>
      </c>
      <c r="E13" s="8">
        <f t="shared" si="0"/>
        <v>6.1000000000000085</v>
      </c>
    </row>
    <row r="14" spans="2:14" x14ac:dyDescent="0.35">
      <c r="B14" s="8">
        <v>9</v>
      </c>
      <c r="C14" s="8">
        <v>76.900000000000006</v>
      </c>
      <c r="D14" s="8">
        <v>75.400000000000006</v>
      </c>
      <c r="E14" s="8">
        <f t="shared" si="0"/>
        <v>-1.5</v>
      </c>
    </row>
    <row r="15" spans="2:14" x14ac:dyDescent="0.35">
      <c r="B15" s="8">
        <v>10</v>
      </c>
      <c r="C15" s="8">
        <v>83.3</v>
      </c>
      <c r="D15" s="8">
        <v>82.1</v>
      </c>
      <c r="E15" s="8">
        <f t="shared" si="0"/>
        <v>-1.2000000000000028</v>
      </c>
    </row>
    <row r="16" spans="2:14" x14ac:dyDescent="0.35">
      <c r="B16" s="8">
        <v>11</v>
      </c>
      <c r="C16" s="8">
        <v>75.8</v>
      </c>
      <c r="D16" s="8">
        <v>87.5</v>
      </c>
      <c r="E16" s="8">
        <f t="shared" si="0"/>
        <v>11.700000000000003</v>
      </c>
    </row>
    <row r="17" spans="2:5" x14ac:dyDescent="0.35">
      <c r="B17" s="8">
        <v>12</v>
      </c>
      <c r="C17" s="8">
        <v>76</v>
      </c>
      <c r="D17" s="8">
        <v>66.900000000000006</v>
      </c>
      <c r="E17" s="8">
        <f t="shared" si="0"/>
        <v>-9.0999999999999943</v>
      </c>
    </row>
    <row r="18" spans="2:5" x14ac:dyDescent="0.35">
      <c r="B18" s="8">
        <v>13</v>
      </c>
      <c r="C18" s="8">
        <v>62.8</v>
      </c>
      <c r="D18" s="8">
        <v>71.3</v>
      </c>
      <c r="E18" s="8">
        <f t="shared" si="0"/>
        <v>8.5</v>
      </c>
    </row>
    <row r="19" spans="2:5" x14ac:dyDescent="0.35">
      <c r="B19" s="8">
        <v>14</v>
      </c>
      <c r="C19" s="8">
        <v>82.8</v>
      </c>
      <c r="D19" s="8">
        <v>76.8</v>
      </c>
      <c r="E19" s="8">
        <f t="shared" si="0"/>
        <v>-6</v>
      </c>
    </row>
    <row r="20" spans="2:5" x14ac:dyDescent="0.35">
      <c r="B20" s="8">
        <v>15</v>
      </c>
      <c r="C20" s="8">
        <v>76</v>
      </c>
      <c r="D20" s="8">
        <v>72.3</v>
      </c>
      <c r="E20" s="8">
        <f t="shared" si="0"/>
        <v>-3.7000000000000028</v>
      </c>
    </row>
    <row r="21" spans="2:5" x14ac:dyDescent="0.35">
      <c r="B21" s="8">
        <v>16</v>
      </c>
      <c r="C21" s="8">
        <v>76.900000000000006</v>
      </c>
      <c r="D21" s="8">
        <v>72.400000000000006</v>
      </c>
      <c r="E21" s="8">
        <f t="shared" si="0"/>
        <v>-4.5</v>
      </c>
    </row>
    <row r="22" spans="2:5" x14ac:dyDescent="0.35">
      <c r="B22" s="8">
        <v>17</v>
      </c>
      <c r="C22" s="8">
        <v>75.8</v>
      </c>
      <c r="D22" s="8">
        <v>72</v>
      </c>
      <c r="E22" s="8">
        <f t="shared" si="0"/>
        <v>-3.7999999999999972</v>
      </c>
    </row>
    <row r="23" spans="2:5" x14ac:dyDescent="0.35">
      <c r="B23" s="8">
        <v>18</v>
      </c>
      <c r="C23" s="8">
        <v>78</v>
      </c>
      <c r="D23" s="8">
        <v>81</v>
      </c>
      <c r="E23" s="8">
        <f t="shared" si="0"/>
        <v>3</v>
      </c>
    </row>
    <row r="24" spans="2:5" x14ac:dyDescent="0.35">
      <c r="B24" s="8">
        <v>19</v>
      </c>
      <c r="C24" s="8">
        <v>82.4</v>
      </c>
      <c r="D24" s="8">
        <v>96.1</v>
      </c>
      <c r="E24" s="8">
        <f t="shared" si="0"/>
        <v>13.699999999999989</v>
      </c>
    </row>
    <row r="25" spans="2:5" x14ac:dyDescent="0.35">
      <c r="B25" s="8">
        <v>20</v>
      </c>
      <c r="C25" s="8">
        <v>76.2</v>
      </c>
      <c r="D25" s="8">
        <v>76.7</v>
      </c>
      <c r="E25" s="8">
        <f t="shared" si="0"/>
        <v>0.5</v>
      </c>
    </row>
    <row r="26" spans="2:5" x14ac:dyDescent="0.35">
      <c r="B26" s="8">
        <v>21</v>
      </c>
      <c r="C26" s="8">
        <v>62.5</v>
      </c>
      <c r="D26" s="8">
        <v>80.3</v>
      </c>
      <c r="E26" s="8">
        <f t="shared" si="0"/>
        <v>17.799999999999997</v>
      </c>
    </row>
    <row r="27" spans="2:5" x14ac:dyDescent="0.35">
      <c r="B27" s="8">
        <v>22</v>
      </c>
      <c r="C27" s="8">
        <v>78</v>
      </c>
      <c r="D27" s="8">
        <v>77.8</v>
      </c>
      <c r="E27" s="8">
        <f t="shared" si="0"/>
        <v>-0.20000000000000284</v>
      </c>
    </row>
    <row r="28" spans="2:5" x14ac:dyDescent="0.35">
      <c r="B28" s="8">
        <v>23</v>
      </c>
      <c r="C28" s="8">
        <v>66.5</v>
      </c>
      <c r="D28" s="8">
        <v>62.6</v>
      </c>
      <c r="E28" s="8">
        <f t="shared" si="0"/>
        <v>-3.8999999999999986</v>
      </c>
    </row>
    <row r="29" spans="2:5" x14ac:dyDescent="0.35">
      <c r="B29" s="8">
        <v>24</v>
      </c>
      <c r="C29" s="8">
        <v>63.5</v>
      </c>
      <c r="D29" s="8">
        <v>80.2</v>
      </c>
      <c r="E29" s="8">
        <f t="shared" si="0"/>
        <v>16.700000000000003</v>
      </c>
    </row>
    <row r="30" spans="2:5" x14ac:dyDescent="0.35">
      <c r="B30" s="8">
        <v>25</v>
      </c>
      <c r="C30" s="8">
        <v>82.6</v>
      </c>
      <c r="D30" s="8">
        <v>79.099999999999994</v>
      </c>
      <c r="E30" s="8">
        <f t="shared" si="0"/>
        <v>-3.5</v>
      </c>
    </row>
    <row r="31" spans="2:5" x14ac:dyDescent="0.35">
      <c r="B31" s="8">
        <v>26</v>
      </c>
      <c r="C31" s="8">
        <v>79.2</v>
      </c>
      <c r="D31" s="8">
        <v>77.8</v>
      </c>
      <c r="E31" s="8">
        <f t="shared" si="0"/>
        <v>-1.4000000000000057</v>
      </c>
    </row>
    <row r="32" spans="2:5" x14ac:dyDescent="0.35">
      <c r="B32" s="8">
        <v>27</v>
      </c>
      <c r="C32" s="8">
        <v>75</v>
      </c>
      <c r="D32" s="8">
        <v>75.099999999999994</v>
      </c>
      <c r="E32" s="8">
        <f t="shared" si="0"/>
        <v>9.9999999999994316E-2</v>
      </c>
    </row>
    <row r="33" spans="2:5" x14ac:dyDescent="0.35">
      <c r="B33" s="8">
        <v>28</v>
      </c>
      <c r="C33" s="8">
        <v>74.400000000000006</v>
      </c>
      <c r="D33" s="8">
        <v>82.2</v>
      </c>
      <c r="E33" s="8">
        <f t="shared" si="0"/>
        <v>7.7999999999999972</v>
      </c>
    </row>
    <row r="34" spans="2:5" x14ac:dyDescent="0.35">
      <c r="B34" s="8">
        <v>29</v>
      </c>
      <c r="C34" s="8">
        <v>67.900000000000006</v>
      </c>
      <c r="D34" s="8">
        <v>70.5</v>
      </c>
      <c r="E34" s="8">
        <f t="shared" si="0"/>
        <v>2.5999999999999943</v>
      </c>
    </row>
    <row r="35" spans="2:5" x14ac:dyDescent="0.35">
      <c r="B35" s="8">
        <v>30</v>
      </c>
      <c r="C35" s="8">
        <v>76.8</v>
      </c>
      <c r="D35" s="8">
        <v>70.8</v>
      </c>
      <c r="E35" s="8">
        <f t="shared" si="0"/>
        <v>-6</v>
      </c>
    </row>
    <row r="36" spans="2:5" x14ac:dyDescent="0.35">
      <c r="B36" s="8">
        <v>31</v>
      </c>
      <c r="C36" s="8">
        <v>83</v>
      </c>
      <c r="D36" s="8">
        <v>87.5</v>
      </c>
      <c r="E36" s="8">
        <f t="shared" si="0"/>
        <v>4.5</v>
      </c>
    </row>
    <row r="37" spans="2:5" x14ac:dyDescent="0.35">
      <c r="B37" s="8">
        <v>32</v>
      </c>
      <c r="C37" s="8">
        <v>88.9</v>
      </c>
      <c r="D37" s="8">
        <v>79.5</v>
      </c>
      <c r="E37" s="8">
        <f t="shared" si="0"/>
        <v>-9.4000000000000057</v>
      </c>
    </row>
    <row r="38" spans="2:5" x14ac:dyDescent="0.35">
      <c r="B38" s="8">
        <v>33</v>
      </c>
      <c r="C38" s="8">
        <v>76.5</v>
      </c>
      <c r="D38" s="8">
        <v>80.8</v>
      </c>
      <c r="E38" s="8">
        <f t="shared" si="0"/>
        <v>4.2999999999999972</v>
      </c>
    </row>
    <row r="39" spans="2:5" x14ac:dyDescent="0.35">
      <c r="B39" s="8">
        <v>34</v>
      </c>
      <c r="C39" s="8">
        <v>79.900000000000006</v>
      </c>
      <c r="D39" s="8">
        <v>79.599999999999994</v>
      </c>
      <c r="E39" s="8">
        <f t="shared" si="0"/>
        <v>-0.30000000000001137</v>
      </c>
    </row>
    <row r="40" spans="2:5" x14ac:dyDescent="0.35">
      <c r="B40" s="8">
        <v>35</v>
      </c>
      <c r="C40" s="8">
        <v>70.400000000000006</v>
      </c>
      <c r="D40" s="8">
        <v>88.9</v>
      </c>
      <c r="E40" s="8">
        <f t="shared" si="0"/>
        <v>18.5</v>
      </c>
    </row>
    <row r="41" spans="2:5" x14ac:dyDescent="0.35">
      <c r="B41" s="8">
        <v>36</v>
      </c>
      <c r="C41" s="8">
        <v>83.4</v>
      </c>
      <c r="D41" s="8">
        <v>85.9</v>
      </c>
      <c r="E41" s="8">
        <f t="shared" si="0"/>
        <v>2.5</v>
      </c>
    </row>
    <row r="42" spans="2:5" x14ac:dyDescent="0.35">
      <c r="B42" s="8">
        <v>37</v>
      </c>
      <c r="C42" s="8">
        <v>79.2</v>
      </c>
      <c r="D42" s="8">
        <v>82.3</v>
      </c>
      <c r="E42" s="8">
        <f t="shared" si="0"/>
        <v>3.0999999999999943</v>
      </c>
    </row>
    <row r="43" spans="2:5" x14ac:dyDescent="0.35">
      <c r="B43" s="8">
        <v>38</v>
      </c>
      <c r="C43" s="8">
        <v>61.2</v>
      </c>
      <c r="D43" s="8">
        <v>76.7</v>
      </c>
      <c r="E43" s="8">
        <f t="shared" si="0"/>
        <v>15.5</v>
      </c>
    </row>
    <row r="44" spans="2:5" x14ac:dyDescent="0.35">
      <c r="B44" s="8">
        <v>39</v>
      </c>
      <c r="C44" s="8">
        <v>64</v>
      </c>
      <c r="D44" s="8">
        <v>79.900000000000006</v>
      </c>
      <c r="E44" s="8">
        <f t="shared" si="0"/>
        <v>15.900000000000006</v>
      </c>
    </row>
    <row r="45" spans="2:5" x14ac:dyDescent="0.35">
      <c r="B45" s="8">
        <v>40</v>
      </c>
      <c r="C45" s="8">
        <v>68</v>
      </c>
      <c r="D45" s="8">
        <v>86.2</v>
      </c>
      <c r="E45" s="8">
        <f t="shared" si="0"/>
        <v>18.200000000000003</v>
      </c>
    </row>
    <row r="46" spans="2:5" x14ac:dyDescent="0.35">
      <c r="B46" s="8">
        <v>41</v>
      </c>
      <c r="C46" s="8">
        <v>78.5</v>
      </c>
      <c r="D46" s="8">
        <v>79.2</v>
      </c>
      <c r="E46" s="8">
        <f t="shared" si="0"/>
        <v>0.70000000000000284</v>
      </c>
    </row>
    <row r="47" spans="2:5" x14ac:dyDescent="0.35">
      <c r="B47" s="8">
        <v>42</v>
      </c>
      <c r="C47" s="8">
        <v>83</v>
      </c>
      <c r="D47" s="8">
        <v>83.4</v>
      </c>
      <c r="E47" s="8">
        <f t="shared" si="0"/>
        <v>0.40000000000000568</v>
      </c>
    </row>
    <row r="48" spans="2:5" x14ac:dyDescent="0.35">
      <c r="B48" s="8">
        <v>43</v>
      </c>
      <c r="C48" s="8">
        <v>75.2</v>
      </c>
      <c r="D48" s="8">
        <v>85.2</v>
      </c>
      <c r="E48" s="8">
        <f t="shared" si="0"/>
        <v>10</v>
      </c>
    </row>
    <row r="49" spans="2:5" x14ac:dyDescent="0.35">
      <c r="B49" s="8">
        <v>44</v>
      </c>
      <c r="C49" s="8">
        <v>68.099999999999994</v>
      </c>
      <c r="D49" s="8">
        <v>77.8</v>
      </c>
      <c r="E49" s="8">
        <f t="shared" si="0"/>
        <v>9.7000000000000028</v>
      </c>
    </row>
    <row r="50" spans="2:5" x14ac:dyDescent="0.35">
      <c r="B50" s="8">
        <v>45</v>
      </c>
      <c r="C50" s="8">
        <v>93.6</v>
      </c>
      <c r="D50" s="8">
        <v>80.2</v>
      </c>
      <c r="E50" s="8">
        <f t="shared" si="0"/>
        <v>-13.399999999999991</v>
      </c>
    </row>
    <row r="51" spans="2:5" x14ac:dyDescent="0.35">
      <c r="B51" s="8">
        <v>46</v>
      </c>
      <c r="C51" s="8">
        <v>75.599999999999994</v>
      </c>
      <c r="D51" s="8">
        <v>71</v>
      </c>
      <c r="E51" s="8">
        <f t="shared" si="0"/>
        <v>-4.5999999999999943</v>
      </c>
    </row>
    <row r="52" spans="2:5" x14ac:dyDescent="0.35">
      <c r="B52" s="8">
        <v>47</v>
      </c>
      <c r="C52" s="8">
        <v>82.3</v>
      </c>
      <c r="D52" s="8">
        <v>87.2</v>
      </c>
      <c r="E52" s="8">
        <f t="shared" si="0"/>
        <v>4.9000000000000057</v>
      </c>
    </row>
    <row r="53" spans="2:5" x14ac:dyDescent="0.35">
      <c r="B53" s="8">
        <v>48</v>
      </c>
      <c r="C53" s="8">
        <v>71.400000000000006</v>
      </c>
      <c r="D53" s="8">
        <v>82.9</v>
      </c>
      <c r="E53" s="8">
        <f t="shared" si="0"/>
        <v>11.5</v>
      </c>
    </row>
    <row r="54" spans="2:5" x14ac:dyDescent="0.35">
      <c r="B54" s="8">
        <v>49</v>
      </c>
      <c r="C54" s="8">
        <v>71.900000000000006</v>
      </c>
      <c r="D54" s="8">
        <v>73.5</v>
      </c>
      <c r="E54" s="8">
        <f t="shared" si="0"/>
        <v>1.5999999999999943</v>
      </c>
    </row>
    <row r="55" spans="2:5" x14ac:dyDescent="0.35">
      <c r="B55" s="8">
        <v>50</v>
      </c>
      <c r="C55" s="8">
        <v>79.099999999999994</v>
      </c>
      <c r="D55" s="8">
        <v>74.599999999999994</v>
      </c>
      <c r="E55" s="8">
        <f t="shared" si="0"/>
        <v>-4.5</v>
      </c>
    </row>
    <row r="56" spans="2:5" x14ac:dyDescent="0.35">
      <c r="B56" s="8">
        <v>51</v>
      </c>
      <c r="C56" s="8">
        <v>88.7</v>
      </c>
      <c r="D56" s="8">
        <v>75.099999999999994</v>
      </c>
      <c r="E56" s="8">
        <f t="shared" si="0"/>
        <v>-13.600000000000009</v>
      </c>
    </row>
    <row r="57" spans="2:5" x14ac:dyDescent="0.35">
      <c r="B57" s="8">
        <v>52</v>
      </c>
      <c r="C57" s="8">
        <v>69.400000000000006</v>
      </c>
      <c r="D57" s="8">
        <v>85.1</v>
      </c>
      <c r="E57" s="8">
        <f t="shared" si="0"/>
        <v>15.699999999999989</v>
      </c>
    </row>
    <row r="58" spans="2:5" x14ac:dyDescent="0.35">
      <c r="B58" s="8">
        <v>53</v>
      </c>
      <c r="C58" s="8">
        <v>80.3</v>
      </c>
      <c r="D58" s="8">
        <v>74.900000000000006</v>
      </c>
      <c r="E58" s="8">
        <f t="shared" si="0"/>
        <v>-5.3999999999999915</v>
      </c>
    </row>
    <row r="59" spans="2:5" x14ac:dyDescent="0.35">
      <c r="B59" s="8">
        <v>54</v>
      </c>
      <c r="C59" s="8">
        <v>83</v>
      </c>
      <c r="D59" s="8">
        <v>84.6</v>
      </c>
      <c r="E59" s="8">
        <f t="shared" si="0"/>
        <v>1.5999999999999943</v>
      </c>
    </row>
    <row r="60" spans="2:5" x14ac:dyDescent="0.35">
      <c r="B60" s="8">
        <v>55</v>
      </c>
      <c r="C60" s="8">
        <v>74.099999999999994</v>
      </c>
      <c r="D60" s="8">
        <v>81.7</v>
      </c>
      <c r="E60" s="8">
        <f t="shared" si="0"/>
        <v>7.6000000000000085</v>
      </c>
    </row>
    <row r="61" spans="2:5" x14ac:dyDescent="0.35">
      <c r="B61" s="8">
        <v>56</v>
      </c>
      <c r="C61" s="8">
        <v>79.400000000000006</v>
      </c>
      <c r="D61" s="8">
        <v>81.400000000000006</v>
      </c>
      <c r="E61" s="8">
        <f t="shared" si="0"/>
        <v>2</v>
      </c>
    </row>
    <row r="62" spans="2:5" x14ac:dyDescent="0.35">
      <c r="B62" s="8">
        <v>57</v>
      </c>
      <c r="C62" s="8">
        <v>88.1</v>
      </c>
      <c r="D62" s="8">
        <v>83.8</v>
      </c>
      <c r="E62" s="8">
        <f t="shared" si="0"/>
        <v>-4.2999999999999972</v>
      </c>
    </row>
    <row r="63" spans="2:5" x14ac:dyDescent="0.35">
      <c r="B63" s="8">
        <v>58</v>
      </c>
      <c r="C63" s="8">
        <v>74.599999999999994</v>
      </c>
      <c r="D63" s="8">
        <v>88.5</v>
      </c>
      <c r="E63" s="8">
        <f t="shared" si="0"/>
        <v>13.900000000000006</v>
      </c>
    </row>
    <row r="64" spans="2:5" x14ac:dyDescent="0.35">
      <c r="B64" s="8">
        <v>59</v>
      </c>
      <c r="C64" s="8">
        <v>87.1</v>
      </c>
      <c r="D64" s="8">
        <v>84.9</v>
      </c>
      <c r="E64" s="8">
        <f t="shared" si="0"/>
        <v>-2.1999999999999886</v>
      </c>
    </row>
    <row r="65" spans="2:5" x14ac:dyDescent="0.35">
      <c r="B65" s="8">
        <v>60</v>
      </c>
      <c r="C65" s="8">
        <v>79.7</v>
      </c>
      <c r="D65" s="8">
        <v>84.3</v>
      </c>
      <c r="E65" s="8">
        <f t="shared" si="0"/>
        <v>4.5999999999999943</v>
      </c>
    </row>
    <row r="66" spans="2:5" x14ac:dyDescent="0.35">
      <c r="B66" s="8">
        <v>61</v>
      </c>
      <c r="C66" s="8">
        <v>82.1</v>
      </c>
      <c r="D66" s="8">
        <v>78.2</v>
      </c>
      <c r="E66" s="8">
        <f t="shared" si="0"/>
        <v>-3.8999999999999915</v>
      </c>
    </row>
    <row r="67" spans="2:5" x14ac:dyDescent="0.35">
      <c r="B67" s="8">
        <v>62</v>
      </c>
      <c r="C67" s="8">
        <v>70.2</v>
      </c>
      <c r="D67" s="8">
        <v>80</v>
      </c>
      <c r="E67" s="8">
        <f t="shared" si="0"/>
        <v>9.7999999999999972</v>
      </c>
    </row>
    <row r="68" spans="2:5" x14ac:dyDescent="0.35">
      <c r="B68" s="8">
        <v>63</v>
      </c>
      <c r="C68" s="8">
        <v>81.7</v>
      </c>
      <c r="D68" s="8">
        <v>74.8</v>
      </c>
      <c r="E68" s="8">
        <f t="shared" si="0"/>
        <v>-6.9000000000000057</v>
      </c>
    </row>
    <row r="69" spans="2:5" x14ac:dyDescent="0.35">
      <c r="B69" s="8">
        <v>64</v>
      </c>
      <c r="C69" s="8">
        <v>76.099999999999994</v>
      </c>
      <c r="D69" s="8">
        <v>78.5</v>
      </c>
      <c r="E69" s="8">
        <f t="shared" si="0"/>
        <v>2.4000000000000057</v>
      </c>
    </row>
    <row r="70" spans="2:5" x14ac:dyDescent="0.35">
      <c r="B70" s="8">
        <v>65</v>
      </c>
      <c r="C70" s="8">
        <v>65.400000000000006</v>
      </c>
      <c r="D70" s="8">
        <v>71.8</v>
      </c>
      <c r="E70" s="8">
        <f t="shared" si="0"/>
        <v>6.3999999999999915</v>
      </c>
    </row>
    <row r="71" spans="2:5" x14ac:dyDescent="0.35">
      <c r="B71" s="8">
        <v>66</v>
      </c>
      <c r="C71" s="8">
        <v>70.099999999999994</v>
      </c>
      <c r="D71" s="8">
        <v>69.900000000000006</v>
      </c>
      <c r="E71" s="8">
        <f t="shared" ref="E71:E100" si="1">D71-C71</f>
        <v>-0.19999999999998863</v>
      </c>
    </row>
    <row r="72" spans="2:5" x14ac:dyDescent="0.35">
      <c r="B72" s="8">
        <v>67</v>
      </c>
      <c r="C72" s="8">
        <v>75.3</v>
      </c>
      <c r="D72" s="8">
        <v>82.7</v>
      </c>
      <c r="E72" s="8">
        <f t="shared" si="1"/>
        <v>7.4000000000000057</v>
      </c>
    </row>
    <row r="73" spans="2:5" x14ac:dyDescent="0.35">
      <c r="B73" s="8">
        <v>68</v>
      </c>
      <c r="C73" s="8">
        <v>68.7</v>
      </c>
      <c r="D73" s="8">
        <v>74</v>
      </c>
      <c r="E73" s="8">
        <f t="shared" si="1"/>
        <v>5.2999999999999972</v>
      </c>
    </row>
    <row r="74" spans="2:5" x14ac:dyDescent="0.35">
      <c r="B74" s="8">
        <v>69</v>
      </c>
      <c r="C74" s="8">
        <v>75.7</v>
      </c>
      <c r="D74" s="8">
        <v>84</v>
      </c>
      <c r="E74" s="8">
        <f t="shared" si="1"/>
        <v>8.2999999999999972</v>
      </c>
    </row>
    <row r="75" spans="2:5" x14ac:dyDescent="0.35">
      <c r="B75" s="8">
        <v>70</v>
      </c>
      <c r="C75" s="8">
        <v>68.7</v>
      </c>
      <c r="D75" s="8">
        <v>84.7</v>
      </c>
      <c r="E75" s="8">
        <f t="shared" si="1"/>
        <v>16</v>
      </c>
    </row>
    <row r="76" spans="2:5" x14ac:dyDescent="0.35">
      <c r="B76" s="8">
        <v>71</v>
      </c>
      <c r="C76" s="8">
        <v>70.400000000000006</v>
      </c>
      <c r="D76" s="8">
        <v>78.2</v>
      </c>
      <c r="E76" s="8">
        <f t="shared" si="1"/>
        <v>7.7999999999999972</v>
      </c>
    </row>
    <row r="77" spans="2:5" x14ac:dyDescent="0.35">
      <c r="B77" s="8">
        <v>72</v>
      </c>
      <c r="C77" s="8">
        <v>68.3</v>
      </c>
      <c r="D77" s="8">
        <v>85</v>
      </c>
      <c r="E77" s="8">
        <f t="shared" si="1"/>
        <v>16.700000000000003</v>
      </c>
    </row>
    <row r="78" spans="2:5" x14ac:dyDescent="0.35">
      <c r="B78" s="8">
        <v>73</v>
      </c>
      <c r="C78" s="8">
        <v>71.7</v>
      </c>
      <c r="D78" s="8">
        <v>80.099999999999994</v>
      </c>
      <c r="E78" s="8">
        <f t="shared" si="1"/>
        <v>8.3999999999999915</v>
      </c>
    </row>
    <row r="79" spans="2:5" x14ac:dyDescent="0.35">
      <c r="B79" s="8">
        <v>74</v>
      </c>
      <c r="C79" s="8">
        <v>70.900000000000006</v>
      </c>
      <c r="D79" s="8">
        <v>85.3</v>
      </c>
      <c r="E79" s="8">
        <f t="shared" si="1"/>
        <v>14.399999999999991</v>
      </c>
    </row>
    <row r="80" spans="2:5" x14ac:dyDescent="0.35">
      <c r="B80" s="8">
        <v>75</v>
      </c>
      <c r="C80" s="8">
        <v>66.3</v>
      </c>
      <c r="D80" s="8">
        <v>79.7</v>
      </c>
      <c r="E80" s="8">
        <f t="shared" si="1"/>
        <v>13.400000000000006</v>
      </c>
    </row>
    <row r="81" spans="2:5" x14ac:dyDescent="0.35">
      <c r="B81" s="8">
        <v>76</v>
      </c>
      <c r="C81" s="8">
        <v>65.3</v>
      </c>
      <c r="D81" s="8">
        <v>79.599999999999994</v>
      </c>
      <c r="E81" s="8">
        <f t="shared" si="1"/>
        <v>14.299999999999997</v>
      </c>
    </row>
    <row r="82" spans="2:5" x14ac:dyDescent="0.35">
      <c r="B82" s="8">
        <v>77</v>
      </c>
      <c r="C82" s="8">
        <v>75.7</v>
      </c>
      <c r="D82" s="8">
        <v>78.900000000000006</v>
      </c>
      <c r="E82" s="8">
        <f t="shared" si="1"/>
        <v>3.2000000000000028</v>
      </c>
    </row>
    <row r="83" spans="2:5" x14ac:dyDescent="0.35">
      <c r="B83" s="8">
        <v>78</v>
      </c>
      <c r="C83" s="8">
        <v>66</v>
      </c>
      <c r="D83" s="8">
        <v>78.5</v>
      </c>
      <c r="E83" s="8">
        <f t="shared" si="1"/>
        <v>12.5</v>
      </c>
    </row>
    <row r="84" spans="2:5" x14ac:dyDescent="0.35">
      <c r="B84" s="8">
        <v>79</v>
      </c>
      <c r="C84" s="8">
        <v>78.900000000000006</v>
      </c>
      <c r="D84" s="8">
        <v>72</v>
      </c>
      <c r="E84" s="8">
        <f t="shared" si="1"/>
        <v>-6.9000000000000057</v>
      </c>
    </row>
    <row r="85" spans="2:5" x14ac:dyDescent="0.35">
      <c r="B85" s="8">
        <v>80</v>
      </c>
      <c r="C85" s="8">
        <v>74</v>
      </c>
      <c r="D85" s="8">
        <v>74.2</v>
      </c>
      <c r="E85" s="8">
        <f t="shared" si="1"/>
        <v>0.20000000000000284</v>
      </c>
    </row>
    <row r="86" spans="2:5" x14ac:dyDescent="0.35">
      <c r="B86" s="8">
        <v>81</v>
      </c>
      <c r="C86" s="8">
        <v>74.599999999999994</v>
      </c>
      <c r="D86" s="8">
        <v>71.7</v>
      </c>
      <c r="E86" s="8">
        <f t="shared" si="1"/>
        <v>-2.8999999999999915</v>
      </c>
    </row>
    <row r="87" spans="2:5" x14ac:dyDescent="0.35">
      <c r="B87" s="8">
        <v>82</v>
      </c>
      <c r="C87" s="8">
        <v>79.3</v>
      </c>
      <c r="D87" s="8">
        <v>80.7</v>
      </c>
      <c r="E87" s="8">
        <f t="shared" si="1"/>
        <v>1.4000000000000057</v>
      </c>
    </row>
    <row r="88" spans="2:5" x14ac:dyDescent="0.35">
      <c r="B88" s="8">
        <v>83</v>
      </c>
      <c r="C88" s="8">
        <v>70.099999999999994</v>
      </c>
      <c r="D88" s="8">
        <v>84.1</v>
      </c>
      <c r="E88" s="8">
        <f t="shared" si="1"/>
        <v>14</v>
      </c>
    </row>
    <row r="89" spans="2:5" x14ac:dyDescent="0.35">
      <c r="B89" s="8">
        <v>84</v>
      </c>
      <c r="C89" s="8">
        <v>88.8</v>
      </c>
      <c r="D89" s="8">
        <v>87.4</v>
      </c>
      <c r="E89" s="8">
        <f t="shared" si="1"/>
        <v>-1.3999999999999915</v>
      </c>
    </row>
    <row r="90" spans="2:5" x14ac:dyDescent="0.35">
      <c r="B90" s="8">
        <v>85</v>
      </c>
      <c r="C90" s="8">
        <v>66</v>
      </c>
      <c r="D90" s="8">
        <v>77.400000000000006</v>
      </c>
      <c r="E90" s="8">
        <f t="shared" si="1"/>
        <v>11.400000000000006</v>
      </c>
    </row>
    <row r="91" spans="2:5" x14ac:dyDescent="0.35">
      <c r="B91" s="8">
        <v>86</v>
      </c>
      <c r="C91" s="8">
        <v>82.9</v>
      </c>
      <c r="D91" s="8">
        <v>84.7</v>
      </c>
      <c r="E91" s="8">
        <f t="shared" si="1"/>
        <v>1.7999999999999972</v>
      </c>
    </row>
    <row r="92" spans="2:5" x14ac:dyDescent="0.35">
      <c r="B92" s="8">
        <v>87</v>
      </c>
      <c r="C92" s="8">
        <v>100</v>
      </c>
      <c r="D92" s="8">
        <v>78.8</v>
      </c>
      <c r="E92" s="8">
        <f t="shared" si="1"/>
        <v>-21.200000000000003</v>
      </c>
    </row>
    <row r="93" spans="2:5" x14ac:dyDescent="0.35">
      <c r="B93" s="8">
        <v>88</v>
      </c>
      <c r="C93" s="8">
        <v>75.599999999999994</v>
      </c>
      <c r="D93" s="8">
        <v>92.7</v>
      </c>
      <c r="E93" s="8">
        <f t="shared" si="1"/>
        <v>17.100000000000009</v>
      </c>
    </row>
    <row r="94" spans="2:5" x14ac:dyDescent="0.35">
      <c r="B94" s="8">
        <v>89</v>
      </c>
      <c r="C94" s="8">
        <v>67.5</v>
      </c>
      <c r="D94" s="8">
        <v>88.8</v>
      </c>
      <c r="E94" s="8">
        <f t="shared" si="1"/>
        <v>21.299999999999997</v>
      </c>
    </row>
    <row r="95" spans="2:5" x14ac:dyDescent="0.35">
      <c r="B95" s="8">
        <v>90</v>
      </c>
      <c r="C95" s="8">
        <v>68.7</v>
      </c>
      <c r="D95" s="8">
        <v>86.6</v>
      </c>
      <c r="E95" s="8">
        <f t="shared" si="1"/>
        <v>17.899999999999991</v>
      </c>
    </row>
    <row r="96" spans="2:5" x14ac:dyDescent="0.35">
      <c r="B96" s="8">
        <v>91</v>
      </c>
      <c r="C96" s="8">
        <v>76</v>
      </c>
      <c r="D96" s="8">
        <v>77.900000000000006</v>
      </c>
      <c r="E96" s="8">
        <f t="shared" si="1"/>
        <v>1.9000000000000057</v>
      </c>
    </row>
    <row r="97" spans="2:5" x14ac:dyDescent="0.35">
      <c r="B97" s="8">
        <v>92</v>
      </c>
      <c r="C97" s="8">
        <v>67.7</v>
      </c>
      <c r="D97" s="8">
        <v>86.1</v>
      </c>
      <c r="E97" s="8">
        <f t="shared" si="1"/>
        <v>18.399999999999991</v>
      </c>
    </row>
    <row r="98" spans="2:5" x14ac:dyDescent="0.35">
      <c r="B98" s="8">
        <v>93</v>
      </c>
      <c r="C98" s="8">
        <v>75.3</v>
      </c>
      <c r="D98" s="8">
        <v>89.9</v>
      </c>
      <c r="E98" s="8">
        <f t="shared" si="1"/>
        <v>14.600000000000009</v>
      </c>
    </row>
    <row r="99" spans="2:5" x14ac:dyDescent="0.35">
      <c r="B99" s="8">
        <v>94</v>
      </c>
      <c r="C99" s="8">
        <v>68.099999999999994</v>
      </c>
      <c r="D99" s="8">
        <v>83.1</v>
      </c>
      <c r="E99" s="8">
        <f t="shared" si="1"/>
        <v>15</v>
      </c>
    </row>
    <row r="100" spans="2:5" x14ac:dyDescent="0.35">
      <c r="B100" s="8">
        <v>95</v>
      </c>
      <c r="C100" s="8">
        <v>63.3</v>
      </c>
      <c r="D100" s="8">
        <v>82.6</v>
      </c>
      <c r="E100" s="8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  <headerFooter>
    <oddFooter>&amp;L3/20/2023&amp;CAXP Internal&amp;R33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topLeftCell="C1" workbookViewId="0">
      <selection activeCell="H7" sqref="H7"/>
    </sheetView>
  </sheetViews>
  <sheetFormatPr defaultRowHeight="14.5" x14ac:dyDescent="0.35"/>
  <cols>
    <col min="1" max="1" width="2.81640625" customWidth="1"/>
    <col min="2" max="2" width="11.453125" customWidth="1"/>
    <col min="3" max="3" width="21.453125" customWidth="1"/>
    <col min="4" max="4" width="20" customWidth="1"/>
    <col min="5" max="5" width="11.453125" customWidth="1"/>
    <col min="7" max="7" width="12.1796875" customWidth="1"/>
    <col min="8" max="8" width="11.453125" customWidth="1"/>
    <col min="10" max="10" width="20" customWidth="1"/>
    <col min="11" max="11" width="9.54296875" bestFit="1" customWidth="1"/>
    <col min="13" max="13" width="14.26953125" customWidth="1"/>
    <col min="14" max="14" width="11.453125" customWidth="1"/>
  </cols>
  <sheetData>
    <row r="1" spans="2:14" ht="25.5" customHeight="1" x14ac:dyDescent="0.45">
      <c r="B1" s="18" t="s">
        <v>173</v>
      </c>
    </row>
    <row r="2" spans="2:14" ht="15" customHeight="1" x14ac:dyDescent="0.35">
      <c r="B2" s="30" t="s">
        <v>306</v>
      </c>
    </row>
    <row r="3" spans="2:14" ht="18" customHeight="1" x14ac:dyDescent="0.35"/>
    <row r="4" spans="2:14" x14ac:dyDescent="0.35">
      <c r="G4" s="3" t="s">
        <v>54</v>
      </c>
      <c r="J4" s="3" t="s">
        <v>54</v>
      </c>
      <c r="M4" s="3" t="s">
        <v>54</v>
      </c>
    </row>
    <row r="5" spans="2:14" x14ac:dyDescent="0.35">
      <c r="B5" s="40" t="s">
        <v>20</v>
      </c>
      <c r="C5" s="43" t="s">
        <v>22</v>
      </c>
      <c r="D5" s="43" t="s">
        <v>23</v>
      </c>
      <c r="E5" s="41" t="s">
        <v>172</v>
      </c>
      <c r="G5" s="121" t="s">
        <v>139</v>
      </c>
      <c r="H5" s="121"/>
      <c r="J5" s="121" t="s">
        <v>141</v>
      </c>
      <c r="K5" s="121"/>
      <c r="M5" s="121" t="s">
        <v>147</v>
      </c>
      <c r="N5" s="121"/>
    </row>
    <row r="6" spans="2:14" x14ac:dyDescent="0.35">
      <c r="B6" s="8">
        <v>1</v>
      </c>
      <c r="C6" s="8">
        <v>252</v>
      </c>
      <c r="D6" s="8">
        <v>276</v>
      </c>
      <c r="E6" s="8">
        <f>D6-C6</f>
        <v>24</v>
      </c>
      <c r="G6" s="20" t="s">
        <v>71</v>
      </c>
      <c r="H6" s="71">
        <f>COUNT(E6:E100)</f>
        <v>95</v>
      </c>
      <c r="J6" s="20" t="s">
        <v>142</v>
      </c>
      <c r="K6" s="82">
        <v>0.9</v>
      </c>
      <c r="M6" s="20" t="s">
        <v>148</v>
      </c>
      <c r="N6" s="72">
        <f>H7-K8</f>
        <v>44.387759816134697</v>
      </c>
    </row>
    <row r="7" spans="2:14" x14ac:dyDescent="0.35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46</v>
      </c>
      <c r="H7" s="72">
        <f>AVERAGE(E6:E100)</f>
        <v>49.442105263157892</v>
      </c>
      <c r="J7" s="20" t="s">
        <v>143</v>
      </c>
      <c r="K7" s="82">
        <f>1-K6</f>
        <v>9.9999999999999978E-2</v>
      </c>
      <c r="M7" s="20" t="s">
        <v>149</v>
      </c>
      <c r="N7" s="72">
        <f>H7+K8</f>
        <v>54.496450710181087</v>
      </c>
    </row>
    <row r="8" spans="2:14" x14ac:dyDescent="0.35">
      <c r="B8" s="8">
        <v>3</v>
      </c>
      <c r="C8" s="8">
        <v>101</v>
      </c>
      <c r="D8" s="8">
        <v>119</v>
      </c>
      <c r="E8" s="8">
        <f t="shared" si="0"/>
        <v>18</v>
      </c>
      <c r="G8" s="20" t="s">
        <v>70</v>
      </c>
      <c r="H8" s="75">
        <f>_xlfn.STDEV.S(E6:E100)</f>
        <v>29.655007753875548</v>
      </c>
      <c r="J8" s="20" t="s">
        <v>150</v>
      </c>
      <c r="K8" s="75">
        <f>_xlfn.CONFIDENCE.T(K7,H8,H6)</f>
        <v>5.0543454470231923</v>
      </c>
    </row>
    <row r="9" spans="2:14" x14ac:dyDescent="0.35">
      <c r="B9" s="8">
        <v>4</v>
      </c>
      <c r="C9" s="8">
        <v>288</v>
      </c>
      <c r="D9" s="8">
        <v>334</v>
      </c>
      <c r="E9" s="8">
        <f t="shared" si="0"/>
        <v>46</v>
      </c>
    </row>
    <row r="10" spans="2:14" x14ac:dyDescent="0.35">
      <c r="B10" s="8">
        <v>5</v>
      </c>
      <c r="C10" s="8">
        <v>248</v>
      </c>
      <c r="D10" s="8">
        <v>252</v>
      </c>
      <c r="E10" s="8">
        <f t="shared" si="0"/>
        <v>4</v>
      </c>
    </row>
    <row r="11" spans="2:14" x14ac:dyDescent="0.35">
      <c r="B11" s="8">
        <v>6</v>
      </c>
      <c r="C11" s="8">
        <v>145</v>
      </c>
      <c r="D11" s="8">
        <v>209</v>
      </c>
      <c r="E11" s="8">
        <f t="shared" si="0"/>
        <v>64</v>
      </c>
      <c r="J11" s="20"/>
    </row>
    <row r="12" spans="2:14" x14ac:dyDescent="0.35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14" x14ac:dyDescent="0.35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14" x14ac:dyDescent="0.35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14" x14ac:dyDescent="0.35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14" x14ac:dyDescent="0.35">
      <c r="B16" s="8">
        <v>11</v>
      </c>
      <c r="C16" s="8">
        <v>182</v>
      </c>
      <c r="D16" s="8">
        <v>232</v>
      </c>
      <c r="E16" s="8">
        <f t="shared" si="0"/>
        <v>50</v>
      </c>
    </row>
    <row r="17" spans="2:5" x14ac:dyDescent="0.35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35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35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35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35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35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35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35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35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35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35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35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35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35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35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35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35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35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35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35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35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35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35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35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35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35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35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35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35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35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35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35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35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35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35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35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35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35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35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35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35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35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35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35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35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35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35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35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35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35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35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35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35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35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35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35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35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35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35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35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35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35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35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35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35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35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35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35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35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35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35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35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35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35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35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35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35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35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35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35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35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35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35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35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  <headerFooter>
    <oddFooter>&amp;L3/20/2023&amp;CAXP Internal&amp;R34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zoomScale="81" zoomScaleNormal="81" workbookViewId="0">
      <selection activeCell="Q7" sqref="Q7"/>
    </sheetView>
  </sheetViews>
  <sheetFormatPr defaultRowHeight="14.5" x14ac:dyDescent="0.35"/>
  <cols>
    <col min="1" max="1" width="2.81640625" customWidth="1"/>
    <col min="2" max="2" width="19.7265625" customWidth="1"/>
    <col min="3" max="3" width="2.81640625" customWidth="1"/>
    <col min="4" max="4" width="17" bestFit="1" customWidth="1"/>
    <col min="6" max="6" width="15.453125" bestFit="1" customWidth="1"/>
    <col min="7" max="8" width="14.26953125" customWidth="1"/>
    <col min="10" max="11" width="11.453125" customWidth="1"/>
    <col min="13" max="13" width="19.81640625" bestFit="1" customWidth="1"/>
    <col min="14" max="14" width="12" bestFit="1" customWidth="1"/>
    <col min="16" max="16" width="14.26953125" customWidth="1"/>
    <col min="17" max="17" width="11.453125" customWidth="1"/>
  </cols>
  <sheetData>
    <row r="1" spans="2:17" ht="25.5" customHeight="1" x14ac:dyDescent="0.45">
      <c r="B1" s="18" t="s">
        <v>174</v>
      </c>
    </row>
    <row r="2" spans="2:17" ht="15" customHeight="1" x14ac:dyDescent="0.35">
      <c r="B2" s="30" t="s">
        <v>175</v>
      </c>
    </row>
    <row r="3" spans="2:17" ht="18" customHeight="1" x14ac:dyDescent="0.35"/>
    <row r="4" spans="2:17" x14ac:dyDescent="0.35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35">
      <c r="B5" s="7" t="s">
        <v>58</v>
      </c>
      <c r="D5" s="7" t="s">
        <v>59</v>
      </c>
      <c r="F5" s="121" t="s">
        <v>139</v>
      </c>
      <c r="G5" s="121"/>
      <c r="H5" s="121"/>
      <c r="J5" s="121" t="s">
        <v>179</v>
      </c>
      <c r="K5" s="121"/>
      <c r="M5" s="121" t="s">
        <v>141</v>
      </c>
      <c r="N5" s="121"/>
      <c r="P5" s="121" t="s">
        <v>147</v>
      </c>
      <c r="Q5" s="121"/>
    </row>
    <row r="6" spans="2:17" ht="16.5" x14ac:dyDescent="0.45">
      <c r="B6" s="8">
        <v>90.2</v>
      </c>
      <c r="D6" s="8">
        <v>68.7</v>
      </c>
      <c r="G6" s="17" t="s">
        <v>24</v>
      </c>
      <c r="H6" s="17" t="s">
        <v>26</v>
      </c>
      <c r="J6" s="20" t="s">
        <v>180</v>
      </c>
      <c r="K6" s="72">
        <f>G9-H9</f>
        <v>1.8650659133709979</v>
      </c>
      <c r="M6" s="20" t="s">
        <v>142</v>
      </c>
      <c r="N6" s="77">
        <v>0.9</v>
      </c>
      <c r="P6" s="20" t="s">
        <v>148</v>
      </c>
      <c r="Q6" s="72">
        <f>K6-N12</f>
        <v>-0.39955679893334928</v>
      </c>
    </row>
    <row r="7" spans="2:17" x14ac:dyDescent="0.35">
      <c r="B7" s="8">
        <v>92.8</v>
      </c>
      <c r="D7" s="8">
        <v>80.7</v>
      </c>
      <c r="F7" s="20" t="s">
        <v>176</v>
      </c>
      <c r="G7" s="71">
        <f>COUNT(B6:B41)</f>
        <v>36</v>
      </c>
      <c r="H7" s="71">
        <f>COUNT(D6:D64)</f>
        <v>59</v>
      </c>
      <c r="M7" s="20" t="s">
        <v>143</v>
      </c>
      <c r="N7" s="82">
        <f>1-N6</f>
        <v>9.9999999999999978E-2</v>
      </c>
      <c r="P7" s="20" t="s">
        <v>149</v>
      </c>
      <c r="Q7" s="72">
        <f>K6+N12</f>
        <v>4.1296886256753451</v>
      </c>
    </row>
    <row r="8" spans="2:17" x14ac:dyDescent="0.35">
      <c r="B8" s="8">
        <v>88.7</v>
      </c>
      <c r="D8" s="8">
        <v>74.900000000000006</v>
      </c>
      <c r="F8" s="20" t="s">
        <v>184</v>
      </c>
      <c r="G8" s="71">
        <f>G7-1</f>
        <v>35</v>
      </c>
      <c r="H8" s="71">
        <f>H7-1</f>
        <v>58</v>
      </c>
      <c r="M8" s="20" t="s">
        <v>144</v>
      </c>
      <c r="N8" s="71">
        <f>N7/2</f>
        <v>4.9999999999999989E-2</v>
      </c>
    </row>
    <row r="9" spans="2:17" x14ac:dyDescent="0.35">
      <c r="B9" s="8">
        <v>87.5</v>
      </c>
      <c r="D9" s="8">
        <v>80.7</v>
      </c>
      <c r="F9" s="20" t="s">
        <v>177</v>
      </c>
      <c r="G9" s="72">
        <f>AVERAGE(B6:B41)</f>
        <v>81.327777777777783</v>
      </c>
      <c r="H9" s="72">
        <f>AVERAGE(D6:D64)</f>
        <v>79.462711864406785</v>
      </c>
      <c r="M9" s="20" t="s">
        <v>181</v>
      </c>
      <c r="N9" s="75">
        <f>(G11+H11)^2/((G11^2/G8)+(H11^2)/H8)</f>
        <v>66.531119815425654</v>
      </c>
    </row>
    <row r="10" spans="2:17" ht="16.5" x14ac:dyDescent="0.35">
      <c r="B10" s="8">
        <v>71.3</v>
      </c>
      <c r="D10" s="8">
        <v>83.3</v>
      </c>
      <c r="F10" s="20" t="s">
        <v>178</v>
      </c>
      <c r="G10" s="75">
        <f>_xlfn.STDEV.S(B6:B41)^2</f>
        <v>44.135206349206364</v>
      </c>
      <c r="H10" s="75">
        <f>_xlfn.STDEV.S(D6:D64)^2</f>
        <v>33.739275277615427</v>
      </c>
      <c r="M10" s="20" t="s">
        <v>156</v>
      </c>
      <c r="N10" s="70">
        <f>ABS(_xlfn.T.INV(N8,N9))</f>
        <v>1.6682705142276302</v>
      </c>
    </row>
    <row r="11" spans="2:17" ht="16.5" x14ac:dyDescent="0.35">
      <c r="B11" s="8">
        <v>72.3</v>
      </c>
      <c r="D11" s="8">
        <v>75.400000000000006</v>
      </c>
      <c r="F11" s="20" t="s">
        <v>183</v>
      </c>
      <c r="G11" s="70">
        <f>G10/G7</f>
        <v>1.2259779541446212</v>
      </c>
      <c r="H11" s="70">
        <f>H10/H7</f>
        <v>0.57185212334941404</v>
      </c>
      <c r="M11" s="20" t="s">
        <v>146</v>
      </c>
      <c r="N11" s="75">
        <f>SQRT(G10/G8+H10/H8)</f>
        <v>1.3574673249876468</v>
      </c>
    </row>
    <row r="12" spans="2:17" x14ac:dyDescent="0.35">
      <c r="B12" s="8">
        <v>96.1</v>
      </c>
      <c r="D12" s="8">
        <v>82.1</v>
      </c>
      <c r="M12" s="20" t="s">
        <v>150</v>
      </c>
      <c r="N12" s="75">
        <f>N11*N10</f>
        <v>2.2646227123043472</v>
      </c>
    </row>
    <row r="13" spans="2:17" x14ac:dyDescent="0.35">
      <c r="B13" s="8">
        <v>80.3</v>
      </c>
      <c r="D13" s="8">
        <v>66.900000000000006</v>
      </c>
    </row>
    <row r="14" spans="2:17" x14ac:dyDescent="0.35">
      <c r="B14" s="8">
        <v>79.099999999999994</v>
      </c>
      <c r="D14" s="8">
        <v>76.8</v>
      </c>
    </row>
    <row r="15" spans="2:17" x14ac:dyDescent="0.35">
      <c r="B15" s="8">
        <v>87.5</v>
      </c>
      <c r="D15" s="8">
        <v>72.400000000000006</v>
      </c>
    </row>
    <row r="16" spans="2:17" x14ac:dyDescent="0.35">
      <c r="B16" s="8">
        <v>80.8</v>
      </c>
      <c r="D16" s="8">
        <v>72</v>
      </c>
    </row>
    <row r="17" spans="2:4" x14ac:dyDescent="0.35">
      <c r="B17" s="8">
        <v>88.9</v>
      </c>
      <c r="D17" s="8">
        <v>81</v>
      </c>
    </row>
    <row r="18" spans="2:4" x14ac:dyDescent="0.35">
      <c r="B18" s="8">
        <v>82.3</v>
      </c>
      <c r="D18" s="8">
        <v>76.7</v>
      </c>
    </row>
    <row r="19" spans="2:4" x14ac:dyDescent="0.35">
      <c r="B19" s="8">
        <v>83.4</v>
      </c>
      <c r="D19" s="8">
        <v>77.8</v>
      </c>
    </row>
    <row r="20" spans="2:4" x14ac:dyDescent="0.35">
      <c r="B20" s="8">
        <v>77.8</v>
      </c>
      <c r="D20" s="8">
        <v>62.6</v>
      </c>
    </row>
    <row r="21" spans="2:4" x14ac:dyDescent="0.35">
      <c r="B21" s="8">
        <v>71</v>
      </c>
      <c r="D21" s="8">
        <v>80.2</v>
      </c>
    </row>
    <row r="22" spans="2:4" x14ac:dyDescent="0.35">
      <c r="B22" s="8">
        <v>87.2</v>
      </c>
      <c r="D22" s="8">
        <v>77.8</v>
      </c>
    </row>
    <row r="23" spans="2:4" x14ac:dyDescent="0.35">
      <c r="B23" s="8">
        <v>82.9</v>
      </c>
      <c r="D23" s="8">
        <v>75.099999999999994</v>
      </c>
    </row>
    <row r="24" spans="2:4" x14ac:dyDescent="0.35">
      <c r="B24" s="8">
        <v>75.099999999999994</v>
      </c>
      <c r="D24" s="8">
        <v>82.2</v>
      </c>
    </row>
    <row r="25" spans="2:4" x14ac:dyDescent="0.35">
      <c r="B25" s="8">
        <v>74.900000000000006</v>
      </c>
      <c r="D25" s="8">
        <v>70.5</v>
      </c>
    </row>
    <row r="26" spans="2:4" x14ac:dyDescent="0.35">
      <c r="B26" s="8">
        <v>81.7</v>
      </c>
      <c r="D26" s="8">
        <v>70.8</v>
      </c>
    </row>
    <row r="27" spans="2:4" x14ac:dyDescent="0.35">
      <c r="B27" s="8">
        <v>83.8</v>
      </c>
      <c r="D27" s="8">
        <v>79.5</v>
      </c>
    </row>
    <row r="28" spans="2:4" x14ac:dyDescent="0.35">
      <c r="B28" s="8">
        <v>74.8</v>
      </c>
      <c r="D28" s="8">
        <v>79.599999999999994</v>
      </c>
    </row>
    <row r="29" spans="2:4" x14ac:dyDescent="0.35">
      <c r="B29" s="8">
        <v>82.7</v>
      </c>
      <c r="D29" s="8">
        <v>85.9</v>
      </c>
    </row>
    <row r="30" spans="2:4" x14ac:dyDescent="0.35">
      <c r="B30" s="8">
        <v>84</v>
      </c>
      <c r="D30" s="8">
        <v>76.7</v>
      </c>
    </row>
    <row r="31" spans="2:4" x14ac:dyDescent="0.35">
      <c r="B31" s="8">
        <v>80.099999999999994</v>
      </c>
      <c r="D31" s="8">
        <v>79.900000000000006</v>
      </c>
    </row>
    <row r="32" spans="2:4" x14ac:dyDescent="0.35">
      <c r="B32" s="8">
        <v>79.599999999999994</v>
      </c>
      <c r="D32" s="8">
        <v>86.2</v>
      </c>
    </row>
    <row r="33" spans="2:4" x14ac:dyDescent="0.35">
      <c r="B33" s="8">
        <v>78.900000000000006</v>
      </c>
      <c r="D33" s="8">
        <v>79.2</v>
      </c>
    </row>
    <row r="34" spans="2:4" x14ac:dyDescent="0.35">
      <c r="B34" s="8">
        <v>72</v>
      </c>
      <c r="D34" s="8">
        <v>85.2</v>
      </c>
    </row>
    <row r="35" spans="2:4" x14ac:dyDescent="0.35">
      <c r="B35" s="8">
        <v>74.2</v>
      </c>
      <c r="D35" s="8">
        <v>80.2</v>
      </c>
    </row>
    <row r="36" spans="2:4" x14ac:dyDescent="0.35">
      <c r="B36" s="8">
        <v>71.7</v>
      </c>
      <c r="D36" s="8">
        <v>73.5</v>
      </c>
    </row>
    <row r="37" spans="2:4" x14ac:dyDescent="0.35">
      <c r="B37" s="8">
        <v>87.4</v>
      </c>
      <c r="D37" s="8">
        <v>74.599999999999994</v>
      </c>
    </row>
    <row r="38" spans="2:4" x14ac:dyDescent="0.35">
      <c r="B38" s="8">
        <v>77.400000000000006</v>
      </c>
      <c r="D38" s="8">
        <v>85.1</v>
      </c>
    </row>
    <row r="39" spans="2:4" x14ac:dyDescent="0.35">
      <c r="B39" s="8">
        <v>78.8</v>
      </c>
      <c r="D39" s="8">
        <v>84.6</v>
      </c>
    </row>
    <row r="40" spans="2:4" x14ac:dyDescent="0.35">
      <c r="B40" s="8">
        <v>92.7</v>
      </c>
      <c r="D40" s="8">
        <v>81.400000000000006</v>
      </c>
    </row>
    <row r="41" spans="2:4" x14ac:dyDescent="0.35">
      <c r="B41" s="8">
        <v>77.900000000000006</v>
      </c>
      <c r="D41" s="8">
        <v>88.5</v>
      </c>
    </row>
    <row r="42" spans="2:4" x14ac:dyDescent="0.35">
      <c r="D42" s="8">
        <v>84.9</v>
      </c>
    </row>
    <row r="43" spans="2:4" x14ac:dyDescent="0.35">
      <c r="D43" s="8">
        <v>84.3</v>
      </c>
    </row>
    <row r="44" spans="2:4" x14ac:dyDescent="0.35">
      <c r="D44" s="8">
        <v>78.2</v>
      </c>
    </row>
    <row r="45" spans="2:4" x14ac:dyDescent="0.35">
      <c r="D45" s="8">
        <v>80</v>
      </c>
    </row>
    <row r="46" spans="2:4" x14ac:dyDescent="0.35">
      <c r="D46" s="8">
        <v>78.5</v>
      </c>
    </row>
    <row r="47" spans="2:4" x14ac:dyDescent="0.35">
      <c r="D47" s="8">
        <v>71.8</v>
      </c>
    </row>
    <row r="48" spans="2:4" x14ac:dyDescent="0.35">
      <c r="D48" s="8">
        <v>69.900000000000006</v>
      </c>
    </row>
    <row r="49" spans="4:4" x14ac:dyDescent="0.35">
      <c r="D49" s="8">
        <v>74</v>
      </c>
    </row>
    <row r="50" spans="4:4" x14ac:dyDescent="0.35">
      <c r="D50" s="8">
        <v>84.7</v>
      </c>
    </row>
    <row r="51" spans="4:4" x14ac:dyDescent="0.35">
      <c r="D51" s="8">
        <v>78.2</v>
      </c>
    </row>
    <row r="52" spans="4:4" x14ac:dyDescent="0.35">
      <c r="D52" s="8">
        <v>85</v>
      </c>
    </row>
    <row r="53" spans="4:4" x14ac:dyDescent="0.35">
      <c r="D53" s="8">
        <v>85.3</v>
      </c>
    </row>
    <row r="54" spans="4:4" x14ac:dyDescent="0.35">
      <c r="D54" s="8">
        <v>79.7</v>
      </c>
    </row>
    <row r="55" spans="4:4" x14ac:dyDescent="0.35">
      <c r="D55" s="8">
        <v>78.5</v>
      </c>
    </row>
    <row r="56" spans="4:4" x14ac:dyDescent="0.35">
      <c r="D56" s="8">
        <v>80.7</v>
      </c>
    </row>
    <row r="57" spans="4:4" x14ac:dyDescent="0.35">
      <c r="D57" s="8">
        <v>84.1</v>
      </c>
    </row>
    <row r="58" spans="4:4" x14ac:dyDescent="0.35">
      <c r="D58" s="8">
        <v>84.7</v>
      </c>
    </row>
    <row r="59" spans="4:4" x14ac:dyDescent="0.35">
      <c r="D59" s="8">
        <v>88.8</v>
      </c>
    </row>
    <row r="60" spans="4:4" x14ac:dyDescent="0.35">
      <c r="D60" s="8">
        <v>86.6</v>
      </c>
    </row>
    <row r="61" spans="4:4" x14ac:dyDescent="0.35">
      <c r="D61" s="8">
        <v>86.1</v>
      </c>
    </row>
    <row r="62" spans="4:4" x14ac:dyDescent="0.35">
      <c r="D62" s="8">
        <v>89.9</v>
      </c>
    </row>
    <row r="63" spans="4:4" x14ac:dyDescent="0.35">
      <c r="D63" s="8">
        <v>83.1</v>
      </c>
    </row>
    <row r="64" spans="4:4" x14ac:dyDescent="0.35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pageSetup orientation="portrait" r:id="rId1"/>
  <headerFooter>
    <oddFooter>&amp;L3/20/2023&amp;CAXP Internal&amp;R35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zoomScale="77" zoomScaleNormal="77" workbookViewId="0">
      <selection activeCell="J6" sqref="J6"/>
    </sheetView>
  </sheetViews>
  <sheetFormatPr defaultRowHeight="14.5" x14ac:dyDescent="0.35"/>
  <cols>
    <col min="1" max="1" width="2.81640625" customWidth="1"/>
    <col min="2" max="2" width="11.453125" customWidth="1"/>
    <col min="3" max="3" width="20" customWidth="1"/>
    <col min="5" max="5" width="15.453125" bestFit="1" customWidth="1"/>
    <col min="6" max="7" width="14.26953125" customWidth="1"/>
    <col min="9" max="10" width="11.453125" customWidth="1"/>
    <col min="12" max="12" width="19.81640625" bestFit="1" customWidth="1"/>
    <col min="13" max="13" width="12" bestFit="1" customWidth="1"/>
    <col min="15" max="15" width="14.26953125" customWidth="1"/>
    <col min="16" max="16" width="11.453125" customWidth="1"/>
  </cols>
  <sheetData>
    <row r="1" spans="2:16" ht="25.5" customHeight="1" x14ac:dyDescent="0.45">
      <c r="B1" s="18" t="s">
        <v>182</v>
      </c>
    </row>
    <row r="2" spans="2:16" ht="15" customHeight="1" x14ac:dyDescent="0.35">
      <c r="B2" s="30" t="s">
        <v>175</v>
      </c>
    </row>
    <row r="3" spans="2:16" ht="18" customHeight="1" x14ac:dyDescent="0.35"/>
    <row r="4" spans="2:16" x14ac:dyDescent="0.35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35">
      <c r="B5" s="40" t="s">
        <v>12</v>
      </c>
      <c r="C5" s="41" t="s">
        <v>23</v>
      </c>
      <c r="E5" s="122" t="s">
        <v>139</v>
      </c>
      <c r="F5" s="122"/>
      <c r="G5" s="122"/>
      <c r="I5" s="121" t="s">
        <v>179</v>
      </c>
      <c r="J5" s="121"/>
      <c r="L5" s="121" t="s">
        <v>141</v>
      </c>
      <c r="M5" s="121"/>
      <c r="O5" s="121" t="s">
        <v>147</v>
      </c>
      <c r="P5" s="121"/>
    </row>
    <row r="6" spans="2:16" ht="16.5" x14ac:dyDescent="0.45">
      <c r="B6" s="8" t="s">
        <v>13</v>
      </c>
      <c r="C6" s="8">
        <v>276</v>
      </c>
      <c r="F6" s="17" t="s">
        <v>13</v>
      </c>
      <c r="G6" s="17" t="s">
        <v>14</v>
      </c>
      <c r="I6" s="20" t="s">
        <v>180</v>
      </c>
      <c r="J6" s="73">
        <f>F9-G9</f>
        <v>70.528301886792462</v>
      </c>
      <c r="L6" s="20" t="s">
        <v>142</v>
      </c>
      <c r="M6" s="77">
        <v>0.9</v>
      </c>
      <c r="O6" s="20" t="s">
        <v>148</v>
      </c>
      <c r="P6" s="73">
        <f>J6-M12</f>
        <v>90.279046525896462</v>
      </c>
    </row>
    <row r="7" spans="2:16" x14ac:dyDescent="0.35">
      <c r="B7" s="8" t="s">
        <v>14</v>
      </c>
      <c r="C7" s="8">
        <v>410</v>
      </c>
      <c r="E7" s="20" t="s">
        <v>176</v>
      </c>
      <c r="F7" s="71">
        <f>COUNTIF(B6:B100,F6)</f>
        <v>53</v>
      </c>
      <c r="G7" s="71">
        <f>COUNTIF(B6:B100,G6)</f>
        <v>42</v>
      </c>
      <c r="L7" s="20" t="s">
        <v>143</v>
      </c>
      <c r="M7" s="82">
        <f>1-M6</f>
        <v>9.9999999999999978E-2</v>
      </c>
      <c r="O7" s="20" t="s">
        <v>149</v>
      </c>
      <c r="P7" s="73">
        <f>J6+M12</f>
        <v>50.77755724768847</v>
      </c>
    </row>
    <row r="8" spans="2:16" x14ac:dyDescent="0.35">
      <c r="B8" s="8" t="s">
        <v>13</v>
      </c>
      <c r="C8" s="8">
        <v>119</v>
      </c>
      <c r="E8" s="20" t="s">
        <v>184</v>
      </c>
      <c r="F8" s="71">
        <f>F7-1</f>
        <v>52</v>
      </c>
      <c r="G8" s="71">
        <f>G7-1</f>
        <v>41</v>
      </c>
      <c r="L8" s="20" t="s">
        <v>144</v>
      </c>
      <c r="M8" s="71">
        <f>M7/2</f>
        <v>4.9999999999999989E-2</v>
      </c>
    </row>
    <row r="9" spans="2:16" x14ac:dyDescent="0.35">
      <c r="B9" s="8" t="s">
        <v>14</v>
      </c>
      <c r="C9" s="8">
        <v>334</v>
      </c>
      <c r="E9" s="20" t="s">
        <v>177</v>
      </c>
      <c r="F9" s="73">
        <f>AVERAGEIF(B6:B100,F6,C6:C100)</f>
        <v>320.52830188679246</v>
      </c>
      <c r="G9" s="73">
        <f>AVERAGEIF(B6:B100,G6,C6:C100)</f>
        <v>250</v>
      </c>
      <c r="L9" s="20" t="s">
        <v>181</v>
      </c>
      <c r="M9" s="75">
        <f>(F11+G11)^2/(F11^2/F8+G11^2/G8)</f>
        <v>87.464124652300455</v>
      </c>
    </row>
    <row r="10" spans="2:16" ht="16.5" x14ac:dyDescent="0.35">
      <c r="B10" s="8" t="s">
        <v>14</v>
      </c>
      <c r="C10" s="8">
        <v>252</v>
      </c>
      <c r="E10" s="20" t="s">
        <v>178</v>
      </c>
      <c r="F10" s="74" cm="1">
        <f t="array" ref="F10">_xlfn.STDEV.S(IF($B$6:$B$100=F6,$C$6:$C$100))^2</f>
        <v>7479.7924528301946</v>
      </c>
      <c r="G10" s="74" cm="1">
        <f t="array" ref="G10">_xlfn.STDEV.S(IF($B$6:$B$100=G6,$C$6:$C$100))^2</f>
        <v>7722.878048780487</v>
      </c>
      <c r="L10" s="20" t="s">
        <v>156</v>
      </c>
      <c r="M10" s="70">
        <f>(_xlfn.T.INV(M8,M9))</f>
        <v>-1.662557349412876</v>
      </c>
    </row>
    <row r="11" spans="2:16" ht="16.5" x14ac:dyDescent="0.35">
      <c r="B11" s="8" t="s">
        <v>14</v>
      </c>
      <c r="C11" s="8">
        <v>209</v>
      </c>
      <c r="E11" s="20" t="s">
        <v>183</v>
      </c>
      <c r="F11" s="70">
        <f>F10/F7</f>
        <v>141.12815948736215</v>
      </c>
      <c r="G11" s="70">
        <f>G10/G7</f>
        <v>183.87804878048777</v>
      </c>
      <c r="L11" s="20" t="s">
        <v>146</v>
      </c>
      <c r="M11" s="75" cm="1">
        <f t="array" ref="M11:N11">SQRT(F11:G11)</f>
        <v>11.87973734925828</v>
      </c>
      <c r="N11">
        <v>13.560164039586239</v>
      </c>
    </row>
    <row r="12" spans="2:16" x14ac:dyDescent="0.35">
      <c r="B12" s="8" t="s">
        <v>13</v>
      </c>
      <c r="C12" s="8">
        <v>462</v>
      </c>
      <c r="L12" s="20" t="s">
        <v>150</v>
      </c>
      <c r="M12" s="75">
        <f>M11*M10</f>
        <v>-19.750744639103992</v>
      </c>
    </row>
    <row r="13" spans="2:16" x14ac:dyDescent="0.35">
      <c r="B13" s="8" t="s">
        <v>13</v>
      </c>
      <c r="C13" s="8">
        <v>342</v>
      </c>
    </row>
    <row r="14" spans="2:16" x14ac:dyDescent="0.35">
      <c r="B14" s="8" t="s">
        <v>13</v>
      </c>
      <c r="C14" s="8">
        <v>347</v>
      </c>
    </row>
    <row r="15" spans="2:16" x14ac:dyDescent="0.35">
      <c r="B15" s="8" t="s">
        <v>13</v>
      </c>
      <c r="C15" s="8">
        <v>313</v>
      </c>
    </row>
    <row r="16" spans="2:16" x14ac:dyDescent="0.35">
      <c r="B16" s="8" t="s">
        <v>14</v>
      </c>
      <c r="C16" s="8">
        <v>232</v>
      </c>
    </row>
    <row r="17" spans="2:3" x14ac:dyDescent="0.35">
      <c r="B17" s="8" t="s">
        <v>13</v>
      </c>
      <c r="C17" s="8">
        <v>163</v>
      </c>
    </row>
    <row r="18" spans="2:3" x14ac:dyDescent="0.35">
      <c r="B18" s="8" t="s">
        <v>14</v>
      </c>
      <c r="C18" s="8">
        <v>119</v>
      </c>
    </row>
    <row r="19" spans="2:3" x14ac:dyDescent="0.35">
      <c r="B19" s="8" t="s">
        <v>13</v>
      </c>
      <c r="C19" s="8">
        <v>304</v>
      </c>
    </row>
    <row r="20" spans="2:3" x14ac:dyDescent="0.35">
      <c r="B20" s="8" t="s">
        <v>13</v>
      </c>
      <c r="C20" s="8">
        <v>211</v>
      </c>
    </row>
    <row r="21" spans="2:3" x14ac:dyDescent="0.35">
      <c r="B21" s="8" t="s">
        <v>13</v>
      </c>
      <c r="C21" s="8">
        <v>286</v>
      </c>
    </row>
    <row r="22" spans="2:3" x14ac:dyDescent="0.35">
      <c r="B22" s="8" t="s">
        <v>14</v>
      </c>
      <c r="C22" s="8">
        <v>122</v>
      </c>
    </row>
    <row r="23" spans="2:3" x14ac:dyDescent="0.35">
      <c r="B23" s="8" t="s">
        <v>13</v>
      </c>
      <c r="C23" s="8">
        <v>443</v>
      </c>
    </row>
    <row r="24" spans="2:3" x14ac:dyDescent="0.35">
      <c r="B24" s="8" t="s">
        <v>14</v>
      </c>
      <c r="C24" s="8">
        <v>366</v>
      </c>
    </row>
    <row r="25" spans="2:3" x14ac:dyDescent="0.35">
      <c r="B25" s="8" t="s">
        <v>14</v>
      </c>
      <c r="C25" s="8">
        <v>244</v>
      </c>
    </row>
    <row r="26" spans="2:3" x14ac:dyDescent="0.35">
      <c r="B26" s="8" t="s">
        <v>14</v>
      </c>
      <c r="C26" s="8">
        <v>241</v>
      </c>
    </row>
    <row r="27" spans="2:3" x14ac:dyDescent="0.35">
      <c r="B27" s="8" t="s">
        <v>13</v>
      </c>
      <c r="C27" s="8">
        <v>237</v>
      </c>
    </row>
    <row r="28" spans="2:3" x14ac:dyDescent="0.35">
      <c r="B28" s="8" t="s">
        <v>14</v>
      </c>
      <c r="C28" s="8">
        <v>122</v>
      </c>
    </row>
    <row r="29" spans="2:3" x14ac:dyDescent="0.35">
      <c r="B29" s="8" t="s">
        <v>14</v>
      </c>
      <c r="C29" s="8">
        <v>129</v>
      </c>
    </row>
    <row r="30" spans="2:3" x14ac:dyDescent="0.35">
      <c r="B30" s="8" t="s">
        <v>13</v>
      </c>
      <c r="C30" s="8">
        <v>236</v>
      </c>
    </row>
    <row r="31" spans="2:3" x14ac:dyDescent="0.35">
      <c r="B31" s="8" t="s">
        <v>13</v>
      </c>
      <c r="C31" s="8">
        <v>251</v>
      </c>
    </row>
    <row r="32" spans="2:3" x14ac:dyDescent="0.35">
      <c r="B32" s="8" t="s">
        <v>13</v>
      </c>
      <c r="C32" s="8">
        <v>283</v>
      </c>
    </row>
    <row r="33" spans="2:3" x14ac:dyDescent="0.35">
      <c r="B33" s="8" t="s">
        <v>14</v>
      </c>
      <c r="C33" s="8">
        <v>225</v>
      </c>
    </row>
    <row r="34" spans="2:3" x14ac:dyDescent="0.35">
      <c r="B34" s="8" t="s">
        <v>14</v>
      </c>
      <c r="C34" s="8">
        <v>102</v>
      </c>
    </row>
    <row r="35" spans="2:3" x14ac:dyDescent="0.35">
      <c r="B35" s="8" t="s">
        <v>13</v>
      </c>
      <c r="C35" s="8">
        <v>180</v>
      </c>
    </row>
    <row r="36" spans="2:3" x14ac:dyDescent="0.35">
      <c r="B36" s="8" t="s">
        <v>14</v>
      </c>
      <c r="C36" s="8">
        <v>247</v>
      </c>
    </row>
    <row r="37" spans="2:3" x14ac:dyDescent="0.35">
      <c r="B37" s="8" t="s">
        <v>14</v>
      </c>
      <c r="C37" s="8">
        <v>343</v>
      </c>
    </row>
    <row r="38" spans="2:3" x14ac:dyDescent="0.35">
      <c r="B38" s="8" t="s">
        <v>14</v>
      </c>
      <c r="C38" s="8">
        <v>283</v>
      </c>
    </row>
    <row r="39" spans="2:3" x14ac:dyDescent="0.35">
      <c r="B39" s="8" t="s">
        <v>13</v>
      </c>
      <c r="C39" s="8">
        <v>253</v>
      </c>
    </row>
    <row r="40" spans="2:3" x14ac:dyDescent="0.35">
      <c r="B40" s="8" t="s">
        <v>14</v>
      </c>
      <c r="C40" s="8">
        <v>263</v>
      </c>
    </row>
    <row r="41" spans="2:3" x14ac:dyDescent="0.35">
      <c r="B41" s="8" t="s">
        <v>13</v>
      </c>
      <c r="C41" s="8">
        <v>291</v>
      </c>
    </row>
    <row r="42" spans="2:3" x14ac:dyDescent="0.35">
      <c r="B42" s="8" t="s">
        <v>13</v>
      </c>
      <c r="C42" s="8">
        <v>368</v>
      </c>
    </row>
    <row r="43" spans="2:3" x14ac:dyDescent="0.35">
      <c r="B43" s="8" t="s">
        <v>14</v>
      </c>
      <c r="C43" s="8">
        <v>206</v>
      </c>
    </row>
    <row r="44" spans="2:3" x14ac:dyDescent="0.35">
      <c r="B44" s="8" t="s">
        <v>14</v>
      </c>
      <c r="C44" s="8">
        <v>231</v>
      </c>
    </row>
    <row r="45" spans="2:3" x14ac:dyDescent="0.35">
      <c r="B45" s="8" t="s">
        <v>14</v>
      </c>
      <c r="C45" s="8">
        <v>389</v>
      </c>
    </row>
    <row r="46" spans="2:3" x14ac:dyDescent="0.35">
      <c r="B46" s="8" t="s">
        <v>13</v>
      </c>
      <c r="C46" s="8">
        <v>396</v>
      </c>
    </row>
    <row r="47" spans="2:3" x14ac:dyDescent="0.35">
      <c r="B47" s="8" t="s">
        <v>13</v>
      </c>
      <c r="C47" s="8">
        <v>339</v>
      </c>
    </row>
    <row r="48" spans="2:3" x14ac:dyDescent="0.35">
      <c r="B48" s="8" t="s">
        <v>13</v>
      </c>
      <c r="C48" s="8">
        <v>286</v>
      </c>
    </row>
    <row r="49" spans="2:3" x14ac:dyDescent="0.35">
      <c r="B49" s="8" t="s">
        <v>14</v>
      </c>
      <c r="C49" s="8">
        <v>146</v>
      </c>
    </row>
    <row r="50" spans="2:3" x14ac:dyDescent="0.35">
      <c r="B50" s="8" t="s">
        <v>13</v>
      </c>
      <c r="C50" s="8">
        <v>315</v>
      </c>
    </row>
    <row r="51" spans="2:3" x14ac:dyDescent="0.35">
      <c r="B51" s="8" t="s">
        <v>14</v>
      </c>
      <c r="C51" s="8">
        <v>183</v>
      </c>
    </row>
    <row r="52" spans="2:3" x14ac:dyDescent="0.35">
      <c r="B52" s="8" t="s">
        <v>13</v>
      </c>
      <c r="C52" s="8">
        <v>481</v>
      </c>
    </row>
    <row r="53" spans="2:3" x14ac:dyDescent="0.35">
      <c r="B53" s="8" t="s">
        <v>14</v>
      </c>
      <c r="C53" s="8">
        <v>349</v>
      </c>
    </row>
    <row r="54" spans="2:3" x14ac:dyDescent="0.35">
      <c r="B54" s="8" t="s">
        <v>13</v>
      </c>
      <c r="C54" s="8">
        <v>225</v>
      </c>
    </row>
    <row r="55" spans="2:3" x14ac:dyDescent="0.35">
      <c r="B55" s="8" t="s">
        <v>13</v>
      </c>
      <c r="C55" s="8">
        <v>217</v>
      </c>
    </row>
    <row r="56" spans="2:3" x14ac:dyDescent="0.35">
      <c r="B56" s="8" t="s">
        <v>13</v>
      </c>
      <c r="C56" s="8">
        <v>353</v>
      </c>
    </row>
    <row r="57" spans="2:3" x14ac:dyDescent="0.35">
      <c r="B57" s="8" t="s">
        <v>14</v>
      </c>
      <c r="C57" s="8">
        <v>314</v>
      </c>
    </row>
    <row r="58" spans="2:3" x14ac:dyDescent="0.35">
      <c r="B58" s="8" t="s">
        <v>13</v>
      </c>
      <c r="C58" s="8">
        <v>247</v>
      </c>
    </row>
    <row r="59" spans="2:3" x14ac:dyDescent="0.35">
      <c r="B59" s="8" t="s">
        <v>13</v>
      </c>
      <c r="C59" s="8">
        <v>410</v>
      </c>
    </row>
    <row r="60" spans="2:3" x14ac:dyDescent="0.35">
      <c r="B60" s="8" t="s">
        <v>13</v>
      </c>
      <c r="C60" s="8">
        <v>395</v>
      </c>
    </row>
    <row r="61" spans="2:3" x14ac:dyDescent="0.35">
      <c r="B61" s="8" t="s">
        <v>13</v>
      </c>
      <c r="C61" s="8">
        <v>416</v>
      </c>
    </row>
    <row r="62" spans="2:3" x14ac:dyDescent="0.35">
      <c r="B62" s="8" t="s">
        <v>13</v>
      </c>
      <c r="C62" s="8">
        <v>342</v>
      </c>
    </row>
    <row r="63" spans="2:3" x14ac:dyDescent="0.35">
      <c r="B63" s="8" t="s">
        <v>13</v>
      </c>
      <c r="C63" s="8">
        <v>446</v>
      </c>
    </row>
    <row r="64" spans="2:3" x14ac:dyDescent="0.35">
      <c r="B64" s="8" t="s">
        <v>13</v>
      </c>
      <c r="C64" s="8">
        <v>477</v>
      </c>
    </row>
    <row r="65" spans="2:3" x14ac:dyDescent="0.35">
      <c r="B65" s="8" t="s">
        <v>13</v>
      </c>
      <c r="C65" s="8">
        <v>444</v>
      </c>
    </row>
    <row r="66" spans="2:3" x14ac:dyDescent="0.35">
      <c r="B66" s="8" t="s">
        <v>13</v>
      </c>
      <c r="C66" s="8">
        <v>351</v>
      </c>
    </row>
    <row r="67" spans="2:3" x14ac:dyDescent="0.35">
      <c r="B67" s="8" t="s">
        <v>14</v>
      </c>
      <c r="C67" s="8">
        <v>165</v>
      </c>
    </row>
    <row r="68" spans="2:3" x14ac:dyDescent="0.35">
      <c r="B68" s="8" t="s">
        <v>13</v>
      </c>
      <c r="C68" s="8">
        <v>317</v>
      </c>
    </row>
    <row r="69" spans="2:3" x14ac:dyDescent="0.35">
      <c r="B69" s="8" t="s">
        <v>13</v>
      </c>
      <c r="C69" s="8">
        <v>250</v>
      </c>
    </row>
    <row r="70" spans="2:3" x14ac:dyDescent="0.35">
      <c r="B70" s="8" t="s">
        <v>14</v>
      </c>
      <c r="C70" s="8">
        <v>217</v>
      </c>
    </row>
    <row r="71" spans="2:3" x14ac:dyDescent="0.35">
      <c r="B71" s="8" t="s">
        <v>14</v>
      </c>
      <c r="C71" s="8">
        <v>138</v>
      </c>
    </row>
    <row r="72" spans="2:3" x14ac:dyDescent="0.35">
      <c r="B72" s="8" t="s">
        <v>13</v>
      </c>
      <c r="C72" s="8">
        <v>302</v>
      </c>
    </row>
    <row r="73" spans="2:3" x14ac:dyDescent="0.35">
      <c r="B73" s="8" t="s">
        <v>14</v>
      </c>
      <c r="C73" s="8">
        <v>311</v>
      </c>
    </row>
    <row r="74" spans="2:3" x14ac:dyDescent="0.35">
      <c r="B74" s="8" t="s">
        <v>13</v>
      </c>
      <c r="C74" s="8">
        <v>373</v>
      </c>
    </row>
    <row r="75" spans="2:3" x14ac:dyDescent="0.35">
      <c r="B75" s="8" t="s">
        <v>14</v>
      </c>
      <c r="C75" s="8">
        <v>196</v>
      </c>
    </row>
    <row r="76" spans="2:3" x14ac:dyDescent="0.35">
      <c r="B76" s="8" t="s">
        <v>13</v>
      </c>
      <c r="C76" s="8">
        <v>306</v>
      </c>
    </row>
    <row r="77" spans="2:3" x14ac:dyDescent="0.35">
      <c r="B77" s="8" t="s">
        <v>14</v>
      </c>
      <c r="C77" s="8">
        <v>302</v>
      </c>
    </row>
    <row r="78" spans="2:3" x14ac:dyDescent="0.35">
      <c r="B78" s="8" t="s">
        <v>14</v>
      </c>
      <c r="C78" s="8">
        <v>278</v>
      </c>
    </row>
    <row r="79" spans="2:3" x14ac:dyDescent="0.35">
      <c r="B79" s="8" t="s">
        <v>14</v>
      </c>
      <c r="C79" s="8">
        <v>429</v>
      </c>
    </row>
    <row r="80" spans="2:3" x14ac:dyDescent="0.35">
      <c r="B80" s="8" t="s">
        <v>13</v>
      </c>
      <c r="C80" s="8">
        <v>338</v>
      </c>
    </row>
    <row r="81" spans="2:3" x14ac:dyDescent="0.35">
      <c r="B81" s="8" t="s">
        <v>14</v>
      </c>
      <c r="C81" s="8">
        <v>261</v>
      </c>
    </row>
    <row r="82" spans="2:3" x14ac:dyDescent="0.35">
      <c r="B82" s="8" t="s">
        <v>14</v>
      </c>
      <c r="C82" s="8">
        <v>256</v>
      </c>
    </row>
    <row r="83" spans="2:3" x14ac:dyDescent="0.35">
      <c r="B83" s="8" t="s">
        <v>13</v>
      </c>
      <c r="C83" s="8">
        <v>183</v>
      </c>
    </row>
    <row r="84" spans="2:3" x14ac:dyDescent="0.35">
      <c r="B84" s="8" t="s">
        <v>13</v>
      </c>
      <c r="C84" s="8">
        <v>274</v>
      </c>
    </row>
    <row r="85" spans="2:3" x14ac:dyDescent="0.35">
      <c r="B85" s="8" t="s">
        <v>14</v>
      </c>
      <c r="C85" s="8">
        <v>182</v>
      </c>
    </row>
    <row r="86" spans="2:3" x14ac:dyDescent="0.35">
      <c r="B86" s="8" t="s">
        <v>14</v>
      </c>
      <c r="C86" s="8">
        <v>183</v>
      </c>
    </row>
    <row r="87" spans="2:3" x14ac:dyDescent="0.35">
      <c r="B87" s="8" t="s">
        <v>13</v>
      </c>
      <c r="C87" s="8">
        <v>309</v>
      </c>
    </row>
    <row r="88" spans="2:3" x14ac:dyDescent="0.35">
      <c r="B88" s="8" t="s">
        <v>14</v>
      </c>
      <c r="C88" s="8">
        <v>178</v>
      </c>
    </row>
    <row r="89" spans="2:3" x14ac:dyDescent="0.35">
      <c r="B89" s="8" t="s">
        <v>13</v>
      </c>
      <c r="C89" s="8">
        <v>458</v>
      </c>
    </row>
    <row r="90" spans="2:3" x14ac:dyDescent="0.35">
      <c r="B90" s="8" t="s">
        <v>13</v>
      </c>
      <c r="C90" s="8">
        <v>234</v>
      </c>
    </row>
    <row r="91" spans="2:3" x14ac:dyDescent="0.35">
      <c r="B91" s="8" t="s">
        <v>13</v>
      </c>
      <c r="C91" s="8">
        <v>306</v>
      </c>
    </row>
    <row r="92" spans="2:3" x14ac:dyDescent="0.35">
      <c r="B92" s="8" t="s">
        <v>13</v>
      </c>
      <c r="C92" s="8">
        <v>400</v>
      </c>
    </row>
    <row r="93" spans="2:3" x14ac:dyDescent="0.35">
      <c r="B93" s="8" t="s">
        <v>14</v>
      </c>
      <c r="C93" s="8">
        <v>337</v>
      </c>
    </row>
    <row r="94" spans="2:3" x14ac:dyDescent="0.35">
      <c r="B94" s="8" t="s">
        <v>13</v>
      </c>
      <c r="C94" s="8">
        <v>325</v>
      </c>
    </row>
    <row r="95" spans="2:3" x14ac:dyDescent="0.35">
      <c r="B95" s="8" t="s">
        <v>14</v>
      </c>
      <c r="C95" s="8">
        <v>329</v>
      </c>
    </row>
    <row r="96" spans="2:3" x14ac:dyDescent="0.35">
      <c r="B96" s="8" t="s">
        <v>13</v>
      </c>
      <c r="C96" s="8">
        <v>369</v>
      </c>
    </row>
    <row r="97" spans="2:3" x14ac:dyDescent="0.35">
      <c r="B97" s="8" t="s">
        <v>13</v>
      </c>
      <c r="C97" s="8">
        <v>457</v>
      </c>
    </row>
    <row r="98" spans="2:3" x14ac:dyDescent="0.35">
      <c r="B98" s="8" t="s">
        <v>14</v>
      </c>
      <c r="C98" s="8">
        <v>421</v>
      </c>
    </row>
    <row r="99" spans="2:3" x14ac:dyDescent="0.35">
      <c r="B99" s="8" t="s">
        <v>13</v>
      </c>
      <c r="C99" s="8">
        <v>282</v>
      </c>
    </row>
    <row r="100" spans="2:3" x14ac:dyDescent="0.35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pageSetup orientation="portrait" r:id="rId1"/>
  <headerFooter>
    <oddFooter>&amp;L3/20/2023&amp;CAXP Internal&amp;R36</odd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  <col min="5" max="5" width="15.453125" bestFit="1" customWidth="1"/>
    <col min="6" max="7" width="9.1796875" customWidth="1"/>
    <col min="9" max="10" width="11.453125" customWidth="1"/>
    <col min="12" max="12" width="19.81640625" bestFit="1" customWidth="1"/>
    <col min="13" max="13" width="12" bestFit="1" customWidth="1"/>
    <col min="15" max="15" width="14.26953125" customWidth="1"/>
    <col min="16" max="16" width="11.453125" customWidth="1"/>
  </cols>
  <sheetData>
    <row r="1" spans="2:16" ht="25.5" customHeight="1" x14ac:dyDescent="0.45">
      <c r="B1" s="18" t="s">
        <v>187</v>
      </c>
    </row>
    <row r="2" spans="2:16" ht="15" customHeight="1" x14ac:dyDescent="0.35">
      <c r="B2" s="30" t="s">
        <v>186</v>
      </c>
    </row>
    <row r="3" spans="2:16" ht="18" customHeight="1" x14ac:dyDescent="0.35"/>
    <row r="4" spans="2:16" x14ac:dyDescent="0.35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35">
      <c r="B5" s="40" t="s">
        <v>21</v>
      </c>
      <c r="C5" s="41" t="s">
        <v>12</v>
      </c>
      <c r="E5" s="121" t="s">
        <v>139</v>
      </c>
      <c r="F5" s="121"/>
      <c r="G5" s="121"/>
      <c r="I5" s="121" t="s">
        <v>179</v>
      </c>
      <c r="J5" s="121"/>
      <c r="L5" s="121" t="s">
        <v>141</v>
      </c>
      <c r="M5" s="121"/>
      <c r="O5" s="121" t="s">
        <v>147</v>
      </c>
      <c r="P5" s="121"/>
    </row>
    <row r="6" spans="2:16" ht="16.5" x14ac:dyDescent="0.4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307</v>
      </c>
      <c r="J6" s="70"/>
      <c r="L6" s="20" t="s">
        <v>142</v>
      </c>
      <c r="M6" s="77"/>
      <c r="O6" s="20" t="s">
        <v>148</v>
      </c>
      <c r="P6" s="88"/>
    </row>
    <row r="7" spans="2:16" x14ac:dyDescent="0.35">
      <c r="B7" s="8" t="s">
        <v>25</v>
      </c>
      <c r="C7" s="8" t="s">
        <v>14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88"/>
    </row>
    <row r="8" spans="2:16" x14ac:dyDescent="0.35">
      <c r="B8" s="8" t="s">
        <v>27</v>
      </c>
      <c r="C8" s="8" t="s">
        <v>13</v>
      </c>
      <c r="E8" s="20" t="s">
        <v>188</v>
      </c>
      <c r="F8" s="70"/>
      <c r="G8" s="70"/>
      <c r="L8" s="20" t="s">
        <v>144</v>
      </c>
      <c r="M8" s="71"/>
    </row>
    <row r="9" spans="2:16" x14ac:dyDescent="0.35">
      <c r="B9" s="8" t="s">
        <v>25</v>
      </c>
      <c r="C9" s="8" t="s">
        <v>14</v>
      </c>
      <c r="E9" s="20" t="s">
        <v>159</v>
      </c>
      <c r="F9" s="70"/>
      <c r="G9" s="70"/>
      <c r="L9" s="20" t="s">
        <v>152</v>
      </c>
      <c r="M9" s="70"/>
    </row>
    <row r="10" spans="2:16" x14ac:dyDescent="0.35">
      <c r="B10" s="8" t="s">
        <v>25</v>
      </c>
      <c r="C10" s="8" t="s">
        <v>14</v>
      </c>
      <c r="E10" s="20"/>
      <c r="F10" s="44"/>
      <c r="G10" s="44"/>
      <c r="L10" s="20" t="s">
        <v>146</v>
      </c>
      <c r="M10" s="70"/>
    </row>
    <row r="11" spans="2:16" x14ac:dyDescent="0.35">
      <c r="B11" s="8" t="s">
        <v>25</v>
      </c>
      <c r="C11" s="8" t="s">
        <v>14</v>
      </c>
      <c r="E11" s="121" t="s">
        <v>163</v>
      </c>
      <c r="F11" s="121"/>
      <c r="G11" s="121"/>
      <c r="L11" s="20" t="s">
        <v>150</v>
      </c>
      <c r="M11" s="70"/>
    </row>
    <row r="12" spans="2:16" x14ac:dyDescent="0.35">
      <c r="B12" s="8" t="s">
        <v>25</v>
      </c>
      <c r="C12" s="8" t="s">
        <v>13</v>
      </c>
      <c r="E12" s="20" t="s">
        <v>308</v>
      </c>
      <c r="F12" s="71"/>
      <c r="G12" s="71"/>
    </row>
    <row r="13" spans="2:16" x14ac:dyDescent="0.35">
      <c r="B13" s="8" t="s">
        <v>25</v>
      </c>
      <c r="C13" s="8" t="s">
        <v>13</v>
      </c>
      <c r="E13" s="20" t="s">
        <v>165</v>
      </c>
      <c r="F13" s="71"/>
      <c r="G13" s="71"/>
    </row>
    <row r="14" spans="2:16" x14ac:dyDescent="0.35">
      <c r="B14" s="8" t="s">
        <v>25</v>
      </c>
      <c r="C14" s="8" t="s">
        <v>13</v>
      </c>
    </row>
    <row r="15" spans="2:16" x14ac:dyDescent="0.35">
      <c r="B15" s="8" t="s">
        <v>25</v>
      </c>
      <c r="C15" s="8" t="s">
        <v>13</v>
      </c>
    </row>
    <row r="16" spans="2:16" x14ac:dyDescent="0.35">
      <c r="B16" s="8" t="s">
        <v>25</v>
      </c>
      <c r="C16" s="8" t="s">
        <v>14</v>
      </c>
    </row>
    <row r="17" spans="2:3" x14ac:dyDescent="0.35">
      <c r="B17" s="8" t="s">
        <v>25</v>
      </c>
      <c r="C17" s="8" t="s">
        <v>13</v>
      </c>
    </row>
    <row r="18" spans="2:3" x14ac:dyDescent="0.35">
      <c r="B18" s="8" t="s">
        <v>25</v>
      </c>
      <c r="C18" s="8" t="s">
        <v>14</v>
      </c>
    </row>
    <row r="19" spans="2:3" x14ac:dyDescent="0.35">
      <c r="B19" s="8" t="s">
        <v>25</v>
      </c>
      <c r="C19" s="8" t="s">
        <v>13</v>
      </c>
    </row>
    <row r="20" spans="2:3" x14ac:dyDescent="0.35">
      <c r="B20" s="8" t="s">
        <v>25</v>
      </c>
      <c r="C20" s="8" t="s">
        <v>13</v>
      </c>
    </row>
    <row r="21" spans="2:3" x14ac:dyDescent="0.35">
      <c r="B21" s="8" t="s">
        <v>25</v>
      </c>
      <c r="C21" s="8" t="s">
        <v>13</v>
      </c>
    </row>
    <row r="22" spans="2:3" x14ac:dyDescent="0.35">
      <c r="B22" s="8" t="s">
        <v>27</v>
      </c>
      <c r="C22" s="8" t="s">
        <v>14</v>
      </c>
    </row>
    <row r="23" spans="2:3" x14ac:dyDescent="0.35">
      <c r="B23" s="8" t="s">
        <v>25</v>
      </c>
      <c r="C23" s="8" t="s">
        <v>13</v>
      </c>
    </row>
    <row r="24" spans="2:3" x14ac:dyDescent="0.35">
      <c r="B24" s="8" t="s">
        <v>25</v>
      </c>
      <c r="C24" s="8" t="s">
        <v>14</v>
      </c>
    </row>
    <row r="25" spans="2:3" x14ac:dyDescent="0.35">
      <c r="B25" s="8" t="s">
        <v>25</v>
      </c>
      <c r="C25" s="8" t="s">
        <v>14</v>
      </c>
    </row>
    <row r="26" spans="2:3" x14ac:dyDescent="0.35">
      <c r="B26" s="8" t="s">
        <v>25</v>
      </c>
      <c r="C26" s="8" t="s">
        <v>14</v>
      </c>
    </row>
    <row r="27" spans="2:3" x14ac:dyDescent="0.35">
      <c r="B27" s="8" t="s">
        <v>25</v>
      </c>
      <c r="C27" s="8" t="s">
        <v>13</v>
      </c>
    </row>
    <row r="28" spans="2:3" x14ac:dyDescent="0.35">
      <c r="B28" s="8" t="s">
        <v>25</v>
      </c>
      <c r="C28" s="8" t="s">
        <v>14</v>
      </c>
    </row>
    <row r="29" spans="2:3" x14ac:dyDescent="0.35">
      <c r="B29" s="8" t="s">
        <v>25</v>
      </c>
      <c r="C29" s="8" t="s">
        <v>14</v>
      </c>
    </row>
    <row r="30" spans="2:3" x14ac:dyDescent="0.35">
      <c r="B30" s="8" t="s">
        <v>25</v>
      </c>
      <c r="C30" s="8" t="s">
        <v>13</v>
      </c>
    </row>
    <row r="31" spans="2:3" x14ac:dyDescent="0.35">
      <c r="B31" s="8" t="s">
        <v>25</v>
      </c>
      <c r="C31" s="8" t="s">
        <v>13</v>
      </c>
    </row>
    <row r="32" spans="2:3" x14ac:dyDescent="0.35">
      <c r="B32" s="8" t="s">
        <v>25</v>
      </c>
      <c r="C32" s="8" t="s">
        <v>13</v>
      </c>
    </row>
    <row r="33" spans="2:3" x14ac:dyDescent="0.35">
      <c r="B33" s="8" t="s">
        <v>25</v>
      </c>
      <c r="C33" s="8" t="s">
        <v>14</v>
      </c>
    </row>
    <row r="34" spans="2:3" x14ac:dyDescent="0.35">
      <c r="B34" s="8" t="s">
        <v>25</v>
      </c>
      <c r="C34" s="8" t="s">
        <v>14</v>
      </c>
    </row>
    <row r="35" spans="2:3" x14ac:dyDescent="0.35">
      <c r="B35" s="8" t="s">
        <v>25</v>
      </c>
      <c r="C35" s="8" t="s">
        <v>13</v>
      </c>
    </row>
    <row r="36" spans="2:3" x14ac:dyDescent="0.35">
      <c r="B36" s="8" t="s">
        <v>25</v>
      </c>
      <c r="C36" s="8" t="s">
        <v>14</v>
      </c>
    </row>
    <row r="37" spans="2:3" x14ac:dyDescent="0.35">
      <c r="B37" s="8" t="s">
        <v>25</v>
      </c>
      <c r="C37" s="8" t="s">
        <v>14</v>
      </c>
    </row>
    <row r="38" spans="2:3" x14ac:dyDescent="0.35">
      <c r="B38" s="8" t="s">
        <v>25</v>
      </c>
      <c r="C38" s="8" t="s">
        <v>14</v>
      </c>
    </row>
    <row r="39" spans="2:3" x14ac:dyDescent="0.35">
      <c r="B39" s="8" t="s">
        <v>27</v>
      </c>
      <c r="C39" s="8" t="s">
        <v>13</v>
      </c>
    </row>
    <row r="40" spans="2:3" x14ac:dyDescent="0.35">
      <c r="B40" s="8" t="s">
        <v>25</v>
      </c>
      <c r="C40" s="8" t="s">
        <v>14</v>
      </c>
    </row>
    <row r="41" spans="2:3" x14ac:dyDescent="0.35">
      <c r="B41" s="8" t="s">
        <v>25</v>
      </c>
      <c r="C41" s="8" t="s">
        <v>13</v>
      </c>
    </row>
    <row r="42" spans="2:3" x14ac:dyDescent="0.35">
      <c r="B42" s="8" t="s">
        <v>27</v>
      </c>
      <c r="C42" s="8" t="s">
        <v>13</v>
      </c>
    </row>
    <row r="43" spans="2:3" x14ac:dyDescent="0.35">
      <c r="B43" s="8" t="s">
        <v>25</v>
      </c>
      <c r="C43" s="8" t="s">
        <v>14</v>
      </c>
    </row>
    <row r="44" spans="2:3" x14ac:dyDescent="0.35">
      <c r="B44" s="8" t="s">
        <v>25</v>
      </c>
      <c r="C44" s="8" t="s">
        <v>14</v>
      </c>
    </row>
    <row r="45" spans="2:3" x14ac:dyDescent="0.35">
      <c r="B45" s="8" t="s">
        <v>27</v>
      </c>
      <c r="C45" s="8" t="s">
        <v>14</v>
      </c>
    </row>
    <row r="46" spans="2:3" x14ac:dyDescent="0.35">
      <c r="B46" s="8" t="s">
        <v>25</v>
      </c>
      <c r="C46" s="8" t="s">
        <v>13</v>
      </c>
    </row>
    <row r="47" spans="2:3" x14ac:dyDescent="0.35">
      <c r="B47" s="8" t="s">
        <v>27</v>
      </c>
      <c r="C47" s="8" t="s">
        <v>13</v>
      </c>
    </row>
    <row r="48" spans="2:3" x14ac:dyDescent="0.35">
      <c r="B48" s="8" t="s">
        <v>27</v>
      </c>
      <c r="C48" s="8" t="s">
        <v>13</v>
      </c>
    </row>
    <row r="49" spans="2:3" x14ac:dyDescent="0.35">
      <c r="B49" s="8" t="s">
        <v>25</v>
      </c>
      <c r="C49" s="8" t="s">
        <v>14</v>
      </c>
    </row>
    <row r="50" spans="2:3" x14ac:dyDescent="0.35">
      <c r="B50" s="8" t="s">
        <v>25</v>
      </c>
      <c r="C50" s="8" t="s">
        <v>13</v>
      </c>
    </row>
    <row r="51" spans="2:3" x14ac:dyDescent="0.35">
      <c r="B51" s="8" t="s">
        <v>27</v>
      </c>
      <c r="C51" s="8" t="s">
        <v>14</v>
      </c>
    </row>
    <row r="52" spans="2:3" x14ac:dyDescent="0.35">
      <c r="B52" s="8" t="s">
        <v>25</v>
      </c>
      <c r="C52" s="8" t="s">
        <v>13</v>
      </c>
    </row>
    <row r="53" spans="2:3" x14ac:dyDescent="0.35">
      <c r="B53" s="8" t="s">
        <v>25</v>
      </c>
      <c r="C53" s="8" t="s">
        <v>14</v>
      </c>
    </row>
    <row r="54" spans="2:3" x14ac:dyDescent="0.35">
      <c r="B54" s="8" t="s">
        <v>25</v>
      </c>
      <c r="C54" s="8" t="s">
        <v>13</v>
      </c>
    </row>
    <row r="55" spans="2:3" x14ac:dyDescent="0.35">
      <c r="B55" s="8" t="s">
        <v>25</v>
      </c>
      <c r="C55" s="8" t="s">
        <v>13</v>
      </c>
    </row>
    <row r="56" spans="2:3" x14ac:dyDescent="0.35">
      <c r="B56" s="8" t="s">
        <v>27</v>
      </c>
      <c r="C56" s="8" t="s">
        <v>13</v>
      </c>
    </row>
    <row r="57" spans="2:3" x14ac:dyDescent="0.35">
      <c r="B57" s="8" t="s">
        <v>25</v>
      </c>
      <c r="C57" s="8" t="s">
        <v>14</v>
      </c>
    </row>
    <row r="58" spans="2:3" x14ac:dyDescent="0.35">
      <c r="B58" s="8" t="s">
        <v>27</v>
      </c>
      <c r="C58" s="8" t="s">
        <v>13</v>
      </c>
    </row>
    <row r="59" spans="2:3" x14ac:dyDescent="0.35">
      <c r="B59" s="8" t="s">
        <v>27</v>
      </c>
      <c r="C59" s="8" t="s">
        <v>13</v>
      </c>
    </row>
    <row r="60" spans="2:3" x14ac:dyDescent="0.35">
      <c r="B60" s="8" t="s">
        <v>27</v>
      </c>
      <c r="C60" s="8" t="s">
        <v>13</v>
      </c>
    </row>
    <row r="61" spans="2:3" x14ac:dyDescent="0.35">
      <c r="B61" s="8" t="s">
        <v>25</v>
      </c>
      <c r="C61" s="8" t="s">
        <v>13</v>
      </c>
    </row>
    <row r="62" spans="2:3" x14ac:dyDescent="0.35">
      <c r="B62" s="8" t="s">
        <v>27</v>
      </c>
      <c r="C62" s="8" t="s">
        <v>13</v>
      </c>
    </row>
    <row r="63" spans="2:3" x14ac:dyDescent="0.35">
      <c r="B63" s="8" t="s">
        <v>27</v>
      </c>
      <c r="C63" s="8" t="s">
        <v>13</v>
      </c>
    </row>
    <row r="64" spans="2:3" x14ac:dyDescent="0.35">
      <c r="B64" s="8" t="s">
        <v>27</v>
      </c>
      <c r="C64" s="8" t="s">
        <v>13</v>
      </c>
    </row>
    <row r="65" spans="2:3" x14ac:dyDescent="0.35">
      <c r="B65" s="8" t="s">
        <v>25</v>
      </c>
      <c r="C65" s="8" t="s">
        <v>13</v>
      </c>
    </row>
    <row r="66" spans="2:3" x14ac:dyDescent="0.35">
      <c r="B66" s="8" t="s">
        <v>25</v>
      </c>
      <c r="C66" s="8" t="s">
        <v>13</v>
      </c>
    </row>
    <row r="67" spans="2:3" x14ac:dyDescent="0.35">
      <c r="B67" s="8" t="s">
        <v>25</v>
      </c>
      <c r="C67" s="8" t="s">
        <v>14</v>
      </c>
    </row>
    <row r="68" spans="2:3" x14ac:dyDescent="0.35">
      <c r="B68" s="8" t="s">
        <v>25</v>
      </c>
      <c r="C68" s="8" t="s">
        <v>13</v>
      </c>
    </row>
    <row r="69" spans="2:3" x14ac:dyDescent="0.35">
      <c r="B69" s="8" t="s">
        <v>25</v>
      </c>
      <c r="C69" s="8" t="s">
        <v>13</v>
      </c>
    </row>
    <row r="70" spans="2:3" x14ac:dyDescent="0.35">
      <c r="B70" s="8" t="s">
        <v>27</v>
      </c>
      <c r="C70" s="8" t="s">
        <v>14</v>
      </c>
    </row>
    <row r="71" spans="2:3" x14ac:dyDescent="0.35">
      <c r="B71" s="8" t="s">
        <v>27</v>
      </c>
      <c r="C71" s="8" t="s">
        <v>14</v>
      </c>
    </row>
    <row r="72" spans="2:3" x14ac:dyDescent="0.35">
      <c r="B72" s="8" t="s">
        <v>27</v>
      </c>
      <c r="C72" s="8" t="s">
        <v>13</v>
      </c>
    </row>
    <row r="73" spans="2:3" x14ac:dyDescent="0.35">
      <c r="B73" s="8" t="s">
        <v>25</v>
      </c>
      <c r="C73" s="8" t="s">
        <v>14</v>
      </c>
    </row>
    <row r="74" spans="2:3" x14ac:dyDescent="0.35">
      <c r="B74" s="8" t="s">
        <v>27</v>
      </c>
      <c r="C74" s="8" t="s">
        <v>13</v>
      </c>
    </row>
    <row r="75" spans="2:3" x14ac:dyDescent="0.35">
      <c r="B75" s="8" t="s">
        <v>25</v>
      </c>
      <c r="C75" s="8" t="s">
        <v>14</v>
      </c>
    </row>
    <row r="76" spans="2:3" x14ac:dyDescent="0.35">
      <c r="B76" s="8" t="s">
        <v>27</v>
      </c>
      <c r="C76" s="8" t="s">
        <v>13</v>
      </c>
    </row>
    <row r="77" spans="2:3" x14ac:dyDescent="0.35">
      <c r="B77" s="8" t="s">
        <v>27</v>
      </c>
      <c r="C77" s="8" t="s">
        <v>14</v>
      </c>
    </row>
    <row r="78" spans="2:3" x14ac:dyDescent="0.35">
      <c r="B78" s="8" t="s">
        <v>25</v>
      </c>
      <c r="C78" s="8" t="s">
        <v>14</v>
      </c>
    </row>
    <row r="79" spans="2:3" x14ac:dyDescent="0.35">
      <c r="B79" s="8" t="s">
        <v>25</v>
      </c>
      <c r="C79" s="8" t="s">
        <v>14</v>
      </c>
    </row>
    <row r="80" spans="2:3" x14ac:dyDescent="0.35">
      <c r="B80" s="8" t="s">
        <v>25</v>
      </c>
      <c r="C80" s="8" t="s">
        <v>13</v>
      </c>
    </row>
    <row r="81" spans="2:3" x14ac:dyDescent="0.35">
      <c r="B81" s="8" t="s">
        <v>25</v>
      </c>
      <c r="C81" s="8" t="s">
        <v>14</v>
      </c>
    </row>
    <row r="82" spans="2:3" x14ac:dyDescent="0.35">
      <c r="B82" s="8" t="s">
        <v>25</v>
      </c>
      <c r="C82" s="8" t="s">
        <v>14</v>
      </c>
    </row>
    <row r="83" spans="2:3" x14ac:dyDescent="0.35">
      <c r="B83" s="8" t="s">
        <v>25</v>
      </c>
      <c r="C83" s="8" t="s">
        <v>13</v>
      </c>
    </row>
    <row r="84" spans="2:3" x14ac:dyDescent="0.35">
      <c r="B84" s="8" t="s">
        <v>25</v>
      </c>
      <c r="C84" s="8" t="s">
        <v>13</v>
      </c>
    </row>
    <row r="85" spans="2:3" x14ac:dyDescent="0.35">
      <c r="B85" s="8" t="s">
        <v>25</v>
      </c>
      <c r="C85" s="8" t="s">
        <v>14</v>
      </c>
    </row>
    <row r="86" spans="2:3" x14ac:dyDescent="0.35">
      <c r="B86" s="8" t="s">
        <v>25</v>
      </c>
      <c r="C86" s="8" t="s">
        <v>14</v>
      </c>
    </row>
    <row r="87" spans="2:3" x14ac:dyDescent="0.35">
      <c r="B87" s="8" t="s">
        <v>25</v>
      </c>
      <c r="C87" s="8" t="s">
        <v>13</v>
      </c>
    </row>
    <row r="88" spans="2:3" x14ac:dyDescent="0.35">
      <c r="B88" s="8" t="s">
        <v>25</v>
      </c>
      <c r="C88" s="8" t="s">
        <v>14</v>
      </c>
    </row>
    <row r="89" spans="2:3" x14ac:dyDescent="0.35">
      <c r="B89" s="8" t="s">
        <v>25</v>
      </c>
      <c r="C89" s="8" t="s">
        <v>13</v>
      </c>
    </row>
    <row r="90" spans="2:3" x14ac:dyDescent="0.35">
      <c r="B90" s="8" t="s">
        <v>27</v>
      </c>
      <c r="C90" s="8" t="s">
        <v>13</v>
      </c>
    </row>
    <row r="91" spans="2:3" x14ac:dyDescent="0.35">
      <c r="B91" s="8" t="s">
        <v>27</v>
      </c>
      <c r="C91" s="8" t="s">
        <v>13</v>
      </c>
    </row>
    <row r="92" spans="2:3" x14ac:dyDescent="0.35">
      <c r="B92" s="8" t="s">
        <v>25</v>
      </c>
      <c r="C92" s="8" t="s">
        <v>13</v>
      </c>
    </row>
    <row r="93" spans="2:3" x14ac:dyDescent="0.35">
      <c r="B93" s="8" t="s">
        <v>25</v>
      </c>
      <c r="C93" s="8" t="s">
        <v>14</v>
      </c>
    </row>
    <row r="94" spans="2:3" x14ac:dyDescent="0.35">
      <c r="B94" s="8" t="s">
        <v>25</v>
      </c>
      <c r="C94" s="8" t="s">
        <v>13</v>
      </c>
    </row>
    <row r="95" spans="2:3" x14ac:dyDescent="0.35">
      <c r="B95" s="8" t="s">
        <v>25</v>
      </c>
      <c r="C95" s="8" t="s">
        <v>14</v>
      </c>
    </row>
    <row r="96" spans="2:3" x14ac:dyDescent="0.35">
      <c r="B96" s="8" t="s">
        <v>25</v>
      </c>
      <c r="C96" s="8" t="s">
        <v>13</v>
      </c>
    </row>
    <row r="97" spans="2:3" x14ac:dyDescent="0.35">
      <c r="B97" s="8" t="s">
        <v>25</v>
      </c>
      <c r="C97" s="8" t="s">
        <v>13</v>
      </c>
    </row>
    <row r="98" spans="2:3" x14ac:dyDescent="0.35">
      <c r="B98" s="8" t="s">
        <v>25</v>
      </c>
      <c r="C98" s="8" t="s">
        <v>14</v>
      </c>
    </row>
    <row r="99" spans="2:3" x14ac:dyDescent="0.35">
      <c r="B99" s="8" t="s">
        <v>25</v>
      </c>
      <c r="C99" s="8" t="s">
        <v>13</v>
      </c>
    </row>
    <row r="100" spans="2:3" x14ac:dyDescent="0.35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pageSetup orientation="portrait" r:id="rId1"/>
  <headerFooter>
    <oddFooter>&amp;L3/20/2023&amp;CAXP Internal&amp;R37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N100"/>
  <sheetViews>
    <sheetView showGridLines="0" workbookViewId="0">
      <selection activeCell="N7" sqref="N7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</cols>
  <sheetData>
    <row r="1" spans="2:14" ht="25.5" customHeight="1" x14ac:dyDescent="0.45">
      <c r="B1" s="18" t="s">
        <v>205</v>
      </c>
    </row>
    <row r="2" spans="2:14" ht="15" customHeight="1" x14ac:dyDescent="0.35">
      <c r="B2" s="30" t="s">
        <v>191</v>
      </c>
    </row>
    <row r="3" spans="2:14" ht="18" customHeight="1" x14ac:dyDescent="0.35"/>
    <row r="4" spans="2:14" x14ac:dyDescent="0.35">
      <c r="D4" s="3"/>
    </row>
    <row r="5" spans="2:14" x14ac:dyDescent="0.35">
      <c r="B5" s="7" t="s">
        <v>23</v>
      </c>
      <c r="D5" s="124" t="s">
        <v>199</v>
      </c>
      <c r="E5" s="124"/>
      <c r="F5" s="124"/>
      <c r="G5" s="124"/>
    </row>
    <row r="6" spans="2:14" x14ac:dyDescent="0.35">
      <c r="B6" s="8">
        <v>276</v>
      </c>
      <c r="D6" s="20" t="s">
        <v>195</v>
      </c>
      <c r="E6" s="89" t="s">
        <v>371</v>
      </c>
      <c r="F6" s="89" t="s">
        <v>198</v>
      </c>
      <c r="G6" s="90">
        <v>300</v>
      </c>
      <c r="H6" t="s">
        <v>372</v>
      </c>
      <c r="N6" t="s">
        <v>374</v>
      </c>
    </row>
    <row r="7" spans="2:14" x14ac:dyDescent="0.35">
      <c r="B7" s="8">
        <v>410</v>
      </c>
      <c r="D7" s="20" t="s">
        <v>196</v>
      </c>
      <c r="E7" s="89" t="s">
        <v>371</v>
      </c>
      <c r="F7" s="89" t="s">
        <v>200</v>
      </c>
      <c r="G7" s="90">
        <v>300</v>
      </c>
      <c r="H7" t="s">
        <v>373</v>
      </c>
    </row>
    <row r="8" spans="2:14" x14ac:dyDescent="0.35">
      <c r="B8" s="8">
        <v>119</v>
      </c>
      <c r="D8" s="20"/>
      <c r="E8" s="36"/>
      <c r="F8" s="36"/>
      <c r="G8" s="36"/>
    </row>
    <row r="9" spans="2:14" x14ac:dyDescent="0.35">
      <c r="B9" s="8">
        <v>334</v>
      </c>
      <c r="D9" s="20"/>
      <c r="E9" s="37"/>
      <c r="F9" s="37"/>
      <c r="G9" s="37"/>
    </row>
    <row r="10" spans="2:14" x14ac:dyDescent="0.35">
      <c r="B10" s="8">
        <v>252</v>
      </c>
      <c r="D10" s="20"/>
      <c r="E10" s="22"/>
      <c r="F10" s="22"/>
      <c r="G10" s="22"/>
    </row>
    <row r="11" spans="2:14" x14ac:dyDescent="0.35">
      <c r="B11" s="8">
        <v>209</v>
      </c>
      <c r="D11" s="20"/>
      <c r="E11" s="22"/>
      <c r="F11" s="22"/>
      <c r="G11" s="22"/>
    </row>
    <row r="12" spans="2:14" x14ac:dyDescent="0.35">
      <c r="B12" s="8">
        <v>462</v>
      </c>
    </row>
    <row r="13" spans="2:14" x14ac:dyDescent="0.35">
      <c r="B13" s="8">
        <v>342</v>
      </c>
    </row>
    <row r="14" spans="2:14" x14ac:dyDescent="0.35">
      <c r="B14" s="8">
        <v>347</v>
      </c>
    </row>
    <row r="15" spans="2:14" x14ac:dyDescent="0.35">
      <c r="B15" s="8">
        <v>313</v>
      </c>
    </row>
    <row r="16" spans="2:14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  <headerFooter>
    <oddFooter>&amp;L3/20/2023&amp;CAXP Internal&amp;R38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topLeftCell="C1" workbookViewId="0">
      <selection activeCell="K6" sqref="K6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</cols>
  <sheetData>
    <row r="1" spans="2:10" ht="25.5" customHeight="1" x14ac:dyDescent="0.45">
      <c r="B1" s="18" t="s">
        <v>205</v>
      </c>
    </row>
    <row r="2" spans="2:10" ht="15" customHeight="1" x14ac:dyDescent="0.35">
      <c r="B2" s="30" t="s">
        <v>192</v>
      </c>
    </row>
    <row r="3" spans="2:10" ht="18" customHeight="1" x14ac:dyDescent="0.35"/>
    <row r="4" spans="2:10" x14ac:dyDescent="0.35">
      <c r="D4" s="3"/>
    </row>
    <row r="5" spans="2:10" x14ac:dyDescent="0.35">
      <c r="B5" s="7" t="s">
        <v>23</v>
      </c>
      <c r="D5" s="124" t="s">
        <v>199</v>
      </c>
      <c r="E5" s="124"/>
      <c r="F5" s="124"/>
      <c r="G5" s="124"/>
      <c r="I5" s="124" t="s">
        <v>201</v>
      </c>
      <c r="J5" s="124"/>
    </row>
    <row r="6" spans="2:10" x14ac:dyDescent="0.3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f>1/10</f>
        <v>0.1</v>
      </c>
    </row>
    <row r="7" spans="2:10" x14ac:dyDescent="0.3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</row>
    <row r="8" spans="2:10" x14ac:dyDescent="0.35">
      <c r="B8" s="8">
        <v>119</v>
      </c>
      <c r="D8" s="20"/>
      <c r="E8" s="36"/>
      <c r="F8" s="36"/>
      <c r="G8" s="36"/>
    </row>
    <row r="9" spans="2:10" x14ac:dyDescent="0.35">
      <c r="B9" s="8">
        <v>334</v>
      </c>
      <c r="D9" s="20"/>
      <c r="E9" s="37"/>
      <c r="F9" s="37"/>
      <c r="G9" s="37"/>
    </row>
    <row r="10" spans="2:10" x14ac:dyDescent="0.35">
      <c r="B10" s="8">
        <v>252</v>
      </c>
      <c r="D10" s="20"/>
      <c r="E10" s="22"/>
      <c r="F10" s="22"/>
      <c r="G10" s="22"/>
    </row>
    <row r="11" spans="2:10" x14ac:dyDescent="0.35">
      <c r="B11" s="8">
        <v>209</v>
      </c>
      <c r="D11" s="20"/>
      <c r="E11" s="22"/>
      <c r="F11" s="22"/>
      <c r="G11" s="22"/>
    </row>
    <row r="12" spans="2:10" x14ac:dyDescent="0.35">
      <c r="B12" s="8">
        <v>462</v>
      </c>
    </row>
    <row r="13" spans="2:10" x14ac:dyDescent="0.35">
      <c r="B13" s="8">
        <v>342</v>
      </c>
    </row>
    <row r="14" spans="2:10" x14ac:dyDescent="0.35">
      <c r="B14" s="8">
        <v>347</v>
      </c>
    </row>
    <row r="15" spans="2:10" x14ac:dyDescent="0.35">
      <c r="B15" s="8">
        <v>313</v>
      </c>
    </row>
    <row r="16" spans="2:10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  <headerFooter>
    <oddFooter>&amp;L3/20/2023&amp;CAXP Internal&amp;R39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topLeftCell="B1" workbookViewId="0">
      <selection activeCell="G7" sqref="G7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</cols>
  <sheetData>
    <row r="1" spans="2:16" ht="25.5" customHeight="1" x14ac:dyDescent="0.45">
      <c r="B1" s="18" t="s">
        <v>205</v>
      </c>
    </row>
    <row r="2" spans="2:16" ht="15" customHeight="1" x14ac:dyDescent="0.35">
      <c r="B2" s="30" t="s">
        <v>193</v>
      </c>
    </row>
    <row r="3" spans="2:16" ht="18" customHeight="1" x14ac:dyDescent="0.35"/>
    <row r="4" spans="2:16" x14ac:dyDescent="0.35">
      <c r="D4" s="3"/>
      <c r="L4" s="3" t="s">
        <v>54</v>
      </c>
      <c r="O4" s="3" t="s">
        <v>54</v>
      </c>
    </row>
    <row r="5" spans="2:16" x14ac:dyDescent="0.35">
      <c r="B5" s="7" t="s">
        <v>23</v>
      </c>
      <c r="D5" s="124" t="s">
        <v>199</v>
      </c>
      <c r="E5" s="124"/>
      <c r="F5" s="124"/>
      <c r="G5" s="124"/>
      <c r="I5" s="124" t="s">
        <v>201</v>
      </c>
      <c r="J5" s="124"/>
      <c r="L5" s="121" t="s">
        <v>139</v>
      </c>
      <c r="M5" s="121"/>
      <c r="O5" s="121" t="s">
        <v>204</v>
      </c>
      <c r="P5" s="121"/>
    </row>
    <row r="6" spans="2:16" x14ac:dyDescent="0.3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</row>
    <row r="7" spans="2:16" x14ac:dyDescent="0.3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</row>
    <row r="8" spans="2:16" x14ac:dyDescent="0.3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</row>
    <row r="9" spans="2:16" x14ac:dyDescent="0.35">
      <c r="B9" s="8">
        <v>334</v>
      </c>
      <c r="D9" s="20"/>
      <c r="E9" s="37"/>
      <c r="F9" s="37"/>
      <c r="G9" s="37"/>
      <c r="P9" t="s">
        <v>375</v>
      </c>
    </row>
    <row r="10" spans="2:16" x14ac:dyDescent="0.35">
      <c r="B10" s="8">
        <v>252</v>
      </c>
      <c r="D10" s="20"/>
      <c r="E10" s="22"/>
      <c r="F10" s="22"/>
      <c r="G10" s="22"/>
    </row>
    <row r="11" spans="2:16" x14ac:dyDescent="0.35">
      <c r="B11" s="8">
        <v>209</v>
      </c>
      <c r="D11" s="20"/>
      <c r="E11" s="22"/>
      <c r="F11" s="22"/>
      <c r="G11" s="22"/>
    </row>
    <row r="12" spans="2:16" x14ac:dyDescent="0.35">
      <c r="B12" s="8">
        <v>462</v>
      </c>
    </row>
    <row r="13" spans="2:16" x14ac:dyDescent="0.35">
      <c r="B13" s="8">
        <v>342</v>
      </c>
    </row>
    <row r="14" spans="2:16" x14ac:dyDescent="0.35">
      <c r="B14" s="8">
        <v>347</v>
      </c>
    </row>
    <row r="15" spans="2:16" x14ac:dyDescent="0.35">
      <c r="B15" s="8">
        <v>313</v>
      </c>
    </row>
    <row r="16" spans="2:16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headerFooter>
    <oddFooter>&amp;L3/20/2023&amp;CAXP Internal&amp;R40</oddFoot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R100"/>
  <sheetViews>
    <sheetView showGridLines="0" topLeftCell="B1" workbookViewId="0">
      <selection activeCell="J11" sqref="J11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</cols>
  <sheetData>
    <row r="1" spans="2:18" ht="25.5" customHeight="1" x14ac:dyDescent="0.45">
      <c r="B1" s="18" t="s">
        <v>205</v>
      </c>
    </row>
    <row r="2" spans="2:18" ht="15" customHeight="1" x14ac:dyDescent="0.35">
      <c r="B2" s="30" t="s">
        <v>194</v>
      </c>
    </row>
    <row r="3" spans="2:18" ht="18" customHeight="1" x14ac:dyDescent="0.35"/>
    <row r="4" spans="2:18" x14ac:dyDescent="0.35">
      <c r="D4" s="3"/>
      <c r="L4" s="3" t="s">
        <v>54</v>
      </c>
      <c r="O4" s="3" t="s">
        <v>54</v>
      </c>
    </row>
    <row r="5" spans="2:18" x14ac:dyDescent="0.35">
      <c r="B5" s="7" t="s">
        <v>23</v>
      </c>
      <c r="D5" s="124" t="s">
        <v>199</v>
      </c>
      <c r="E5" s="124"/>
      <c r="F5" s="124"/>
      <c r="G5" s="124"/>
      <c r="I5" s="124" t="s">
        <v>201</v>
      </c>
      <c r="J5" s="124"/>
      <c r="L5" s="121" t="s">
        <v>139</v>
      </c>
      <c r="M5" s="121"/>
      <c r="O5" s="121" t="s">
        <v>204</v>
      </c>
      <c r="P5" s="121"/>
    </row>
    <row r="6" spans="2:18" x14ac:dyDescent="0.3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</row>
    <row r="7" spans="2:18" x14ac:dyDescent="0.3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</row>
    <row r="8" spans="2:18" x14ac:dyDescent="0.3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>
        <f>_xlfn.T.DIST(P7,M6-1,TRUE)*2</f>
        <v>0.26973589884432797</v>
      </c>
    </row>
    <row r="9" spans="2:18" x14ac:dyDescent="0.35">
      <c r="B9" s="8">
        <v>334</v>
      </c>
      <c r="D9" s="20"/>
      <c r="E9" s="37"/>
      <c r="F9" s="37"/>
      <c r="G9" s="37"/>
    </row>
    <row r="10" spans="2:18" x14ac:dyDescent="0.35">
      <c r="B10" s="8">
        <v>252</v>
      </c>
      <c r="D10" s="20"/>
      <c r="E10" s="22"/>
      <c r="F10" s="22"/>
      <c r="G10" s="22"/>
    </row>
    <row r="11" spans="2:18" x14ac:dyDescent="0.35">
      <c r="B11" s="8">
        <v>209</v>
      </c>
      <c r="D11" s="20"/>
      <c r="E11" s="22"/>
      <c r="F11" s="22"/>
      <c r="G11" s="22"/>
      <c r="R11" t="s">
        <v>376</v>
      </c>
    </row>
    <row r="12" spans="2:18" x14ac:dyDescent="0.35">
      <c r="B12" s="8">
        <v>462</v>
      </c>
    </row>
    <row r="13" spans="2:18" x14ac:dyDescent="0.35">
      <c r="B13" s="8">
        <v>342</v>
      </c>
    </row>
    <row r="14" spans="2:18" x14ac:dyDescent="0.35">
      <c r="B14" s="8">
        <v>347</v>
      </c>
    </row>
    <row r="15" spans="2:18" x14ac:dyDescent="0.35">
      <c r="B15" s="8">
        <v>313</v>
      </c>
    </row>
    <row r="16" spans="2:18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headerFooter>
    <oddFooter>&amp;L3/20/2023&amp;CAXP Internal&amp;R41</oddFoot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topLeftCell="H1" workbookViewId="0">
      <selection activeCell="R12" sqref="R12"/>
    </sheetView>
  </sheetViews>
  <sheetFormatPr defaultRowHeight="14.5" x14ac:dyDescent="0.35"/>
  <cols>
    <col min="1" max="1" width="2.81640625" customWidth="1"/>
    <col min="2" max="2" width="19.26953125" bestFit="1" customWidth="1"/>
    <col min="4" max="4" width="6.54296875" customWidth="1"/>
    <col min="5" max="6" width="2.81640625" customWidth="1"/>
    <col min="7" max="7" width="9.179687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  <col min="18" max="18" width="57.1796875" customWidth="1"/>
  </cols>
  <sheetData>
    <row r="1" spans="2:18" ht="25.5" customHeight="1" x14ac:dyDescent="0.45">
      <c r="B1" s="18" t="s">
        <v>205</v>
      </c>
    </row>
    <row r="2" spans="2:18" ht="15" customHeight="1" x14ac:dyDescent="0.35">
      <c r="B2" s="30" t="s">
        <v>309</v>
      </c>
    </row>
    <row r="3" spans="2:18" ht="18" customHeight="1" x14ac:dyDescent="0.35"/>
    <row r="4" spans="2:18" x14ac:dyDescent="0.35">
      <c r="D4" s="3"/>
      <c r="L4" s="3" t="s">
        <v>54</v>
      </c>
      <c r="O4" s="3" t="s">
        <v>54</v>
      </c>
    </row>
    <row r="5" spans="2:18" x14ac:dyDescent="0.35">
      <c r="B5" s="7" t="s">
        <v>23</v>
      </c>
      <c r="D5" s="124" t="s">
        <v>199</v>
      </c>
      <c r="E5" s="124"/>
      <c r="F5" s="124"/>
      <c r="G5" s="124"/>
      <c r="I5" s="124" t="s">
        <v>201</v>
      </c>
      <c r="J5" s="124"/>
      <c r="L5" s="121" t="s">
        <v>139</v>
      </c>
      <c r="M5" s="121"/>
      <c r="O5" s="121" t="s">
        <v>204</v>
      </c>
      <c r="P5" s="121"/>
      <c r="R5" s="50" t="s">
        <v>203</v>
      </c>
    </row>
    <row r="6" spans="2:18" x14ac:dyDescent="0.3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  <c r="R6" s="125" t="s">
        <v>377</v>
      </c>
    </row>
    <row r="7" spans="2:18" x14ac:dyDescent="0.3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  <c r="R7" s="125"/>
    </row>
    <row r="8" spans="2:18" x14ac:dyDescent="0.3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>
        <f>_xlfn.T.DIST(P7,M6-1,TRUE)*2</f>
        <v>0.26973589884432797</v>
      </c>
      <c r="R8" s="125"/>
    </row>
    <row r="9" spans="2:18" x14ac:dyDescent="0.35">
      <c r="B9" s="8">
        <v>334</v>
      </c>
      <c r="D9" s="20"/>
      <c r="E9" s="37"/>
      <c r="F9" s="37"/>
      <c r="G9" s="37"/>
      <c r="R9" s="125"/>
    </row>
    <row r="10" spans="2:18" x14ac:dyDescent="0.35">
      <c r="B10" s="8">
        <v>252</v>
      </c>
      <c r="D10" s="20"/>
      <c r="E10" s="22"/>
      <c r="F10" s="22"/>
      <c r="G10" s="22"/>
      <c r="R10" s="125"/>
    </row>
    <row r="11" spans="2:18" x14ac:dyDescent="0.35">
      <c r="B11" s="8">
        <v>209</v>
      </c>
      <c r="D11" s="20"/>
      <c r="E11" s="22"/>
      <c r="F11" s="22"/>
      <c r="G11" s="22"/>
      <c r="R11" s="125"/>
    </row>
    <row r="12" spans="2:18" x14ac:dyDescent="0.35">
      <c r="B12" s="8">
        <v>462</v>
      </c>
    </row>
    <row r="13" spans="2:18" x14ac:dyDescent="0.35">
      <c r="B13" s="8">
        <v>342</v>
      </c>
    </row>
    <row r="14" spans="2:18" x14ac:dyDescent="0.35">
      <c r="B14" s="8">
        <v>347</v>
      </c>
    </row>
    <row r="15" spans="2:18" x14ac:dyDescent="0.35">
      <c r="B15" s="8">
        <v>313</v>
      </c>
    </row>
    <row r="16" spans="2:18" x14ac:dyDescent="0.35">
      <c r="B16" s="8">
        <v>232</v>
      </c>
    </row>
    <row r="17" spans="2:2" x14ac:dyDescent="0.35">
      <c r="B17" s="8">
        <v>163</v>
      </c>
    </row>
    <row r="18" spans="2:2" x14ac:dyDescent="0.35">
      <c r="B18" s="8">
        <v>119</v>
      </c>
    </row>
    <row r="19" spans="2:2" x14ac:dyDescent="0.35">
      <c r="B19" s="8">
        <v>304</v>
      </c>
    </row>
    <row r="20" spans="2:2" x14ac:dyDescent="0.35">
      <c r="B20" s="8">
        <v>211</v>
      </c>
    </row>
    <row r="21" spans="2:2" x14ac:dyDescent="0.35">
      <c r="B21" s="8">
        <v>286</v>
      </c>
    </row>
    <row r="22" spans="2:2" x14ac:dyDescent="0.35">
      <c r="B22" s="8">
        <v>122</v>
      </c>
    </row>
    <row r="23" spans="2:2" x14ac:dyDescent="0.35">
      <c r="B23" s="8">
        <v>443</v>
      </c>
    </row>
    <row r="24" spans="2:2" x14ac:dyDescent="0.35">
      <c r="B24" s="8">
        <v>366</v>
      </c>
    </row>
    <row r="25" spans="2:2" x14ac:dyDescent="0.35">
      <c r="B25" s="8">
        <v>244</v>
      </c>
    </row>
    <row r="26" spans="2:2" x14ac:dyDescent="0.35">
      <c r="B26" s="8">
        <v>241</v>
      </c>
    </row>
    <row r="27" spans="2:2" x14ac:dyDescent="0.35">
      <c r="B27" s="8">
        <v>237</v>
      </c>
    </row>
    <row r="28" spans="2:2" x14ac:dyDescent="0.35">
      <c r="B28" s="8">
        <v>122</v>
      </c>
    </row>
    <row r="29" spans="2:2" x14ac:dyDescent="0.35">
      <c r="B29" s="8">
        <v>129</v>
      </c>
    </row>
    <row r="30" spans="2:2" x14ac:dyDescent="0.35">
      <c r="B30" s="8">
        <v>236</v>
      </c>
    </row>
    <row r="31" spans="2:2" x14ac:dyDescent="0.35">
      <c r="B31" s="8">
        <v>251</v>
      </c>
    </row>
    <row r="32" spans="2:2" x14ac:dyDescent="0.35">
      <c r="B32" s="8">
        <v>283</v>
      </c>
    </row>
    <row r="33" spans="2:2" x14ac:dyDescent="0.35">
      <c r="B33" s="8">
        <v>225</v>
      </c>
    </row>
    <row r="34" spans="2:2" x14ac:dyDescent="0.35">
      <c r="B34" s="8">
        <v>102</v>
      </c>
    </row>
    <row r="35" spans="2:2" x14ac:dyDescent="0.35">
      <c r="B35" s="8">
        <v>180</v>
      </c>
    </row>
    <row r="36" spans="2:2" x14ac:dyDescent="0.35">
      <c r="B36" s="8">
        <v>247</v>
      </c>
    </row>
    <row r="37" spans="2:2" x14ac:dyDescent="0.35">
      <c r="B37" s="8">
        <v>343</v>
      </c>
    </row>
    <row r="38" spans="2:2" x14ac:dyDescent="0.35">
      <c r="B38" s="8">
        <v>283</v>
      </c>
    </row>
    <row r="39" spans="2:2" x14ac:dyDescent="0.35">
      <c r="B39" s="8">
        <v>253</v>
      </c>
    </row>
    <row r="40" spans="2:2" x14ac:dyDescent="0.35">
      <c r="B40" s="8">
        <v>263</v>
      </c>
    </row>
    <row r="41" spans="2:2" x14ac:dyDescent="0.35">
      <c r="B41" s="8">
        <v>291</v>
      </c>
    </row>
    <row r="42" spans="2:2" x14ac:dyDescent="0.35">
      <c r="B42" s="8">
        <v>368</v>
      </c>
    </row>
    <row r="43" spans="2:2" x14ac:dyDescent="0.35">
      <c r="B43" s="8">
        <v>206</v>
      </c>
    </row>
    <row r="44" spans="2:2" x14ac:dyDescent="0.35">
      <c r="B44" s="8">
        <v>231</v>
      </c>
    </row>
    <row r="45" spans="2:2" x14ac:dyDescent="0.35">
      <c r="B45" s="8">
        <v>389</v>
      </c>
    </row>
    <row r="46" spans="2:2" x14ac:dyDescent="0.35">
      <c r="B46" s="8">
        <v>396</v>
      </c>
    </row>
    <row r="47" spans="2:2" x14ac:dyDescent="0.35">
      <c r="B47" s="8">
        <v>339</v>
      </c>
    </row>
    <row r="48" spans="2:2" x14ac:dyDescent="0.35">
      <c r="B48" s="8">
        <v>286</v>
      </c>
    </row>
    <row r="49" spans="2:2" x14ac:dyDescent="0.35">
      <c r="B49" s="8">
        <v>146</v>
      </c>
    </row>
    <row r="50" spans="2:2" x14ac:dyDescent="0.35">
      <c r="B50" s="8">
        <v>315</v>
      </c>
    </row>
    <row r="51" spans="2:2" x14ac:dyDescent="0.35">
      <c r="B51" s="8">
        <v>183</v>
      </c>
    </row>
    <row r="52" spans="2:2" x14ac:dyDescent="0.35">
      <c r="B52" s="8">
        <v>481</v>
      </c>
    </row>
    <row r="53" spans="2:2" x14ac:dyDescent="0.35">
      <c r="B53" s="8">
        <v>349</v>
      </c>
    </row>
    <row r="54" spans="2:2" x14ac:dyDescent="0.35">
      <c r="B54" s="8">
        <v>225</v>
      </c>
    </row>
    <row r="55" spans="2:2" x14ac:dyDescent="0.35">
      <c r="B55" s="8">
        <v>217</v>
      </c>
    </row>
    <row r="56" spans="2:2" x14ac:dyDescent="0.35">
      <c r="B56" s="8">
        <v>353</v>
      </c>
    </row>
    <row r="57" spans="2:2" x14ac:dyDescent="0.35">
      <c r="B57" s="8">
        <v>314</v>
      </c>
    </row>
    <row r="58" spans="2:2" x14ac:dyDescent="0.35">
      <c r="B58" s="8">
        <v>247</v>
      </c>
    </row>
    <row r="59" spans="2:2" x14ac:dyDescent="0.35">
      <c r="B59" s="8">
        <v>410</v>
      </c>
    </row>
    <row r="60" spans="2:2" x14ac:dyDescent="0.35">
      <c r="B60" s="8">
        <v>395</v>
      </c>
    </row>
    <row r="61" spans="2:2" x14ac:dyDescent="0.35">
      <c r="B61" s="8">
        <v>416</v>
      </c>
    </row>
    <row r="62" spans="2:2" x14ac:dyDescent="0.35">
      <c r="B62" s="8">
        <v>342</v>
      </c>
    </row>
    <row r="63" spans="2:2" x14ac:dyDescent="0.35">
      <c r="B63" s="8">
        <v>446</v>
      </c>
    </row>
    <row r="64" spans="2:2" x14ac:dyDescent="0.35">
      <c r="B64" s="8">
        <v>477</v>
      </c>
    </row>
    <row r="65" spans="2:2" x14ac:dyDescent="0.35">
      <c r="B65" s="8">
        <v>444</v>
      </c>
    </row>
    <row r="66" spans="2:2" x14ac:dyDescent="0.35">
      <c r="B66" s="8">
        <v>351</v>
      </c>
    </row>
    <row r="67" spans="2:2" x14ac:dyDescent="0.35">
      <c r="B67" s="8">
        <v>165</v>
      </c>
    </row>
    <row r="68" spans="2:2" x14ac:dyDescent="0.35">
      <c r="B68" s="8">
        <v>317</v>
      </c>
    </row>
    <row r="69" spans="2:2" x14ac:dyDescent="0.35">
      <c r="B69" s="8">
        <v>250</v>
      </c>
    </row>
    <row r="70" spans="2:2" x14ac:dyDescent="0.35">
      <c r="B70" s="8">
        <v>217</v>
      </c>
    </row>
    <row r="71" spans="2:2" x14ac:dyDescent="0.35">
      <c r="B71" s="8">
        <v>138</v>
      </c>
    </row>
    <row r="72" spans="2:2" x14ac:dyDescent="0.35">
      <c r="B72" s="8">
        <v>302</v>
      </c>
    </row>
    <row r="73" spans="2:2" x14ac:dyDescent="0.35">
      <c r="B73" s="8">
        <v>311</v>
      </c>
    </row>
    <row r="74" spans="2:2" x14ac:dyDescent="0.35">
      <c r="B74" s="8">
        <v>373</v>
      </c>
    </row>
    <row r="75" spans="2:2" x14ac:dyDescent="0.35">
      <c r="B75" s="8">
        <v>196</v>
      </c>
    </row>
    <row r="76" spans="2:2" x14ac:dyDescent="0.35">
      <c r="B76" s="8">
        <v>306</v>
      </c>
    </row>
    <row r="77" spans="2:2" x14ac:dyDescent="0.35">
      <c r="B77" s="8">
        <v>302</v>
      </c>
    </row>
    <row r="78" spans="2:2" x14ac:dyDescent="0.35">
      <c r="B78" s="8">
        <v>278</v>
      </c>
    </row>
    <row r="79" spans="2:2" x14ac:dyDescent="0.35">
      <c r="B79" s="8">
        <v>429</v>
      </c>
    </row>
    <row r="80" spans="2:2" x14ac:dyDescent="0.35">
      <c r="B80" s="8">
        <v>338</v>
      </c>
    </row>
    <row r="81" spans="2:2" x14ac:dyDescent="0.35">
      <c r="B81" s="8">
        <v>261</v>
      </c>
    </row>
    <row r="82" spans="2:2" x14ac:dyDescent="0.35">
      <c r="B82" s="8">
        <v>256</v>
      </c>
    </row>
    <row r="83" spans="2:2" x14ac:dyDescent="0.35">
      <c r="B83" s="8">
        <v>183</v>
      </c>
    </row>
    <row r="84" spans="2:2" x14ac:dyDescent="0.35">
      <c r="B84" s="8">
        <v>274</v>
      </c>
    </row>
    <row r="85" spans="2:2" x14ac:dyDescent="0.35">
      <c r="B85" s="8">
        <v>182</v>
      </c>
    </row>
    <row r="86" spans="2:2" x14ac:dyDescent="0.35">
      <c r="B86" s="8">
        <v>183</v>
      </c>
    </row>
    <row r="87" spans="2:2" x14ac:dyDescent="0.35">
      <c r="B87" s="8">
        <v>309</v>
      </c>
    </row>
    <row r="88" spans="2:2" x14ac:dyDescent="0.35">
      <c r="B88" s="8">
        <v>178</v>
      </c>
    </row>
    <row r="89" spans="2:2" x14ac:dyDescent="0.35">
      <c r="B89" s="8">
        <v>458</v>
      </c>
    </row>
    <row r="90" spans="2:2" x14ac:dyDescent="0.35">
      <c r="B90" s="8">
        <v>234</v>
      </c>
    </row>
    <row r="91" spans="2:2" x14ac:dyDescent="0.35">
      <c r="B91" s="8">
        <v>306</v>
      </c>
    </row>
    <row r="92" spans="2:2" x14ac:dyDescent="0.35">
      <c r="B92" s="8">
        <v>400</v>
      </c>
    </row>
    <row r="93" spans="2:2" x14ac:dyDescent="0.35">
      <c r="B93" s="8">
        <v>337</v>
      </c>
    </row>
    <row r="94" spans="2:2" x14ac:dyDescent="0.35">
      <c r="B94" s="8">
        <v>325</v>
      </c>
    </row>
    <row r="95" spans="2:2" x14ac:dyDescent="0.35">
      <c r="B95" s="8">
        <v>329</v>
      </c>
    </row>
    <row r="96" spans="2:2" x14ac:dyDescent="0.35">
      <c r="B96" s="8">
        <v>369</v>
      </c>
    </row>
    <row r="97" spans="2:2" x14ac:dyDescent="0.35">
      <c r="B97" s="8">
        <v>457</v>
      </c>
    </row>
    <row r="98" spans="2:2" x14ac:dyDescent="0.35">
      <c r="B98" s="8">
        <v>421</v>
      </c>
    </row>
    <row r="99" spans="2:2" x14ac:dyDescent="0.35">
      <c r="B99" s="8">
        <v>282</v>
      </c>
    </row>
    <row r="100" spans="2:2" x14ac:dyDescent="0.35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headerFooter>
    <oddFooter>&amp;L3/20/2023&amp;CAXP Internal&amp;R42</oddFoot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I6" sqref="I6"/>
    </sheetView>
  </sheetViews>
  <sheetFormatPr defaultRowHeight="14.5" x14ac:dyDescent="0.35"/>
  <cols>
    <col min="1" max="1" width="2.81640625" customWidth="1"/>
    <col min="2" max="2" width="12.81640625" customWidth="1"/>
    <col min="4" max="4" width="6.54296875" customWidth="1"/>
    <col min="5" max="6" width="2.81640625" customWidth="1"/>
    <col min="9" max="9" width="11.453125" customWidth="1"/>
    <col min="12" max="12" width="12.1796875" customWidth="1"/>
    <col min="13" max="13" width="11.453125" customWidth="1"/>
    <col min="15" max="15" width="15.7265625" bestFit="1" customWidth="1"/>
    <col min="18" max="18" width="57.1796875" customWidth="1"/>
  </cols>
  <sheetData>
    <row r="1" spans="2:18" ht="25.5" customHeight="1" x14ac:dyDescent="0.45">
      <c r="B1" s="18" t="s">
        <v>310</v>
      </c>
    </row>
    <row r="2" spans="2:18" ht="15" customHeight="1" x14ac:dyDescent="0.35">
      <c r="B2" s="30" t="s">
        <v>206</v>
      </c>
    </row>
    <row r="3" spans="2:18" ht="18" customHeight="1" x14ac:dyDescent="0.35"/>
    <row r="4" spans="2:18" x14ac:dyDescent="0.35">
      <c r="D4" s="3"/>
      <c r="L4" s="3" t="s">
        <v>54</v>
      </c>
      <c r="O4" s="3" t="s">
        <v>54</v>
      </c>
    </row>
    <row r="5" spans="2:18" x14ac:dyDescent="0.35">
      <c r="B5" s="7" t="s">
        <v>77</v>
      </c>
      <c r="D5" s="124" t="s">
        <v>199</v>
      </c>
      <c r="E5" s="124"/>
      <c r="F5" s="124"/>
      <c r="G5" s="124"/>
      <c r="I5" s="124" t="s">
        <v>201</v>
      </c>
      <c r="J5" s="124"/>
      <c r="L5" s="121" t="s">
        <v>139</v>
      </c>
      <c r="M5" s="121"/>
      <c r="O5" s="121" t="s">
        <v>204</v>
      </c>
      <c r="P5" s="121"/>
      <c r="R5" s="50" t="s">
        <v>203</v>
      </c>
    </row>
    <row r="6" spans="2:18" x14ac:dyDescent="0.35">
      <c r="B6" s="8">
        <v>90.2</v>
      </c>
      <c r="D6" s="20" t="s">
        <v>195</v>
      </c>
      <c r="E6" s="89" t="s">
        <v>197</v>
      </c>
      <c r="F6" s="89" t="s">
        <v>198</v>
      </c>
      <c r="G6" s="90">
        <v>80</v>
      </c>
      <c r="I6" s="20" t="s">
        <v>143</v>
      </c>
      <c r="J6" s="71">
        <v>0.2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0.63310867376603175</v>
      </c>
      <c r="R6" s="125" t="s">
        <v>378</v>
      </c>
    </row>
    <row r="7" spans="2:18" x14ac:dyDescent="0.35">
      <c r="B7" s="8">
        <v>92.8</v>
      </c>
      <c r="D7" s="20" t="s">
        <v>196</v>
      </c>
      <c r="E7" s="89" t="s">
        <v>197</v>
      </c>
      <c r="F7" s="89" t="s">
        <v>200</v>
      </c>
      <c r="G7" s="90">
        <v>80</v>
      </c>
      <c r="I7" s="20"/>
      <c r="J7" s="1"/>
      <c r="L7" s="20" t="s">
        <v>46</v>
      </c>
      <c r="M7" s="72">
        <f>AVERAGE(B6:B100)</f>
        <v>80.169473684210516</v>
      </c>
      <c r="O7" s="20" t="s">
        <v>202</v>
      </c>
      <c r="P7" s="91">
        <f>(M7-G6)/P6</f>
        <v>0.26768498242553784</v>
      </c>
      <c r="R7" s="125"/>
    </row>
    <row r="8" spans="2:18" x14ac:dyDescent="0.35">
      <c r="B8" s="8">
        <v>68.7</v>
      </c>
      <c r="D8" s="20"/>
      <c r="E8" s="36"/>
      <c r="F8" s="36"/>
      <c r="G8" s="36"/>
      <c r="L8" s="20" t="s">
        <v>70</v>
      </c>
      <c r="M8" s="75">
        <f>_xlfn.STDEV.S(B6:B100)</f>
        <v>6.1707800411122609</v>
      </c>
      <c r="O8" s="20" t="s">
        <v>207</v>
      </c>
      <c r="P8" s="70">
        <f>(1-_xlfn.T.DIST(P7,M6-1,TRUE))*2</f>
        <v>0.78952829198210606</v>
      </c>
      <c r="R8" s="125"/>
    </row>
    <row r="9" spans="2:18" x14ac:dyDescent="0.35">
      <c r="B9" s="8">
        <v>80.7</v>
      </c>
      <c r="D9" s="20"/>
      <c r="E9" s="37"/>
      <c r="F9" s="37"/>
      <c r="G9" s="37"/>
      <c r="R9" s="125"/>
    </row>
    <row r="10" spans="2:18" x14ac:dyDescent="0.35">
      <c r="B10" s="8">
        <v>74.900000000000006</v>
      </c>
      <c r="D10" s="20"/>
      <c r="E10" s="22"/>
      <c r="F10" s="22"/>
      <c r="G10" s="22"/>
      <c r="R10" s="125"/>
    </row>
    <row r="11" spans="2:18" x14ac:dyDescent="0.35">
      <c r="B11" s="8">
        <v>80.7</v>
      </c>
      <c r="D11" s="20"/>
      <c r="E11" s="22"/>
      <c r="F11" s="22"/>
      <c r="G11" s="22"/>
      <c r="R11" s="125"/>
    </row>
    <row r="12" spans="2:18" x14ac:dyDescent="0.35">
      <c r="B12" s="8">
        <v>83.3</v>
      </c>
    </row>
    <row r="13" spans="2:18" x14ac:dyDescent="0.35">
      <c r="B13" s="8">
        <v>88.7</v>
      </c>
    </row>
    <row r="14" spans="2:18" x14ac:dyDescent="0.35">
      <c r="B14" s="8">
        <v>75.400000000000006</v>
      </c>
    </row>
    <row r="15" spans="2:18" x14ac:dyDescent="0.35">
      <c r="B15" s="8">
        <v>82.1</v>
      </c>
    </row>
    <row r="16" spans="2:18" x14ac:dyDescent="0.35">
      <c r="B16" s="8">
        <v>87.5</v>
      </c>
    </row>
    <row r="17" spans="2:2" x14ac:dyDescent="0.35">
      <c r="B17" s="8">
        <v>66.900000000000006</v>
      </c>
    </row>
    <row r="18" spans="2:2" x14ac:dyDescent="0.35">
      <c r="B18" s="8">
        <v>71.3</v>
      </c>
    </row>
    <row r="19" spans="2:2" x14ac:dyDescent="0.35">
      <c r="B19" s="8">
        <v>76.8</v>
      </c>
    </row>
    <row r="20" spans="2:2" x14ac:dyDescent="0.35">
      <c r="B20" s="8">
        <v>72.3</v>
      </c>
    </row>
    <row r="21" spans="2:2" x14ac:dyDescent="0.35">
      <c r="B21" s="8">
        <v>72.400000000000006</v>
      </c>
    </row>
    <row r="22" spans="2:2" x14ac:dyDescent="0.35">
      <c r="B22" s="8">
        <v>72</v>
      </c>
    </row>
    <row r="23" spans="2:2" x14ac:dyDescent="0.35">
      <c r="B23" s="8">
        <v>81</v>
      </c>
    </row>
    <row r="24" spans="2:2" x14ac:dyDescent="0.35">
      <c r="B24" s="8">
        <v>96.1</v>
      </c>
    </row>
    <row r="25" spans="2:2" x14ac:dyDescent="0.35">
      <c r="B25" s="8">
        <v>76.7</v>
      </c>
    </row>
    <row r="26" spans="2:2" x14ac:dyDescent="0.35">
      <c r="B26" s="8">
        <v>80.3</v>
      </c>
    </row>
    <row r="27" spans="2:2" x14ac:dyDescent="0.35">
      <c r="B27" s="8">
        <v>77.8</v>
      </c>
    </row>
    <row r="28" spans="2:2" x14ac:dyDescent="0.35">
      <c r="B28" s="8">
        <v>62.6</v>
      </c>
    </row>
    <row r="29" spans="2:2" x14ac:dyDescent="0.35">
      <c r="B29" s="8">
        <v>80.2</v>
      </c>
    </row>
    <row r="30" spans="2:2" x14ac:dyDescent="0.35">
      <c r="B30" s="8">
        <v>79.099999999999994</v>
      </c>
    </row>
    <row r="31" spans="2:2" x14ac:dyDescent="0.35">
      <c r="B31" s="8">
        <v>77.8</v>
      </c>
    </row>
    <row r="32" spans="2:2" x14ac:dyDescent="0.35">
      <c r="B32" s="8">
        <v>75.099999999999994</v>
      </c>
    </row>
    <row r="33" spans="2:2" x14ac:dyDescent="0.35">
      <c r="B33" s="8">
        <v>82.2</v>
      </c>
    </row>
    <row r="34" spans="2:2" x14ac:dyDescent="0.35">
      <c r="B34" s="8">
        <v>70.5</v>
      </c>
    </row>
    <row r="35" spans="2:2" x14ac:dyDescent="0.35">
      <c r="B35" s="8">
        <v>70.8</v>
      </c>
    </row>
    <row r="36" spans="2:2" x14ac:dyDescent="0.35">
      <c r="B36" s="8">
        <v>87.5</v>
      </c>
    </row>
    <row r="37" spans="2:2" x14ac:dyDescent="0.35">
      <c r="B37" s="8">
        <v>79.5</v>
      </c>
    </row>
    <row r="38" spans="2:2" x14ac:dyDescent="0.35">
      <c r="B38" s="8">
        <v>80.8</v>
      </c>
    </row>
    <row r="39" spans="2:2" x14ac:dyDescent="0.35">
      <c r="B39" s="8">
        <v>79.599999999999994</v>
      </c>
    </row>
    <row r="40" spans="2:2" x14ac:dyDescent="0.35">
      <c r="B40" s="8">
        <v>88.9</v>
      </c>
    </row>
    <row r="41" spans="2:2" x14ac:dyDescent="0.35">
      <c r="B41" s="8">
        <v>85.9</v>
      </c>
    </row>
    <row r="42" spans="2:2" x14ac:dyDescent="0.35">
      <c r="B42" s="8">
        <v>82.3</v>
      </c>
    </row>
    <row r="43" spans="2:2" x14ac:dyDescent="0.35">
      <c r="B43" s="8">
        <v>76.7</v>
      </c>
    </row>
    <row r="44" spans="2:2" x14ac:dyDescent="0.35">
      <c r="B44" s="8">
        <v>79.900000000000006</v>
      </c>
    </row>
    <row r="45" spans="2:2" x14ac:dyDescent="0.35">
      <c r="B45" s="8">
        <v>86.2</v>
      </c>
    </row>
    <row r="46" spans="2:2" x14ac:dyDescent="0.35">
      <c r="B46" s="8">
        <v>79.2</v>
      </c>
    </row>
    <row r="47" spans="2:2" x14ac:dyDescent="0.35">
      <c r="B47" s="8">
        <v>83.4</v>
      </c>
    </row>
    <row r="48" spans="2:2" x14ac:dyDescent="0.35">
      <c r="B48" s="8">
        <v>85.2</v>
      </c>
    </row>
    <row r="49" spans="2:2" x14ac:dyDescent="0.35">
      <c r="B49" s="8">
        <v>77.8</v>
      </c>
    </row>
    <row r="50" spans="2:2" x14ac:dyDescent="0.35">
      <c r="B50" s="8">
        <v>80.2</v>
      </c>
    </row>
    <row r="51" spans="2:2" x14ac:dyDescent="0.35">
      <c r="B51" s="8">
        <v>71</v>
      </c>
    </row>
    <row r="52" spans="2:2" x14ac:dyDescent="0.35">
      <c r="B52" s="8">
        <v>87.2</v>
      </c>
    </row>
    <row r="53" spans="2:2" x14ac:dyDescent="0.35">
      <c r="B53" s="8">
        <v>82.9</v>
      </c>
    </row>
    <row r="54" spans="2:2" x14ac:dyDescent="0.35">
      <c r="B54" s="8">
        <v>73.5</v>
      </c>
    </row>
    <row r="55" spans="2:2" x14ac:dyDescent="0.35">
      <c r="B55" s="8">
        <v>74.599999999999994</v>
      </c>
    </row>
    <row r="56" spans="2:2" x14ac:dyDescent="0.35">
      <c r="B56" s="8">
        <v>75.099999999999994</v>
      </c>
    </row>
    <row r="57" spans="2:2" x14ac:dyDescent="0.35">
      <c r="B57" s="8">
        <v>85.1</v>
      </c>
    </row>
    <row r="58" spans="2:2" x14ac:dyDescent="0.35">
      <c r="B58" s="8">
        <v>74.900000000000006</v>
      </c>
    </row>
    <row r="59" spans="2:2" x14ac:dyDescent="0.35">
      <c r="B59" s="8">
        <v>84.6</v>
      </c>
    </row>
    <row r="60" spans="2:2" x14ac:dyDescent="0.35">
      <c r="B60" s="8">
        <v>81.7</v>
      </c>
    </row>
    <row r="61" spans="2:2" x14ac:dyDescent="0.35">
      <c r="B61" s="8">
        <v>81.400000000000006</v>
      </c>
    </row>
    <row r="62" spans="2:2" x14ac:dyDescent="0.35">
      <c r="B62" s="8">
        <v>83.8</v>
      </c>
    </row>
    <row r="63" spans="2:2" x14ac:dyDescent="0.35">
      <c r="B63" s="8">
        <v>88.5</v>
      </c>
    </row>
    <row r="64" spans="2:2" x14ac:dyDescent="0.35">
      <c r="B64" s="8">
        <v>84.9</v>
      </c>
    </row>
    <row r="65" spans="2:2" x14ac:dyDescent="0.35">
      <c r="B65" s="8">
        <v>84.3</v>
      </c>
    </row>
    <row r="66" spans="2:2" x14ac:dyDescent="0.35">
      <c r="B66" s="8">
        <v>78.2</v>
      </c>
    </row>
    <row r="67" spans="2:2" x14ac:dyDescent="0.35">
      <c r="B67" s="8">
        <v>80</v>
      </c>
    </row>
    <row r="68" spans="2:2" x14ac:dyDescent="0.35">
      <c r="B68" s="8">
        <v>74.8</v>
      </c>
    </row>
    <row r="69" spans="2:2" x14ac:dyDescent="0.35">
      <c r="B69" s="8">
        <v>78.5</v>
      </c>
    </row>
    <row r="70" spans="2:2" x14ac:dyDescent="0.35">
      <c r="B70" s="8">
        <v>71.8</v>
      </c>
    </row>
    <row r="71" spans="2:2" x14ac:dyDescent="0.35">
      <c r="B71" s="8">
        <v>69.900000000000006</v>
      </c>
    </row>
    <row r="72" spans="2:2" x14ac:dyDescent="0.35">
      <c r="B72" s="8">
        <v>82.7</v>
      </c>
    </row>
    <row r="73" spans="2:2" x14ac:dyDescent="0.35">
      <c r="B73" s="8">
        <v>74</v>
      </c>
    </row>
    <row r="74" spans="2:2" x14ac:dyDescent="0.35">
      <c r="B74" s="8">
        <v>84</v>
      </c>
    </row>
    <row r="75" spans="2:2" x14ac:dyDescent="0.35">
      <c r="B75" s="8">
        <v>84.7</v>
      </c>
    </row>
    <row r="76" spans="2:2" x14ac:dyDescent="0.35">
      <c r="B76" s="8">
        <v>78.2</v>
      </c>
    </row>
    <row r="77" spans="2:2" x14ac:dyDescent="0.35">
      <c r="B77" s="8">
        <v>85</v>
      </c>
    </row>
    <row r="78" spans="2:2" x14ac:dyDescent="0.35">
      <c r="B78" s="8">
        <v>80.099999999999994</v>
      </c>
    </row>
    <row r="79" spans="2:2" x14ac:dyDescent="0.35">
      <c r="B79" s="8">
        <v>85.3</v>
      </c>
    </row>
    <row r="80" spans="2:2" x14ac:dyDescent="0.35">
      <c r="B80" s="8">
        <v>79.7</v>
      </c>
    </row>
    <row r="81" spans="2:2" x14ac:dyDescent="0.35">
      <c r="B81" s="8">
        <v>79.599999999999994</v>
      </c>
    </row>
    <row r="82" spans="2:2" x14ac:dyDescent="0.35">
      <c r="B82" s="8">
        <v>78.900000000000006</v>
      </c>
    </row>
    <row r="83" spans="2:2" x14ac:dyDescent="0.35">
      <c r="B83" s="8">
        <v>78.5</v>
      </c>
    </row>
    <row r="84" spans="2:2" x14ac:dyDescent="0.35">
      <c r="B84" s="8">
        <v>72</v>
      </c>
    </row>
    <row r="85" spans="2:2" x14ac:dyDescent="0.35">
      <c r="B85" s="8">
        <v>74.2</v>
      </c>
    </row>
    <row r="86" spans="2:2" x14ac:dyDescent="0.35">
      <c r="B86" s="8">
        <v>71.7</v>
      </c>
    </row>
    <row r="87" spans="2:2" x14ac:dyDescent="0.35">
      <c r="B87" s="8">
        <v>80.7</v>
      </c>
    </row>
    <row r="88" spans="2:2" x14ac:dyDescent="0.35">
      <c r="B88" s="8">
        <v>84.1</v>
      </c>
    </row>
    <row r="89" spans="2:2" x14ac:dyDescent="0.35">
      <c r="B89" s="8">
        <v>87.4</v>
      </c>
    </row>
    <row r="90" spans="2:2" x14ac:dyDescent="0.35">
      <c r="B90" s="8">
        <v>77.400000000000006</v>
      </c>
    </row>
    <row r="91" spans="2:2" x14ac:dyDescent="0.35">
      <c r="B91" s="8">
        <v>84.7</v>
      </c>
    </row>
    <row r="92" spans="2:2" x14ac:dyDescent="0.35">
      <c r="B92" s="8">
        <v>78.8</v>
      </c>
    </row>
    <row r="93" spans="2:2" x14ac:dyDescent="0.35">
      <c r="B93" s="8">
        <v>92.7</v>
      </c>
    </row>
    <row r="94" spans="2:2" x14ac:dyDescent="0.35">
      <c r="B94" s="8">
        <v>88.8</v>
      </c>
    </row>
    <row r="95" spans="2:2" x14ac:dyDescent="0.35">
      <c r="B95" s="8">
        <v>86.6</v>
      </c>
    </row>
    <row r="96" spans="2:2" x14ac:dyDescent="0.35">
      <c r="B96" s="8">
        <v>77.900000000000006</v>
      </c>
    </row>
    <row r="97" spans="2:2" x14ac:dyDescent="0.35">
      <c r="B97" s="8">
        <v>86.1</v>
      </c>
    </row>
    <row r="98" spans="2:2" x14ac:dyDescent="0.35">
      <c r="B98" s="8">
        <v>89.9</v>
      </c>
    </row>
    <row r="99" spans="2:2" x14ac:dyDescent="0.35">
      <c r="B99" s="8">
        <v>83.1</v>
      </c>
    </row>
    <row r="100" spans="2:2" x14ac:dyDescent="0.35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headerFooter>
    <oddFooter>&amp;L3/20/2023&amp;CAXP Internal&amp;R43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topLeftCell="C1" workbookViewId="0">
      <selection activeCell="S13" sqref="S13"/>
    </sheetView>
  </sheetViews>
  <sheetFormatPr defaultRowHeight="14.5" x14ac:dyDescent="0.35"/>
  <cols>
    <col min="1" max="1" width="2.81640625" customWidth="1"/>
    <col min="2" max="2" width="19.26953125" bestFit="1" customWidth="1"/>
    <col min="3" max="3" width="10.26953125" bestFit="1" customWidth="1"/>
    <col min="5" max="5" width="6.54296875" customWidth="1"/>
    <col min="6" max="7" width="2.81640625" customWidth="1"/>
    <col min="10" max="10" width="11.453125" customWidth="1"/>
    <col min="13" max="13" width="12.1796875" customWidth="1"/>
    <col min="14" max="14" width="11.453125" customWidth="1"/>
    <col min="16" max="16" width="15.7265625" bestFit="1" customWidth="1"/>
    <col min="19" max="19" width="59" customWidth="1"/>
    <col min="21" max="22" width="0" hidden="1" customWidth="1"/>
  </cols>
  <sheetData>
    <row r="1" spans="2:22" ht="25.5" customHeight="1" x14ac:dyDescent="0.45">
      <c r="B1" s="18" t="s">
        <v>313</v>
      </c>
    </row>
    <row r="2" spans="2:22" ht="15" customHeight="1" x14ac:dyDescent="0.35">
      <c r="B2" s="30" t="s">
        <v>211</v>
      </c>
    </row>
    <row r="3" spans="2:22" ht="18" customHeight="1" x14ac:dyDescent="0.35"/>
    <row r="4" spans="2:22" x14ac:dyDescent="0.35">
      <c r="E4" s="3"/>
      <c r="M4" s="3" t="s">
        <v>54</v>
      </c>
      <c r="P4" s="3" t="s">
        <v>54</v>
      </c>
    </row>
    <row r="5" spans="2:22" x14ac:dyDescent="0.35">
      <c r="B5" s="40" t="s">
        <v>23</v>
      </c>
      <c r="C5" s="41" t="s">
        <v>12</v>
      </c>
      <c r="E5" s="124" t="s">
        <v>199</v>
      </c>
      <c r="F5" s="124"/>
      <c r="G5" s="124"/>
      <c r="H5" s="124"/>
      <c r="J5" s="124" t="s">
        <v>201</v>
      </c>
      <c r="K5" s="124"/>
      <c r="M5" s="121" t="s">
        <v>139</v>
      </c>
      <c r="N5" s="121"/>
      <c r="P5" s="121" t="s">
        <v>204</v>
      </c>
      <c r="Q5" s="121"/>
      <c r="S5" s="50" t="s">
        <v>203</v>
      </c>
      <c r="U5" s="92" t="s">
        <v>209</v>
      </c>
      <c r="V5" t="s">
        <v>210</v>
      </c>
    </row>
    <row r="6" spans="2:22" x14ac:dyDescent="0.35">
      <c r="B6" s="51">
        <v>276</v>
      </c>
      <c r="C6" s="51" t="s">
        <v>13</v>
      </c>
      <c r="E6" s="20" t="s">
        <v>195</v>
      </c>
      <c r="F6" s="89" t="s">
        <v>197</v>
      </c>
      <c r="G6" s="89" t="s">
        <v>209</v>
      </c>
      <c r="H6" s="90">
        <v>300</v>
      </c>
      <c r="J6" s="20" t="s">
        <v>143</v>
      </c>
      <c r="K6" s="71">
        <v>0.15</v>
      </c>
      <c r="M6" s="20" t="s">
        <v>71</v>
      </c>
      <c r="N6" s="71">
        <f>COUNTIF(C6:C100, "Placed")</f>
        <v>53</v>
      </c>
      <c r="P6" s="20" t="s">
        <v>146</v>
      </c>
      <c r="Q6" s="75">
        <f>N8/SQRT(N6)</f>
        <v>11.879737349258281</v>
      </c>
      <c r="S6" s="125" t="s">
        <v>379</v>
      </c>
      <c r="U6" s="92" t="s">
        <v>311</v>
      </c>
      <c r="V6" t="s">
        <v>312</v>
      </c>
    </row>
    <row r="7" spans="2:22" x14ac:dyDescent="0.35">
      <c r="B7" s="8">
        <v>410</v>
      </c>
      <c r="C7" s="8" t="s">
        <v>14</v>
      </c>
      <c r="E7" s="20" t="s">
        <v>196</v>
      </c>
      <c r="F7" s="89" t="s">
        <v>197</v>
      </c>
      <c r="G7" s="89" t="s">
        <v>210</v>
      </c>
      <c r="H7" s="90">
        <v>300</v>
      </c>
      <c r="J7" s="20"/>
      <c r="K7" s="1"/>
      <c r="M7" s="20" t="s">
        <v>46</v>
      </c>
      <c r="N7" s="72">
        <f>AVERAGEIF(C6:C100,"Placed",B6:B100)</f>
        <v>320.52830188679246</v>
      </c>
      <c r="P7" s="20" t="s">
        <v>202</v>
      </c>
      <c r="Q7" s="91">
        <f>(N7-H6)/Q6</f>
        <v>1.728009743251955</v>
      </c>
      <c r="S7" s="125"/>
    </row>
    <row r="8" spans="2:22" x14ac:dyDescent="0.35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 cm="1">
        <f t="array" ref="N8">_xlfn.STDEV.S(IF(C6:C100="Placed",B6:B100))</f>
        <v>86.485793358390339</v>
      </c>
      <c r="P8" s="20" t="s">
        <v>207</v>
      </c>
      <c r="Q8" s="70">
        <f>_xlfn.T.DIST.RT(Q7,N6-1)</f>
        <v>4.4960734951048485E-2</v>
      </c>
      <c r="S8" s="125"/>
    </row>
    <row r="9" spans="2:22" x14ac:dyDescent="0.35">
      <c r="B9" s="8">
        <v>334</v>
      </c>
      <c r="C9" s="8" t="s">
        <v>14</v>
      </c>
      <c r="E9" s="20"/>
      <c r="F9" s="37"/>
      <c r="G9" s="37"/>
      <c r="H9" s="37"/>
      <c r="S9" s="125"/>
    </row>
    <row r="10" spans="2:22" x14ac:dyDescent="0.35">
      <c r="B10" s="8">
        <v>252</v>
      </c>
      <c r="C10" s="8" t="s">
        <v>14</v>
      </c>
      <c r="E10" s="20"/>
      <c r="F10" s="22"/>
      <c r="G10" s="22"/>
      <c r="H10" s="22"/>
      <c r="S10" s="125"/>
    </row>
    <row r="11" spans="2:22" x14ac:dyDescent="0.35">
      <c r="B11" s="8">
        <v>209</v>
      </c>
      <c r="C11" s="8" t="s">
        <v>14</v>
      </c>
      <c r="E11" s="20"/>
      <c r="F11" s="22"/>
      <c r="G11" s="22"/>
      <c r="H11" s="22"/>
      <c r="S11" s="125"/>
    </row>
    <row r="12" spans="2:22" x14ac:dyDescent="0.35">
      <c r="B12" s="8">
        <v>462</v>
      </c>
      <c r="C12" s="8" t="s">
        <v>13</v>
      </c>
    </row>
    <row r="13" spans="2:22" x14ac:dyDescent="0.35">
      <c r="B13" s="8">
        <v>342</v>
      </c>
      <c r="C13" s="8" t="s">
        <v>13</v>
      </c>
    </row>
    <row r="14" spans="2:22" x14ac:dyDescent="0.35">
      <c r="B14" s="8">
        <v>347</v>
      </c>
      <c r="C14" s="8" t="s">
        <v>13</v>
      </c>
    </row>
    <row r="15" spans="2:22" x14ac:dyDescent="0.35">
      <c r="B15" s="8">
        <v>313</v>
      </c>
      <c r="C15" s="8" t="s">
        <v>13</v>
      </c>
    </row>
    <row r="16" spans="2:22" x14ac:dyDescent="0.35">
      <c r="B16" s="8">
        <v>232</v>
      </c>
      <c r="C16" s="8" t="s">
        <v>14</v>
      </c>
    </row>
    <row r="17" spans="2:3" x14ac:dyDescent="0.35">
      <c r="B17" s="8">
        <v>163</v>
      </c>
      <c r="C17" s="8" t="s">
        <v>13</v>
      </c>
    </row>
    <row r="18" spans="2:3" x14ac:dyDescent="0.35">
      <c r="B18" s="8">
        <v>119</v>
      </c>
      <c r="C18" s="8" t="s">
        <v>14</v>
      </c>
    </row>
    <row r="19" spans="2:3" x14ac:dyDescent="0.35">
      <c r="B19" s="8">
        <v>304</v>
      </c>
      <c r="C19" s="8" t="s">
        <v>13</v>
      </c>
    </row>
    <row r="20" spans="2:3" x14ac:dyDescent="0.35">
      <c r="B20" s="8">
        <v>211</v>
      </c>
      <c r="C20" s="8" t="s">
        <v>13</v>
      </c>
    </row>
    <row r="21" spans="2:3" x14ac:dyDescent="0.35">
      <c r="B21" s="8">
        <v>286</v>
      </c>
      <c r="C21" s="8" t="s">
        <v>13</v>
      </c>
    </row>
    <row r="22" spans="2:3" x14ac:dyDescent="0.35">
      <c r="B22" s="8">
        <v>122</v>
      </c>
      <c r="C22" s="8" t="s">
        <v>14</v>
      </c>
    </row>
    <row r="23" spans="2:3" x14ac:dyDescent="0.35">
      <c r="B23" s="8">
        <v>443</v>
      </c>
      <c r="C23" s="8" t="s">
        <v>13</v>
      </c>
    </row>
    <row r="24" spans="2:3" x14ac:dyDescent="0.35">
      <c r="B24" s="8">
        <v>366</v>
      </c>
      <c r="C24" s="8" t="s">
        <v>14</v>
      </c>
    </row>
    <row r="25" spans="2:3" x14ac:dyDescent="0.35">
      <c r="B25" s="8">
        <v>244</v>
      </c>
      <c r="C25" s="8" t="s">
        <v>14</v>
      </c>
    </row>
    <row r="26" spans="2:3" x14ac:dyDescent="0.35">
      <c r="B26" s="8">
        <v>241</v>
      </c>
      <c r="C26" s="8" t="s">
        <v>14</v>
      </c>
    </row>
    <row r="27" spans="2:3" x14ac:dyDescent="0.35">
      <c r="B27" s="8">
        <v>237</v>
      </c>
      <c r="C27" s="8" t="s">
        <v>13</v>
      </c>
    </row>
    <row r="28" spans="2:3" x14ac:dyDescent="0.35">
      <c r="B28" s="8">
        <v>122</v>
      </c>
      <c r="C28" s="8" t="s">
        <v>14</v>
      </c>
    </row>
    <row r="29" spans="2:3" x14ac:dyDescent="0.35">
      <c r="B29" s="8">
        <v>129</v>
      </c>
      <c r="C29" s="8" t="s">
        <v>14</v>
      </c>
    </row>
    <row r="30" spans="2:3" x14ac:dyDescent="0.35">
      <c r="B30" s="8">
        <v>236</v>
      </c>
      <c r="C30" s="8" t="s">
        <v>13</v>
      </c>
    </row>
    <row r="31" spans="2:3" x14ac:dyDescent="0.35">
      <c r="B31" s="8">
        <v>251</v>
      </c>
      <c r="C31" s="8" t="s">
        <v>13</v>
      </c>
    </row>
    <row r="32" spans="2:3" x14ac:dyDescent="0.35">
      <c r="B32" s="8">
        <v>283</v>
      </c>
      <c r="C32" s="8" t="s">
        <v>13</v>
      </c>
    </row>
    <row r="33" spans="2:3" x14ac:dyDescent="0.35">
      <c r="B33" s="8">
        <v>225</v>
      </c>
      <c r="C33" s="8" t="s">
        <v>14</v>
      </c>
    </row>
    <row r="34" spans="2:3" x14ac:dyDescent="0.35">
      <c r="B34" s="8">
        <v>102</v>
      </c>
      <c r="C34" s="8" t="s">
        <v>14</v>
      </c>
    </row>
    <row r="35" spans="2:3" x14ac:dyDescent="0.35">
      <c r="B35" s="8">
        <v>180</v>
      </c>
      <c r="C35" s="8" t="s">
        <v>13</v>
      </c>
    </row>
    <row r="36" spans="2:3" x14ac:dyDescent="0.35">
      <c r="B36" s="8">
        <v>247</v>
      </c>
      <c r="C36" s="8" t="s">
        <v>14</v>
      </c>
    </row>
    <row r="37" spans="2:3" x14ac:dyDescent="0.35">
      <c r="B37" s="8">
        <v>343</v>
      </c>
      <c r="C37" s="8" t="s">
        <v>14</v>
      </c>
    </row>
    <row r="38" spans="2:3" x14ac:dyDescent="0.35">
      <c r="B38" s="8">
        <v>283</v>
      </c>
      <c r="C38" s="8" t="s">
        <v>14</v>
      </c>
    </row>
    <row r="39" spans="2:3" x14ac:dyDescent="0.35">
      <c r="B39" s="8">
        <v>253</v>
      </c>
      <c r="C39" s="8" t="s">
        <v>13</v>
      </c>
    </row>
    <row r="40" spans="2:3" x14ac:dyDescent="0.35">
      <c r="B40" s="8">
        <v>263</v>
      </c>
      <c r="C40" s="8" t="s">
        <v>14</v>
      </c>
    </row>
    <row r="41" spans="2:3" x14ac:dyDescent="0.35">
      <c r="B41" s="8">
        <v>291</v>
      </c>
      <c r="C41" s="8" t="s">
        <v>13</v>
      </c>
    </row>
    <row r="42" spans="2:3" x14ac:dyDescent="0.35">
      <c r="B42" s="8">
        <v>368</v>
      </c>
      <c r="C42" s="8" t="s">
        <v>13</v>
      </c>
    </row>
    <row r="43" spans="2:3" x14ac:dyDescent="0.35">
      <c r="B43" s="8">
        <v>206</v>
      </c>
      <c r="C43" s="8" t="s">
        <v>14</v>
      </c>
    </row>
    <row r="44" spans="2:3" x14ac:dyDescent="0.35">
      <c r="B44" s="8">
        <v>231</v>
      </c>
      <c r="C44" s="8" t="s">
        <v>14</v>
      </c>
    </row>
    <row r="45" spans="2:3" x14ac:dyDescent="0.35">
      <c r="B45" s="8">
        <v>389</v>
      </c>
      <c r="C45" s="8" t="s">
        <v>14</v>
      </c>
    </row>
    <row r="46" spans="2:3" x14ac:dyDescent="0.35">
      <c r="B46" s="8">
        <v>396</v>
      </c>
      <c r="C46" s="8" t="s">
        <v>13</v>
      </c>
    </row>
    <row r="47" spans="2:3" x14ac:dyDescent="0.35">
      <c r="B47" s="8">
        <v>339</v>
      </c>
      <c r="C47" s="8" t="s">
        <v>13</v>
      </c>
    </row>
    <row r="48" spans="2:3" x14ac:dyDescent="0.35">
      <c r="B48" s="8">
        <v>286</v>
      </c>
      <c r="C48" s="8" t="s">
        <v>13</v>
      </c>
    </row>
    <row r="49" spans="2:3" x14ac:dyDescent="0.35">
      <c r="B49" s="8">
        <v>146</v>
      </c>
      <c r="C49" s="8" t="s">
        <v>14</v>
      </c>
    </row>
    <row r="50" spans="2:3" x14ac:dyDescent="0.35">
      <c r="B50" s="8">
        <v>315</v>
      </c>
      <c r="C50" s="8" t="s">
        <v>13</v>
      </c>
    </row>
    <row r="51" spans="2:3" x14ac:dyDescent="0.35">
      <c r="B51" s="8">
        <v>183</v>
      </c>
      <c r="C51" s="8" t="s">
        <v>14</v>
      </c>
    </row>
    <row r="52" spans="2:3" x14ac:dyDescent="0.35">
      <c r="B52" s="8">
        <v>481</v>
      </c>
      <c r="C52" s="8" t="s">
        <v>13</v>
      </c>
    </row>
    <row r="53" spans="2:3" x14ac:dyDescent="0.35">
      <c r="B53" s="8">
        <v>349</v>
      </c>
      <c r="C53" s="8" t="s">
        <v>14</v>
      </c>
    </row>
    <row r="54" spans="2:3" x14ac:dyDescent="0.35">
      <c r="B54" s="8">
        <v>225</v>
      </c>
      <c r="C54" s="8" t="s">
        <v>13</v>
      </c>
    </row>
    <row r="55" spans="2:3" x14ac:dyDescent="0.35">
      <c r="B55" s="8">
        <v>217</v>
      </c>
      <c r="C55" s="8" t="s">
        <v>13</v>
      </c>
    </row>
    <row r="56" spans="2:3" x14ac:dyDescent="0.35">
      <c r="B56" s="8">
        <v>353</v>
      </c>
      <c r="C56" s="8" t="s">
        <v>13</v>
      </c>
    </row>
    <row r="57" spans="2:3" x14ac:dyDescent="0.35">
      <c r="B57" s="8">
        <v>314</v>
      </c>
      <c r="C57" s="8" t="s">
        <v>14</v>
      </c>
    </row>
    <row r="58" spans="2:3" x14ac:dyDescent="0.35">
      <c r="B58" s="8">
        <v>247</v>
      </c>
      <c r="C58" s="8" t="s">
        <v>13</v>
      </c>
    </row>
    <row r="59" spans="2:3" x14ac:dyDescent="0.35">
      <c r="B59" s="8">
        <v>410</v>
      </c>
      <c r="C59" s="8" t="s">
        <v>13</v>
      </c>
    </row>
    <row r="60" spans="2:3" x14ac:dyDescent="0.35">
      <c r="B60" s="8">
        <v>395</v>
      </c>
      <c r="C60" s="8" t="s">
        <v>13</v>
      </c>
    </row>
    <row r="61" spans="2:3" x14ac:dyDescent="0.35">
      <c r="B61" s="8">
        <v>416</v>
      </c>
      <c r="C61" s="8" t="s">
        <v>13</v>
      </c>
    </row>
    <row r="62" spans="2:3" x14ac:dyDescent="0.35">
      <c r="B62" s="8">
        <v>342</v>
      </c>
      <c r="C62" s="8" t="s">
        <v>13</v>
      </c>
    </row>
    <row r="63" spans="2:3" x14ac:dyDescent="0.35">
      <c r="B63" s="8">
        <v>446</v>
      </c>
      <c r="C63" s="8" t="s">
        <v>13</v>
      </c>
    </row>
    <row r="64" spans="2:3" x14ac:dyDescent="0.35">
      <c r="B64" s="8">
        <v>477</v>
      </c>
      <c r="C64" s="8" t="s">
        <v>13</v>
      </c>
    </row>
    <row r="65" spans="2:3" x14ac:dyDescent="0.35">
      <c r="B65" s="8">
        <v>444</v>
      </c>
      <c r="C65" s="8" t="s">
        <v>13</v>
      </c>
    </row>
    <row r="66" spans="2:3" x14ac:dyDescent="0.35">
      <c r="B66" s="8">
        <v>351</v>
      </c>
      <c r="C66" s="8" t="s">
        <v>13</v>
      </c>
    </row>
    <row r="67" spans="2:3" x14ac:dyDescent="0.35">
      <c r="B67" s="8">
        <v>165</v>
      </c>
      <c r="C67" s="8" t="s">
        <v>14</v>
      </c>
    </row>
    <row r="68" spans="2:3" x14ac:dyDescent="0.35">
      <c r="B68" s="8">
        <v>317</v>
      </c>
      <c r="C68" s="8" t="s">
        <v>13</v>
      </c>
    </row>
    <row r="69" spans="2:3" x14ac:dyDescent="0.35">
      <c r="B69" s="8">
        <v>250</v>
      </c>
      <c r="C69" s="8" t="s">
        <v>13</v>
      </c>
    </row>
    <row r="70" spans="2:3" x14ac:dyDescent="0.35">
      <c r="B70" s="8">
        <v>217</v>
      </c>
      <c r="C70" s="8" t="s">
        <v>14</v>
      </c>
    </row>
    <row r="71" spans="2:3" x14ac:dyDescent="0.35">
      <c r="B71" s="8">
        <v>138</v>
      </c>
      <c r="C71" s="8" t="s">
        <v>14</v>
      </c>
    </row>
    <row r="72" spans="2:3" x14ac:dyDescent="0.35">
      <c r="B72" s="8">
        <v>302</v>
      </c>
      <c r="C72" s="8" t="s">
        <v>13</v>
      </c>
    </row>
    <row r="73" spans="2:3" x14ac:dyDescent="0.35">
      <c r="B73" s="8">
        <v>311</v>
      </c>
      <c r="C73" s="8" t="s">
        <v>14</v>
      </c>
    </row>
    <row r="74" spans="2:3" x14ac:dyDescent="0.35">
      <c r="B74" s="8">
        <v>373</v>
      </c>
      <c r="C74" s="8" t="s">
        <v>13</v>
      </c>
    </row>
    <row r="75" spans="2:3" x14ac:dyDescent="0.35">
      <c r="B75" s="8">
        <v>196</v>
      </c>
      <c r="C75" s="8" t="s">
        <v>14</v>
      </c>
    </row>
    <row r="76" spans="2:3" x14ac:dyDescent="0.35">
      <c r="B76" s="8">
        <v>306</v>
      </c>
      <c r="C76" s="8" t="s">
        <v>13</v>
      </c>
    </row>
    <row r="77" spans="2:3" x14ac:dyDescent="0.35">
      <c r="B77" s="8">
        <v>302</v>
      </c>
      <c r="C77" s="8" t="s">
        <v>14</v>
      </c>
    </row>
    <row r="78" spans="2:3" x14ac:dyDescent="0.35">
      <c r="B78" s="8">
        <v>278</v>
      </c>
      <c r="C78" s="8" t="s">
        <v>14</v>
      </c>
    </row>
    <row r="79" spans="2:3" x14ac:dyDescent="0.35">
      <c r="B79" s="8">
        <v>429</v>
      </c>
      <c r="C79" s="8" t="s">
        <v>14</v>
      </c>
    </row>
    <row r="80" spans="2:3" x14ac:dyDescent="0.35">
      <c r="B80" s="8">
        <v>338</v>
      </c>
      <c r="C80" s="8" t="s">
        <v>13</v>
      </c>
    </row>
    <row r="81" spans="2:3" x14ac:dyDescent="0.35">
      <c r="B81" s="8">
        <v>261</v>
      </c>
      <c r="C81" s="8" t="s">
        <v>14</v>
      </c>
    </row>
    <row r="82" spans="2:3" x14ac:dyDescent="0.35">
      <c r="B82" s="8">
        <v>256</v>
      </c>
      <c r="C82" s="8" t="s">
        <v>14</v>
      </c>
    </row>
    <row r="83" spans="2:3" x14ac:dyDescent="0.35">
      <c r="B83" s="8">
        <v>183</v>
      </c>
      <c r="C83" s="8" t="s">
        <v>13</v>
      </c>
    </row>
    <row r="84" spans="2:3" x14ac:dyDescent="0.35">
      <c r="B84" s="8">
        <v>274</v>
      </c>
      <c r="C84" s="8" t="s">
        <v>13</v>
      </c>
    </row>
    <row r="85" spans="2:3" x14ac:dyDescent="0.35">
      <c r="B85" s="8">
        <v>182</v>
      </c>
      <c r="C85" s="8" t="s">
        <v>14</v>
      </c>
    </row>
    <row r="86" spans="2:3" x14ac:dyDescent="0.35">
      <c r="B86" s="8">
        <v>183</v>
      </c>
      <c r="C86" s="8" t="s">
        <v>14</v>
      </c>
    </row>
    <row r="87" spans="2:3" x14ac:dyDescent="0.35">
      <c r="B87" s="8">
        <v>309</v>
      </c>
      <c r="C87" s="8" t="s">
        <v>13</v>
      </c>
    </row>
    <row r="88" spans="2:3" x14ac:dyDescent="0.35">
      <c r="B88" s="8">
        <v>178</v>
      </c>
      <c r="C88" s="8" t="s">
        <v>14</v>
      </c>
    </row>
    <row r="89" spans="2:3" x14ac:dyDescent="0.35">
      <c r="B89" s="8">
        <v>458</v>
      </c>
      <c r="C89" s="8" t="s">
        <v>13</v>
      </c>
    </row>
    <row r="90" spans="2:3" x14ac:dyDescent="0.35">
      <c r="B90" s="8">
        <v>234</v>
      </c>
      <c r="C90" s="8" t="s">
        <v>13</v>
      </c>
    </row>
    <row r="91" spans="2:3" x14ac:dyDescent="0.35">
      <c r="B91" s="8">
        <v>306</v>
      </c>
      <c r="C91" s="8" t="s">
        <v>13</v>
      </c>
    </row>
    <row r="92" spans="2:3" x14ac:dyDescent="0.35">
      <c r="B92" s="8">
        <v>400</v>
      </c>
      <c r="C92" s="8" t="s">
        <v>13</v>
      </c>
    </row>
    <row r="93" spans="2:3" x14ac:dyDescent="0.35">
      <c r="B93" s="8">
        <v>337</v>
      </c>
      <c r="C93" s="8" t="s">
        <v>14</v>
      </c>
    </row>
    <row r="94" spans="2:3" x14ac:dyDescent="0.35">
      <c r="B94" s="8">
        <v>325</v>
      </c>
      <c r="C94" s="8" t="s">
        <v>13</v>
      </c>
    </row>
    <row r="95" spans="2:3" x14ac:dyDescent="0.35">
      <c r="B95" s="8">
        <v>329</v>
      </c>
      <c r="C95" s="8" t="s">
        <v>14</v>
      </c>
    </row>
    <row r="96" spans="2:3" x14ac:dyDescent="0.35">
      <c r="B96" s="8">
        <v>369</v>
      </c>
      <c r="C96" s="8" t="s">
        <v>13</v>
      </c>
    </row>
    <row r="97" spans="2:3" x14ac:dyDescent="0.35">
      <c r="B97" s="8">
        <v>457</v>
      </c>
      <c r="C97" s="8" t="s">
        <v>13</v>
      </c>
    </row>
    <row r="98" spans="2:3" x14ac:dyDescent="0.35">
      <c r="B98" s="8">
        <v>421</v>
      </c>
      <c r="C98" s="8" t="s">
        <v>14</v>
      </c>
    </row>
    <row r="99" spans="2:3" x14ac:dyDescent="0.35">
      <c r="B99" s="8">
        <v>282</v>
      </c>
      <c r="C99" s="8" t="s">
        <v>13</v>
      </c>
    </row>
    <row r="100" spans="2:3" x14ac:dyDescent="0.35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headerFooter>
    <oddFooter>&amp;L3/20/2023&amp;CAXP Internal&amp;R44</oddFoot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R12" sqref="R12"/>
    </sheetView>
  </sheetViews>
  <sheetFormatPr defaultRowHeight="14.5" x14ac:dyDescent="0.35"/>
  <cols>
    <col min="1" max="1" width="2.81640625" customWidth="1"/>
    <col min="2" max="2" width="13.1796875" bestFit="1" customWidth="1"/>
    <col min="4" max="4" width="13.54296875" customWidth="1"/>
    <col min="5" max="5" width="11.453125" customWidth="1"/>
    <col min="7" max="7" width="6.54296875" customWidth="1"/>
    <col min="8" max="9" width="2.81640625" customWidth="1"/>
    <col min="12" max="12" width="11.453125" customWidth="1"/>
    <col min="15" max="15" width="15.7265625" bestFit="1" customWidth="1"/>
    <col min="18" max="18" width="60.7265625" customWidth="1"/>
    <col min="21" max="22" width="9.1796875" hidden="1" customWidth="1"/>
  </cols>
  <sheetData>
    <row r="1" spans="2:22" ht="25.5" customHeight="1" x14ac:dyDescent="0.45">
      <c r="B1" s="18" t="s">
        <v>214</v>
      </c>
    </row>
    <row r="2" spans="2:22" ht="15" customHeight="1" x14ac:dyDescent="0.35">
      <c r="B2" s="30" t="s">
        <v>211</v>
      </c>
    </row>
    <row r="3" spans="2:22" ht="18" customHeight="1" x14ac:dyDescent="0.35"/>
    <row r="4" spans="2:22" x14ac:dyDescent="0.35">
      <c r="D4" s="3" t="s">
        <v>54</v>
      </c>
      <c r="G4" s="3"/>
      <c r="O4" s="3" t="s">
        <v>54</v>
      </c>
    </row>
    <row r="5" spans="2:22" x14ac:dyDescent="0.35">
      <c r="B5" s="7" t="s">
        <v>35</v>
      </c>
      <c r="D5" s="121" t="s">
        <v>139</v>
      </c>
      <c r="E5" s="121"/>
      <c r="G5" s="124" t="s">
        <v>199</v>
      </c>
      <c r="H5" s="124"/>
      <c r="I5" s="124"/>
      <c r="J5" s="124"/>
      <c r="L5" s="124" t="s">
        <v>201</v>
      </c>
      <c r="M5" s="124"/>
      <c r="O5" s="121" t="s">
        <v>204</v>
      </c>
      <c r="P5" s="121"/>
      <c r="R5" s="50" t="s">
        <v>203</v>
      </c>
      <c r="U5" t="s">
        <v>198</v>
      </c>
      <c r="V5" s="92" t="s">
        <v>200</v>
      </c>
    </row>
    <row r="6" spans="2:22" x14ac:dyDescent="0.35">
      <c r="B6" s="53">
        <v>111000</v>
      </c>
      <c r="D6" s="20" t="s">
        <v>71</v>
      </c>
      <c r="E6" s="71">
        <f>COUNT(B6:B58)</f>
        <v>53</v>
      </c>
      <c r="G6" s="20" t="s">
        <v>195</v>
      </c>
      <c r="H6" s="89" t="s">
        <v>213</v>
      </c>
      <c r="I6" s="89" t="s">
        <v>209</v>
      </c>
      <c r="J6" s="93">
        <f>J7</f>
        <v>0.5</v>
      </c>
      <c r="L6" s="20" t="s">
        <v>143</v>
      </c>
      <c r="M6" s="71">
        <v>0.05</v>
      </c>
      <c r="O6" s="20" t="s">
        <v>146</v>
      </c>
      <c r="P6" s="94">
        <f>SQRT(E7*E8/E6)</f>
        <v>6.5872243431592162E-2</v>
      </c>
      <c r="R6" s="125" t="s">
        <v>380</v>
      </c>
      <c r="U6" t="s">
        <v>209</v>
      </c>
      <c r="V6" s="92" t="s">
        <v>210</v>
      </c>
    </row>
    <row r="7" spans="2:22" x14ac:dyDescent="0.35">
      <c r="B7" s="53">
        <v>107000</v>
      </c>
      <c r="D7" s="20" t="s">
        <v>158</v>
      </c>
      <c r="E7" s="87">
        <f>COUNTIF(B6:B58,"&gt;=100000")/E6</f>
        <v>0.64150943396226412</v>
      </c>
      <c r="G7" s="20" t="s">
        <v>196</v>
      </c>
      <c r="H7" s="89" t="s">
        <v>213</v>
      </c>
      <c r="I7" s="89" t="s">
        <v>210</v>
      </c>
      <c r="J7" s="93">
        <v>0.5</v>
      </c>
      <c r="L7" s="20"/>
      <c r="M7" s="1"/>
      <c r="O7" s="20" t="s">
        <v>212</v>
      </c>
      <c r="P7" s="91">
        <f>(E7-J6)/P6</f>
        <v>2.14824069426481</v>
      </c>
      <c r="R7" s="125"/>
      <c r="U7" t="s">
        <v>311</v>
      </c>
      <c r="V7" t="s">
        <v>312</v>
      </c>
    </row>
    <row r="8" spans="2:22" x14ac:dyDescent="0.35">
      <c r="B8" s="53">
        <v>109000</v>
      </c>
      <c r="D8" s="20" t="s">
        <v>159</v>
      </c>
      <c r="E8" s="87">
        <f>1-E7</f>
        <v>0.35849056603773588</v>
      </c>
      <c r="G8" s="20"/>
      <c r="H8" s="36"/>
      <c r="I8" s="36"/>
      <c r="J8" s="36"/>
      <c r="O8" s="20" t="s">
        <v>207</v>
      </c>
      <c r="P8" s="70">
        <f>1-_xlfn.NORM.S.DIST(P7,TRUE)</f>
        <v>1.5847319730759257E-2</v>
      </c>
      <c r="R8" s="125"/>
    </row>
    <row r="9" spans="2:22" x14ac:dyDescent="0.35">
      <c r="B9" s="53">
        <v>148000</v>
      </c>
      <c r="G9" s="20"/>
      <c r="H9" s="37"/>
      <c r="I9" s="37"/>
      <c r="J9" s="37"/>
      <c r="R9" s="125"/>
    </row>
    <row r="10" spans="2:22" x14ac:dyDescent="0.35">
      <c r="B10" s="53">
        <v>255500</v>
      </c>
      <c r="D10" s="121" t="s">
        <v>163</v>
      </c>
      <c r="E10" s="121"/>
      <c r="G10" s="20"/>
      <c r="H10" s="22"/>
      <c r="I10" s="22"/>
      <c r="J10" s="22"/>
      <c r="R10" s="125"/>
    </row>
    <row r="11" spans="2:22" x14ac:dyDescent="0.35">
      <c r="B11" s="53">
        <v>103500</v>
      </c>
      <c r="D11" s="20" t="s">
        <v>164</v>
      </c>
      <c r="E11" s="71"/>
      <c r="G11" s="20"/>
      <c r="H11" s="22"/>
      <c r="I11" s="22"/>
      <c r="J11" s="22"/>
      <c r="R11" s="125"/>
    </row>
    <row r="12" spans="2:22" x14ac:dyDescent="0.35">
      <c r="B12" s="53">
        <v>114500</v>
      </c>
      <c r="D12" s="20" t="s">
        <v>165</v>
      </c>
      <c r="E12" s="71"/>
    </row>
    <row r="13" spans="2:22" x14ac:dyDescent="0.35">
      <c r="B13" s="53">
        <v>124000</v>
      </c>
    </row>
    <row r="14" spans="2:22" x14ac:dyDescent="0.35">
      <c r="B14" s="53">
        <v>132500</v>
      </c>
    </row>
    <row r="15" spans="2:22" x14ac:dyDescent="0.35">
      <c r="B15" s="53">
        <v>99000</v>
      </c>
    </row>
    <row r="16" spans="2:22" x14ac:dyDescent="0.35">
      <c r="B16" s="53">
        <v>124000</v>
      </c>
    </row>
    <row r="17" spans="2:2" x14ac:dyDescent="0.35">
      <c r="B17" s="53">
        <v>82000</v>
      </c>
    </row>
    <row r="18" spans="2:2" x14ac:dyDescent="0.35">
      <c r="B18" s="53">
        <v>185000</v>
      </c>
    </row>
    <row r="19" spans="2:2" x14ac:dyDescent="0.35">
      <c r="B19" s="53">
        <v>89500</v>
      </c>
    </row>
    <row r="20" spans="2:2" x14ac:dyDescent="0.35">
      <c r="B20" s="53">
        <v>91500</v>
      </c>
    </row>
    <row r="21" spans="2:2" x14ac:dyDescent="0.35">
      <c r="B21" s="53">
        <v>113500</v>
      </c>
    </row>
    <row r="22" spans="2:2" x14ac:dyDescent="0.35">
      <c r="B22" s="53">
        <v>99000</v>
      </c>
    </row>
    <row r="23" spans="2:2" x14ac:dyDescent="0.35">
      <c r="B23" s="53">
        <v>75500</v>
      </c>
    </row>
    <row r="24" spans="2:2" x14ac:dyDescent="0.35">
      <c r="B24" s="53">
        <v>86000</v>
      </c>
    </row>
    <row r="25" spans="2:2" x14ac:dyDescent="0.35">
      <c r="B25" s="53">
        <v>156500</v>
      </c>
    </row>
    <row r="26" spans="2:2" x14ac:dyDescent="0.35">
      <c r="B26" s="53">
        <v>99500</v>
      </c>
    </row>
    <row r="27" spans="2:2" x14ac:dyDescent="0.35">
      <c r="B27" s="53">
        <v>148000</v>
      </c>
    </row>
    <row r="28" spans="2:2" x14ac:dyDescent="0.35">
      <c r="B28" s="53">
        <v>82000</v>
      </c>
    </row>
    <row r="29" spans="2:2" x14ac:dyDescent="0.35">
      <c r="B29" s="53">
        <v>103500</v>
      </c>
    </row>
    <row r="30" spans="2:2" x14ac:dyDescent="0.35">
      <c r="B30" s="53">
        <v>205500</v>
      </c>
    </row>
    <row r="31" spans="2:2" x14ac:dyDescent="0.35">
      <c r="B31" s="53">
        <v>103500</v>
      </c>
    </row>
    <row r="32" spans="2:2" x14ac:dyDescent="0.35">
      <c r="B32" s="53">
        <v>340000</v>
      </c>
    </row>
    <row r="33" spans="2:2" x14ac:dyDescent="0.35">
      <c r="B33" s="53">
        <v>103500</v>
      </c>
    </row>
    <row r="34" spans="2:2" x14ac:dyDescent="0.35">
      <c r="B34" s="53">
        <v>99500</v>
      </c>
    </row>
    <row r="35" spans="2:2" x14ac:dyDescent="0.35">
      <c r="B35" s="53">
        <v>103000</v>
      </c>
    </row>
    <row r="36" spans="2:2" x14ac:dyDescent="0.35">
      <c r="B36" s="53">
        <v>103500</v>
      </c>
    </row>
    <row r="37" spans="2:2" x14ac:dyDescent="0.35">
      <c r="B37" s="53">
        <v>165000</v>
      </c>
    </row>
    <row r="38" spans="2:2" x14ac:dyDescent="0.35">
      <c r="B38" s="53">
        <v>124500</v>
      </c>
    </row>
    <row r="39" spans="2:2" x14ac:dyDescent="0.35">
      <c r="B39" s="53">
        <v>103500</v>
      </c>
    </row>
    <row r="40" spans="2:2" x14ac:dyDescent="0.35">
      <c r="B40" s="53">
        <v>82500</v>
      </c>
    </row>
    <row r="41" spans="2:2" x14ac:dyDescent="0.35">
      <c r="B41" s="53">
        <v>93000</v>
      </c>
    </row>
    <row r="42" spans="2:2" x14ac:dyDescent="0.35">
      <c r="B42" s="53">
        <v>168000</v>
      </c>
    </row>
    <row r="43" spans="2:2" x14ac:dyDescent="0.35">
      <c r="B43" s="53">
        <v>96000</v>
      </c>
    </row>
    <row r="44" spans="2:2" x14ac:dyDescent="0.35">
      <c r="B44" s="53">
        <v>80000</v>
      </c>
    </row>
    <row r="45" spans="2:2" x14ac:dyDescent="0.35">
      <c r="B45" s="53">
        <v>124500</v>
      </c>
    </row>
    <row r="46" spans="2:2" x14ac:dyDescent="0.35">
      <c r="B46" s="53">
        <v>99000</v>
      </c>
    </row>
    <row r="47" spans="2:2" x14ac:dyDescent="0.35">
      <c r="B47" s="53">
        <v>124000</v>
      </c>
    </row>
    <row r="48" spans="2:2" x14ac:dyDescent="0.35">
      <c r="B48" s="53">
        <v>91500</v>
      </c>
    </row>
    <row r="49" spans="2:2" x14ac:dyDescent="0.35">
      <c r="B49" s="53">
        <v>144500</v>
      </c>
    </row>
    <row r="50" spans="2:2" x14ac:dyDescent="0.35">
      <c r="B50" s="53">
        <v>114500</v>
      </c>
    </row>
    <row r="51" spans="2:2" x14ac:dyDescent="0.35">
      <c r="B51" s="53">
        <v>104500</v>
      </c>
    </row>
    <row r="52" spans="2:2" x14ac:dyDescent="0.35">
      <c r="B52" s="53">
        <v>124000</v>
      </c>
    </row>
    <row r="53" spans="2:2" x14ac:dyDescent="0.35">
      <c r="B53" s="53">
        <v>113000</v>
      </c>
    </row>
    <row r="54" spans="2:2" x14ac:dyDescent="0.35">
      <c r="B54" s="53">
        <v>78000</v>
      </c>
    </row>
    <row r="55" spans="2:2" x14ac:dyDescent="0.35">
      <c r="B55" s="53">
        <v>109000</v>
      </c>
    </row>
    <row r="56" spans="2:2" x14ac:dyDescent="0.35">
      <c r="B56" s="53">
        <v>99500</v>
      </c>
    </row>
    <row r="57" spans="2:2" x14ac:dyDescent="0.35">
      <c r="B57" s="53">
        <v>107000</v>
      </c>
    </row>
    <row r="58" spans="2:2" x14ac:dyDescent="0.35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disablePrompts="1"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headerFooter>
    <oddFooter>&amp;L3/20/2023&amp;CAXP Internal&amp;R45</oddFoot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topLeftCell="G1" workbookViewId="0">
      <selection activeCell="U6" sqref="U6:U11"/>
    </sheetView>
  </sheetViews>
  <sheetFormatPr defaultRowHeight="14.5" x14ac:dyDescent="0.35"/>
  <cols>
    <col min="1" max="1" width="2.81640625" customWidth="1"/>
    <col min="2" max="2" width="11.453125" customWidth="1"/>
    <col min="3" max="3" width="21.453125" customWidth="1"/>
    <col min="4" max="4" width="20" customWidth="1"/>
    <col min="5" max="5" width="11.453125" customWidth="1"/>
    <col min="7" max="7" width="6.54296875" customWidth="1"/>
    <col min="8" max="8" width="5.453125" bestFit="1" customWidth="1"/>
    <col min="9" max="9" width="2.81640625" customWidth="1"/>
    <col min="12" max="12" width="11.453125" customWidth="1"/>
    <col min="15" max="15" width="12.1796875" customWidth="1"/>
    <col min="16" max="16" width="11.453125" customWidth="1"/>
    <col min="18" max="18" width="15.7265625" bestFit="1" customWidth="1"/>
    <col min="21" max="21" width="57.1796875" customWidth="1"/>
    <col min="23" max="24" width="0" hidden="1" customWidth="1"/>
  </cols>
  <sheetData>
    <row r="1" spans="2:24" ht="25.5" customHeight="1" x14ac:dyDescent="0.45">
      <c r="B1" s="18" t="s">
        <v>381</v>
      </c>
    </row>
    <row r="2" spans="2:24" ht="15" customHeight="1" x14ac:dyDescent="0.35">
      <c r="B2" s="30" t="s">
        <v>215</v>
      </c>
    </row>
    <row r="3" spans="2:24" ht="18" customHeight="1" x14ac:dyDescent="0.35"/>
    <row r="4" spans="2:24" x14ac:dyDescent="0.35">
      <c r="G4" s="3"/>
      <c r="O4" s="3" t="s">
        <v>54</v>
      </c>
      <c r="R4" s="3" t="s">
        <v>54</v>
      </c>
    </row>
    <row r="5" spans="2:24" x14ac:dyDescent="0.35">
      <c r="B5" s="40" t="s">
        <v>20</v>
      </c>
      <c r="C5" s="43" t="s">
        <v>22</v>
      </c>
      <c r="D5" s="43" t="s">
        <v>23</v>
      </c>
      <c r="E5" s="41" t="s">
        <v>172</v>
      </c>
      <c r="G5" s="124" t="s">
        <v>199</v>
      </c>
      <c r="H5" s="124"/>
      <c r="I5" s="124"/>
      <c r="J5" s="124"/>
      <c r="L5" s="124" t="s">
        <v>201</v>
      </c>
      <c r="M5" s="124"/>
      <c r="O5" s="121" t="s">
        <v>139</v>
      </c>
      <c r="P5" s="121"/>
      <c r="R5" s="121" t="s">
        <v>204</v>
      </c>
      <c r="S5" s="121"/>
      <c r="U5" s="50" t="s">
        <v>203</v>
      </c>
      <c r="W5" t="s">
        <v>198</v>
      </c>
      <c r="X5" s="92" t="s">
        <v>200</v>
      </c>
    </row>
    <row r="6" spans="2:24" ht="16.5" x14ac:dyDescent="0.45">
      <c r="B6" s="8">
        <v>1</v>
      </c>
      <c r="C6" s="8">
        <v>252</v>
      </c>
      <c r="D6" s="8">
        <v>276</v>
      </c>
      <c r="E6" s="8">
        <f>D6-C6</f>
        <v>24</v>
      </c>
      <c r="G6" s="20" t="s">
        <v>195</v>
      </c>
      <c r="H6" s="89" t="s">
        <v>216</v>
      </c>
      <c r="I6" s="89" t="s">
        <v>311</v>
      </c>
      <c r="J6" s="90">
        <v>50</v>
      </c>
      <c r="L6" s="20" t="s">
        <v>143</v>
      </c>
      <c r="M6" s="71">
        <v>0.02</v>
      </c>
      <c r="O6" s="20" t="s">
        <v>71</v>
      </c>
      <c r="P6" s="71">
        <f>COUNT(E6:E100)</f>
        <v>95</v>
      </c>
      <c r="R6" s="20" t="s">
        <v>146</v>
      </c>
      <c r="S6" s="75">
        <f>P8/SQRT(P6)</f>
        <v>3.0425395986393706</v>
      </c>
      <c r="U6" s="125" t="s">
        <v>382</v>
      </c>
      <c r="W6" t="s">
        <v>209</v>
      </c>
      <c r="X6" s="92" t="s">
        <v>210</v>
      </c>
    </row>
    <row r="7" spans="2:24" ht="16.5" x14ac:dyDescent="0.45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196</v>
      </c>
      <c r="H7" s="89" t="s">
        <v>216</v>
      </c>
      <c r="I7" s="89" t="s">
        <v>312</v>
      </c>
      <c r="J7" s="90">
        <v>50</v>
      </c>
      <c r="L7" s="20"/>
      <c r="M7" s="1"/>
      <c r="O7" s="20" t="s">
        <v>46</v>
      </c>
      <c r="P7" s="72">
        <f>AVERAGE(E6:E100)</f>
        <v>49.442105263157892</v>
      </c>
      <c r="R7" s="20" t="s">
        <v>202</v>
      </c>
      <c r="S7" s="91">
        <f>(P7-J6)/S6</f>
        <v>-0.18336482361366796</v>
      </c>
      <c r="U7" s="125"/>
      <c r="W7" t="s">
        <v>311</v>
      </c>
      <c r="X7" t="s">
        <v>312</v>
      </c>
    </row>
    <row r="8" spans="2:24" x14ac:dyDescent="0.35">
      <c r="B8" s="8">
        <v>3</v>
      </c>
      <c r="C8" s="8">
        <v>101</v>
      </c>
      <c r="D8" s="8">
        <v>119</v>
      </c>
      <c r="E8" s="8">
        <f t="shared" si="0"/>
        <v>18</v>
      </c>
      <c r="G8" s="20"/>
      <c r="H8" s="36"/>
      <c r="I8" s="36"/>
      <c r="J8" s="36"/>
      <c r="O8" s="20" t="s">
        <v>70</v>
      </c>
      <c r="P8" s="75">
        <f>_xlfn.STDEV.S(E6:E100)</f>
        <v>29.655007753875548</v>
      </c>
      <c r="R8" s="20" t="s">
        <v>207</v>
      </c>
      <c r="S8" s="70">
        <f>_xlfn.T.DIST(S7,P6-1,TRUE)</f>
        <v>0.42745335670268647</v>
      </c>
      <c r="U8" s="125"/>
    </row>
    <row r="9" spans="2:24" x14ac:dyDescent="0.35">
      <c r="B9" s="8">
        <v>4</v>
      </c>
      <c r="C9" s="8">
        <v>288</v>
      </c>
      <c r="D9" s="8">
        <v>334</v>
      </c>
      <c r="E9" s="8">
        <f t="shared" si="0"/>
        <v>46</v>
      </c>
      <c r="G9" s="20"/>
      <c r="H9" s="37"/>
      <c r="I9" s="37"/>
      <c r="J9" s="37"/>
      <c r="U9" s="125"/>
    </row>
    <row r="10" spans="2:24" x14ac:dyDescent="0.35">
      <c r="B10" s="8">
        <v>5</v>
      </c>
      <c r="C10" s="8">
        <v>248</v>
      </c>
      <c r="D10" s="8">
        <v>252</v>
      </c>
      <c r="E10" s="8">
        <f t="shared" si="0"/>
        <v>4</v>
      </c>
      <c r="G10" s="20"/>
      <c r="H10" s="22"/>
      <c r="I10" s="22"/>
      <c r="J10" s="22"/>
      <c r="U10" s="125"/>
    </row>
    <row r="11" spans="2:24" x14ac:dyDescent="0.35">
      <c r="B11" s="8">
        <v>6</v>
      </c>
      <c r="C11" s="8">
        <v>145</v>
      </c>
      <c r="D11" s="8">
        <v>209</v>
      </c>
      <c r="E11" s="8">
        <f t="shared" si="0"/>
        <v>64</v>
      </c>
      <c r="G11" s="20"/>
      <c r="H11" s="22"/>
      <c r="I11" s="22"/>
      <c r="J11" s="22"/>
      <c r="U11" s="125"/>
    </row>
    <row r="12" spans="2:24" x14ac:dyDescent="0.35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24" x14ac:dyDescent="0.35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24" x14ac:dyDescent="0.35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24" x14ac:dyDescent="0.35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24" x14ac:dyDescent="0.35">
      <c r="B16" s="8">
        <v>11</v>
      </c>
      <c r="C16" s="8">
        <v>182</v>
      </c>
      <c r="D16" s="8">
        <v>232</v>
      </c>
      <c r="E16" s="8">
        <f t="shared" si="0"/>
        <v>50</v>
      </c>
    </row>
    <row r="17" spans="2:5" x14ac:dyDescent="0.35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35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35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35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35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35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35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35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35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35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35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35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35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35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35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35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35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35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35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35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35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35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35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35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35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35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35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35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35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35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35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35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35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35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35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35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35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35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35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35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35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35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35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35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35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35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35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35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35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35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35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35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35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35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35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35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35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35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35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35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35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35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35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35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35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35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35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35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35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35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35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35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35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35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35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35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35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35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35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35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35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35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35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35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  <headerFooter>
    <oddFooter>&amp;L3/20/2023&amp;CAXP Internal&amp;R46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topLeftCell="J3" zoomScale="88" zoomScaleNormal="88" workbookViewId="0">
      <selection activeCell="W21" sqref="W21"/>
    </sheetView>
  </sheetViews>
  <sheetFormatPr defaultRowHeight="14.5" x14ac:dyDescent="0.35"/>
  <cols>
    <col min="1" max="1" width="2.81640625" customWidth="1"/>
    <col min="2" max="2" width="15.7265625" bestFit="1" customWidth="1"/>
    <col min="3" max="3" width="12.7265625" bestFit="1" customWidth="1"/>
    <col min="5" max="5" width="15.453125" bestFit="1" customWidth="1"/>
    <col min="6" max="7" width="14.26953125" customWidth="1"/>
    <col min="9" max="10" width="11.453125" customWidth="1"/>
    <col min="12" max="12" width="6.54296875" customWidth="1"/>
    <col min="13" max="13" width="5.453125" bestFit="1" customWidth="1"/>
    <col min="14" max="14" width="2.81640625" customWidth="1"/>
    <col min="15" max="15" width="9.1796875" customWidth="1"/>
    <col min="17" max="17" width="11.453125" customWidth="1"/>
    <col min="20" max="20" width="21.1796875" bestFit="1" customWidth="1"/>
    <col min="21" max="21" width="12.36328125" bestFit="1" customWidth="1"/>
    <col min="23" max="23" width="57.1796875" customWidth="1"/>
    <col min="25" max="26" width="0" hidden="1" customWidth="1"/>
  </cols>
  <sheetData>
    <row r="1" spans="2:26" ht="25.5" customHeight="1" x14ac:dyDescent="0.45">
      <c r="B1" s="18" t="s">
        <v>218</v>
      </c>
    </row>
    <row r="2" spans="2:26" ht="15" customHeight="1" x14ac:dyDescent="0.35">
      <c r="B2" s="30" t="s">
        <v>217</v>
      </c>
    </row>
    <row r="3" spans="2:26" ht="18" customHeight="1" x14ac:dyDescent="0.35"/>
    <row r="4" spans="2:26" x14ac:dyDescent="0.35">
      <c r="E4" s="3" t="s">
        <v>53</v>
      </c>
      <c r="I4" s="3" t="s">
        <v>54</v>
      </c>
      <c r="L4" s="3"/>
      <c r="T4" s="3" t="s">
        <v>54</v>
      </c>
    </row>
    <row r="5" spans="2:26" x14ac:dyDescent="0.35">
      <c r="B5" s="43" t="s">
        <v>21</v>
      </c>
      <c r="C5" s="41" t="s">
        <v>35</v>
      </c>
      <c r="E5" s="122" t="s">
        <v>139</v>
      </c>
      <c r="F5" s="122"/>
      <c r="G5" s="122"/>
      <c r="I5" s="121" t="s">
        <v>179</v>
      </c>
      <c r="J5" s="121"/>
      <c r="L5" s="124" t="s">
        <v>199</v>
      </c>
      <c r="M5" s="124"/>
      <c r="N5" s="124"/>
      <c r="O5" s="124"/>
      <c r="Q5" s="124" t="s">
        <v>201</v>
      </c>
      <c r="R5" s="124"/>
      <c r="T5" s="121" t="s">
        <v>204</v>
      </c>
      <c r="U5" s="121"/>
      <c r="W5" s="50" t="s">
        <v>203</v>
      </c>
    </row>
    <row r="6" spans="2:26" ht="16.5" customHeight="1" x14ac:dyDescent="0.4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180</v>
      </c>
      <c r="J6" s="80">
        <f>F9-G9</f>
        <v>7744.2810457516316</v>
      </c>
      <c r="L6" s="20" t="s">
        <v>195</v>
      </c>
      <c r="M6" s="89" t="s">
        <v>216</v>
      </c>
      <c r="N6" s="89" t="s">
        <v>209</v>
      </c>
      <c r="O6" s="90">
        <v>0</v>
      </c>
      <c r="Q6" s="20" t="s">
        <v>143</v>
      </c>
      <c r="R6" s="71">
        <v>0.01</v>
      </c>
      <c r="T6" s="20" t="s">
        <v>146</v>
      </c>
      <c r="U6" s="80">
        <f>SQRT(F11+G11)</f>
        <v>15739.713009442165</v>
      </c>
      <c r="W6" s="126" t="s">
        <v>383</v>
      </c>
      <c r="Y6" s="95" t="s">
        <v>198</v>
      </c>
      <c r="Z6" s="92" t="s">
        <v>200</v>
      </c>
    </row>
    <row r="7" spans="2:26" ht="16.5" x14ac:dyDescent="0.45">
      <c r="B7" s="8" t="s">
        <v>27</v>
      </c>
      <c r="C7" s="12">
        <v>107000</v>
      </c>
      <c r="E7" s="20" t="s">
        <v>176</v>
      </c>
      <c r="F7" s="71">
        <f>COUNTIF($B$6:$B$58,F6)</f>
        <v>17</v>
      </c>
      <c r="G7" s="71">
        <f>COUNTIF($B$6:$B$58,G6)</f>
        <v>36</v>
      </c>
      <c r="L7" s="20" t="s">
        <v>196</v>
      </c>
      <c r="M7" s="89" t="s">
        <v>216</v>
      </c>
      <c r="N7" s="89" t="s">
        <v>210</v>
      </c>
      <c r="O7" s="90">
        <v>0</v>
      </c>
      <c r="Q7" s="20"/>
      <c r="R7" s="1"/>
      <c r="T7" s="20" t="s">
        <v>202</v>
      </c>
      <c r="U7" s="115">
        <f>(J6-O6)/U6</f>
        <v>0.49202174404996341</v>
      </c>
      <c r="W7" s="127"/>
      <c r="Y7" s="92" t="s">
        <v>311</v>
      </c>
      <c r="Z7" t="s">
        <v>312</v>
      </c>
    </row>
    <row r="8" spans="2:26" x14ac:dyDescent="0.35">
      <c r="B8" s="8" t="s">
        <v>25</v>
      </c>
      <c r="C8" s="12">
        <v>109000</v>
      </c>
      <c r="E8" s="20" t="s">
        <v>184</v>
      </c>
      <c r="F8" s="71">
        <f>F7-1</f>
        <v>16</v>
      </c>
      <c r="G8" s="71">
        <f>G7-1</f>
        <v>35</v>
      </c>
      <c r="L8" s="20"/>
      <c r="M8" s="36"/>
      <c r="N8" s="36"/>
      <c r="O8" s="36"/>
      <c r="T8" s="20" t="s">
        <v>181</v>
      </c>
      <c r="U8" s="75">
        <f>SUM(F11,G11)^2/SUM(F11^2/F8,G11^2/G8)</f>
        <v>22.429970730290126</v>
      </c>
      <c r="W8" s="127"/>
      <c r="Y8" s="92" t="s">
        <v>209</v>
      </c>
      <c r="Z8" t="s">
        <v>210</v>
      </c>
    </row>
    <row r="9" spans="2:26" x14ac:dyDescent="0.35">
      <c r="B9" s="8" t="s">
        <v>25</v>
      </c>
      <c r="C9" s="12">
        <v>148000</v>
      </c>
      <c r="E9" s="20" t="s">
        <v>177</v>
      </c>
      <c r="F9" s="80">
        <f>AVERAGEIF($B$6:$B$58,F6,$C$6:$C$58)</f>
        <v>124647.05882352941</v>
      </c>
      <c r="G9" s="80">
        <f>AVERAGEIF($B$6:$B$58,G6,$C$6:$C$58)</f>
        <v>116902.77777777778</v>
      </c>
      <c r="L9" s="20"/>
      <c r="M9" s="37"/>
      <c r="N9" s="37"/>
      <c r="O9" s="37"/>
      <c r="T9" s="20" t="s">
        <v>207</v>
      </c>
      <c r="U9" s="70">
        <f>_xlfn.T.DIST.RT(U7,U8)</f>
        <v>0.31378889492074447</v>
      </c>
      <c r="W9" s="127"/>
    </row>
    <row r="10" spans="2:26" ht="16.5" x14ac:dyDescent="0.35">
      <c r="B10" s="8" t="s">
        <v>25</v>
      </c>
      <c r="C10" s="12">
        <v>255500</v>
      </c>
      <c r="E10" s="20" t="s">
        <v>178</v>
      </c>
      <c r="F10" s="74" cm="1">
        <f t="array" ref="F10">_xlfn.VAR.S(IF($B$6:$B$58=F6,$C$6:$C$58))</f>
        <v>3526773897.0588226</v>
      </c>
      <c r="G10" s="74" cm="1">
        <f t="array" ref="G10">_xlfn.VAR.S(IF($B$6:$B$58=G6,$C$6:$C$58))</f>
        <v>1450125992.0634923</v>
      </c>
      <c r="L10" s="20"/>
      <c r="M10" s="22"/>
      <c r="N10" s="22"/>
      <c r="O10" s="22"/>
      <c r="W10" s="127"/>
    </row>
    <row r="11" spans="2:26" ht="16.5" x14ac:dyDescent="0.35">
      <c r="B11" s="8" t="s">
        <v>25</v>
      </c>
      <c r="C11" s="12">
        <v>103500</v>
      </c>
      <c r="E11" s="20" t="s">
        <v>183</v>
      </c>
      <c r="F11" s="74">
        <f>F10/F7</f>
        <v>207457288.06228369</v>
      </c>
      <c r="G11" s="74">
        <f>G10/G7</f>
        <v>40281277.557319231</v>
      </c>
      <c r="L11" s="20"/>
      <c r="M11" s="22"/>
      <c r="N11" s="22"/>
      <c r="O11" s="22"/>
      <c r="W11" s="128"/>
    </row>
    <row r="12" spans="2:26" x14ac:dyDescent="0.35">
      <c r="B12" s="8" t="s">
        <v>25</v>
      </c>
      <c r="C12" s="12">
        <v>114500</v>
      </c>
    </row>
    <row r="13" spans="2:26" x14ac:dyDescent="0.35">
      <c r="B13" s="8" t="s">
        <v>25</v>
      </c>
      <c r="C13" s="12">
        <v>124000</v>
      </c>
    </row>
    <row r="14" spans="2:26" x14ac:dyDescent="0.35">
      <c r="B14" s="8" t="s">
        <v>25</v>
      </c>
      <c r="C14" s="12">
        <v>132500</v>
      </c>
    </row>
    <row r="15" spans="2:26" x14ac:dyDescent="0.35">
      <c r="B15" s="8" t="s">
        <v>25</v>
      </c>
      <c r="C15" s="12">
        <v>99000</v>
      </c>
    </row>
    <row r="16" spans="2:26" x14ac:dyDescent="0.35">
      <c r="B16" s="8" t="s">
        <v>25</v>
      </c>
      <c r="C16" s="12">
        <v>124000</v>
      </c>
    </row>
    <row r="17" spans="2:3" x14ac:dyDescent="0.35">
      <c r="B17" s="8" t="s">
        <v>25</v>
      </c>
      <c r="C17" s="12">
        <v>82000</v>
      </c>
    </row>
    <row r="18" spans="2:3" x14ac:dyDescent="0.35">
      <c r="B18" s="8" t="s">
        <v>25</v>
      </c>
      <c r="C18" s="12">
        <v>185000</v>
      </c>
    </row>
    <row r="19" spans="2:3" x14ac:dyDescent="0.35">
      <c r="B19" s="8" t="s">
        <v>25</v>
      </c>
      <c r="C19" s="12">
        <v>89500</v>
      </c>
    </row>
    <row r="20" spans="2:3" x14ac:dyDescent="0.35">
      <c r="B20" s="8" t="s">
        <v>25</v>
      </c>
      <c r="C20" s="12">
        <v>91500</v>
      </c>
    </row>
    <row r="21" spans="2:3" x14ac:dyDescent="0.35">
      <c r="B21" s="8" t="s">
        <v>25</v>
      </c>
      <c r="C21" s="12">
        <v>113500</v>
      </c>
    </row>
    <row r="22" spans="2:3" x14ac:dyDescent="0.35">
      <c r="B22" s="8" t="s">
        <v>27</v>
      </c>
      <c r="C22" s="12">
        <v>99000</v>
      </c>
    </row>
    <row r="23" spans="2:3" x14ac:dyDescent="0.35">
      <c r="B23" s="8" t="s">
        <v>25</v>
      </c>
      <c r="C23" s="12">
        <v>75500</v>
      </c>
    </row>
    <row r="24" spans="2:3" x14ac:dyDescent="0.35">
      <c r="B24" s="8" t="s">
        <v>27</v>
      </c>
      <c r="C24" s="12">
        <v>86000</v>
      </c>
    </row>
    <row r="25" spans="2:3" x14ac:dyDescent="0.35">
      <c r="B25" s="8" t="s">
        <v>25</v>
      </c>
      <c r="C25" s="12">
        <v>156500</v>
      </c>
    </row>
    <row r="26" spans="2:3" x14ac:dyDescent="0.35">
      <c r="B26" s="8" t="s">
        <v>27</v>
      </c>
      <c r="C26" s="12">
        <v>99500</v>
      </c>
    </row>
    <row r="27" spans="2:3" x14ac:dyDescent="0.35">
      <c r="B27" s="8" t="s">
        <v>27</v>
      </c>
      <c r="C27" s="12">
        <v>148000</v>
      </c>
    </row>
    <row r="28" spans="2:3" x14ac:dyDescent="0.35">
      <c r="B28" s="8" t="s">
        <v>25</v>
      </c>
      <c r="C28" s="12">
        <v>82000</v>
      </c>
    </row>
    <row r="29" spans="2:3" x14ac:dyDescent="0.35">
      <c r="B29" s="8" t="s">
        <v>25</v>
      </c>
      <c r="C29" s="12">
        <v>103500</v>
      </c>
    </row>
    <row r="30" spans="2:3" x14ac:dyDescent="0.35">
      <c r="B30" s="8" t="s">
        <v>25</v>
      </c>
      <c r="C30" s="12">
        <v>205500</v>
      </c>
    </row>
    <row r="31" spans="2:3" x14ac:dyDescent="0.35">
      <c r="B31" s="8" t="s">
        <v>25</v>
      </c>
      <c r="C31" s="12">
        <v>103500</v>
      </c>
    </row>
    <row r="32" spans="2:3" x14ac:dyDescent="0.35">
      <c r="B32" s="8" t="s">
        <v>27</v>
      </c>
      <c r="C32" s="12">
        <v>340000</v>
      </c>
    </row>
    <row r="33" spans="2:3" x14ac:dyDescent="0.35">
      <c r="B33" s="8" t="s">
        <v>27</v>
      </c>
      <c r="C33" s="12">
        <v>103500</v>
      </c>
    </row>
    <row r="34" spans="2:3" x14ac:dyDescent="0.35">
      <c r="B34" s="8" t="s">
        <v>27</v>
      </c>
      <c r="C34" s="12">
        <v>99500</v>
      </c>
    </row>
    <row r="35" spans="2:3" x14ac:dyDescent="0.35">
      <c r="B35" s="8" t="s">
        <v>27</v>
      </c>
      <c r="C35" s="12">
        <v>103000</v>
      </c>
    </row>
    <row r="36" spans="2:3" x14ac:dyDescent="0.35">
      <c r="B36" s="8" t="s">
        <v>25</v>
      </c>
      <c r="C36" s="12">
        <v>103500</v>
      </c>
    </row>
    <row r="37" spans="2:3" x14ac:dyDescent="0.35">
      <c r="B37" s="8" t="s">
        <v>27</v>
      </c>
      <c r="C37" s="12">
        <v>165000</v>
      </c>
    </row>
    <row r="38" spans="2:3" x14ac:dyDescent="0.35">
      <c r="B38" s="8" t="s">
        <v>27</v>
      </c>
      <c r="C38" s="12">
        <v>124500</v>
      </c>
    </row>
    <row r="39" spans="2:3" x14ac:dyDescent="0.35">
      <c r="B39" s="8" t="s">
        <v>27</v>
      </c>
      <c r="C39" s="12">
        <v>103500</v>
      </c>
    </row>
    <row r="40" spans="2:3" x14ac:dyDescent="0.35">
      <c r="B40" s="8" t="s">
        <v>25</v>
      </c>
      <c r="C40" s="12">
        <v>82500</v>
      </c>
    </row>
    <row r="41" spans="2:3" x14ac:dyDescent="0.35">
      <c r="B41" s="8" t="s">
        <v>25</v>
      </c>
      <c r="C41" s="12">
        <v>93000</v>
      </c>
    </row>
    <row r="42" spans="2:3" x14ac:dyDescent="0.35">
      <c r="B42" s="8" t="s">
        <v>25</v>
      </c>
      <c r="C42" s="12">
        <v>168000</v>
      </c>
    </row>
    <row r="43" spans="2:3" x14ac:dyDescent="0.35">
      <c r="B43" s="8" t="s">
        <v>25</v>
      </c>
      <c r="C43" s="12">
        <v>96000</v>
      </c>
    </row>
    <row r="44" spans="2:3" x14ac:dyDescent="0.35">
      <c r="B44" s="8" t="s">
        <v>27</v>
      </c>
      <c r="C44" s="12">
        <v>80000</v>
      </c>
    </row>
    <row r="45" spans="2:3" x14ac:dyDescent="0.35">
      <c r="B45" s="8" t="s">
        <v>27</v>
      </c>
      <c r="C45" s="12">
        <v>124500</v>
      </c>
    </row>
    <row r="46" spans="2:3" x14ac:dyDescent="0.35">
      <c r="B46" s="8" t="s">
        <v>27</v>
      </c>
      <c r="C46" s="12">
        <v>99000</v>
      </c>
    </row>
    <row r="47" spans="2:3" x14ac:dyDescent="0.35">
      <c r="B47" s="8" t="s">
        <v>25</v>
      </c>
      <c r="C47" s="12">
        <v>124000</v>
      </c>
    </row>
    <row r="48" spans="2:3" x14ac:dyDescent="0.35">
      <c r="B48" s="8" t="s">
        <v>25</v>
      </c>
      <c r="C48" s="12">
        <v>91500</v>
      </c>
    </row>
    <row r="49" spans="2:3" x14ac:dyDescent="0.35">
      <c r="B49" s="8" t="s">
        <v>25</v>
      </c>
      <c r="C49" s="12">
        <v>144500</v>
      </c>
    </row>
    <row r="50" spans="2:3" x14ac:dyDescent="0.35">
      <c r="B50" s="8" t="s">
        <v>25</v>
      </c>
      <c r="C50" s="12">
        <v>114500</v>
      </c>
    </row>
    <row r="51" spans="2:3" x14ac:dyDescent="0.35">
      <c r="B51" s="8" t="s">
        <v>25</v>
      </c>
      <c r="C51" s="12">
        <v>104500</v>
      </c>
    </row>
    <row r="52" spans="2:3" x14ac:dyDescent="0.35">
      <c r="B52" s="8" t="s">
        <v>27</v>
      </c>
      <c r="C52" s="12">
        <v>124000</v>
      </c>
    </row>
    <row r="53" spans="2:3" x14ac:dyDescent="0.35">
      <c r="B53" s="8" t="s">
        <v>27</v>
      </c>
      <c r="C53" s="12">
        <v>113000</v>
      </c>
    </row>
    <row r="54" spans="2:3" x14ac:dyDescent="0.35">
      <c r="B54" s="8" t="s">
        <v>25</v>
      </c>
      <c r="C54" s="12">
        <v>78000</v>
      </c>
    </row>
    <row r="55" spans="2:3" x14ac:dyDescent="0.35">
      <c r="B55" s="8" t="s">
        <v>25</v>
      </c>
      <c r="C55" s="12">
        <v>109000</v>
      </c>
    </row>
    <row r="56" spans="2:3" x14ac:dyDescent="0.35">
      <c r="B56" s="8" t="s">
        <v>25</v>
      </c>
      <c r="C56" s="12">
        <v>99500</v>
      </c>
    </row>
    <row r="57" spans="2:3" x14ac:dyDescent="0.35">
      <c r="B57" s="8" t="s">
        <v>25</v>
      </c>
      <c r="C57" s="12">
        <v>107000</v>
      </c>
    </row>
    <row r="58" spans="2:3" x14ac:dyDescent="0.35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disablePrompts="1"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pageSetup orientation="portrait" r:id="rId1"/>
  <headerFooter>
    <oddFooter>&amp;L3/20/2023&amp;CAXP Internal&amp;R47</oddFoot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R14" sqref="R14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</cols>
  <sheetData>
    <row r="1" spans="2:3" ht="25.5" customHeight="1" x14ac:dyDescent="0.45">
      <c r="B1" s="18" t="s">
        <v>225</v>
      </c>
    </row>
    <row r="2" spans="2:3" ht="15" customHeight="1" x14ac:dyDescent="0.35">
      <c r="B2" s="30" t="s">
        <v>226</v>
      </c>
    </row>
    <row r="3" spans="2:3" ht="18" customHeight="1" x14ac:dyDescent="0.35"/>
    <row r="5" spans="2:3" x14ac:dyDescent="0.35">
      <c r="B5" s="43" t="s">
        <v>76</v>
      </c>
      <c r="C5" s="43" t="s">
        <v>77</v>
      </c>
    </row>
    <row r="6" spans="2:3" x14ac:dyDescent="0.35">
      <c r="B6" s="51">
        <v>68.400000000000006</v>
      </c>
      <c r="C6" s="51">
        <v>90.2</v>
      </c>
    </row>
    <row r="7" spans="2:3" x14ac:dyDescent="0.35">
      <c r="B7" s="8">
        <v>62.1</v>
      </c>
      <c r="C7" s="8">
        <v>92.8</v>
      </c>
    </row>
    <row r="8" spans="2:3" x14ac:dyDescent="0.35">
      <c r="B8" s="8">
        <v>70.2</v>
      </c>
      <c r="C8" s="8">
        <v>68.7</v>
      </c>
    </row>
    <row r="9" spans="2:3" x14ac:dyDescent="0.35">
      <c r="B9" s="8">
        <v>75.099999999999994</v>
      </c>
      <c r="C9" s="8">
        <v>80.7</v>
      </c>
    </row>
    <row r="10" spans="2:3" x14ac:dyDescent="0.35">
      <c r="B10" s="8">
        <v>60.9</v>
      </c>
      <c r="C10" s="8">
        <v>74.900000000000006</v>
      </c>
    </row>
    <row r="11" spans="2:3" x14ac:dyDescent="0.35">
      <c r="B11" s="8">
        <v>74.5</v>
      </c>
      <c r="C11" s="8">
        <v>80.7</v>
      </c>
    </row>
    <row r="12" spans="2:3" x14ac:dyDescent="0.35">
      <c r="B12" s="8">
        <v>76.400000000000006</v>
      </c>
      <c r="C12" s="8">
        <v>83.3</v>
      </c>
    </row>
    <row r="13" spans="2:3" x14ac:dyDescent="0.35">
      <c r="B13" s="8">
        <v>82.6</v>
      </c>
      <c r="C13" s="8">
        <v>88.7</v>
      </c>
    </row>
    <row r="14" spans="2:3" x14ac:dyDescent="0.35">
      <c r="B14" s="8">
        <v>76.900000000000006</v>
      </c>
      <c r="C14" s="8">
        <v>75.400000000000006</v>
      </c>
    </row>
    <row r="15" spans="2:3" x14ac:dyDescent="0.35">
      <c r="B15" s="8">
        <v>83.3</v>
      </c>
      <c r="C15" s="8">
        <v>82.1</v>
      </c>
    </row>
    <row r="16" spans="2:3" x14ac:dyDescent="0.35">
      <c r="B16" s="8">
        <v>75.8</v>
      </c>
      <c r="C16" s="8">
        <v>87.5</v>
      </c>
    </row>
    <row r="17" spans="2:3" x14ac:dyDescent="0.35">
      <c r="B17" s="8">
        <v>76</v>
      </c>
      <c r="C17" s="8">
        <v>66.900000000000006</v>
      </c>
    </row>
    <row r="18" spans="2:3" x14ac:dyDescent="0.35">
      <c r="B18" s="8">
        <v>62.8</v>
      </c>
      <c r="C18" s="8">
        <v>71.3</v>
      </c>
    </row>
    <row r="19" spans="2:3" x14ac:dyDescent="0.35">
      <c r="B19" s="8">
        <v>82.8</v>
      </c>
      <c r="C19" s="8">
        <v>76.8</v>
      </c>
    </row>
    <row r="20" spans="2:3" x14ac:dyDescent="0.35">
      <c r="B20" s="8">
        <v>76</v>
      </c>
      <c r="C20" s="8">
        <v>72.3</v>
      </c>
    </row>
    <row r="21" spans="2:3" x14ac:dyDescent="0.35">
      <c r="B21" s="8">
        <v>76.900000000000006</v>
      </c>
      <c r="C21" s="8">
        <v>72.400000000000006</v>
      </c>
    </row>
    <row r="22" spans="2:3" x14ac:dyDescent="0.35">
      <c r="B22" s="8">
        <v>75.8</v>
      </c>
      <c r="C22" s="8">
        <v>72</v>
      </c>
    </row>
    <row r="23" spans="2:3" x14ac:dyDescent="0.35">
      <c r="B23" s="8">
        <v>78</v>
      </c>
      <c r="C23" s="8">
        <v>81</v>
      </c>
    </row>
    <row r="24" spans="2:3" x14ac:dyDescent="0.35">
      <c r="B24" s="8">
        <v>82.4</v>
      </c>
      <c r="C24" s="8">
        <v>96.1</v>
      </c>
    </row>
    <row r="25" spans="2:3" x14ac:dyDescent="0.35">
      <c r="B25" s="8">
        <v>76.2</v>
      </c>
      <c r="C25" s="8">
        <v>76.7</v>
      </c>
    </row>
    <row r="26" spans="2:3" x14ac:dyDescent="0.35">
      <c r="B26" s="8">
        <v>62.5</v>
      </c>
      <c r="C26" s="8">
        <v>80.3</v>
      </c>
    </row>
    <row r="27" spans="2:3" x14ac:dyDescent="0.35">
      <c r="B27" s="8">
        <v>78</v>
      </c>
      <c r="C27" s="8">
        <v>77.8</v>
      </c>
    </row>
    <row r="28" spans="2:3" x14ac:dyDescent="0.35">
      <c r="B28" s="8">
        <v>66.5</v>
      </c>
      <c r="C28" s="8">
        <v>62.6</v>
      </c>
    </row>
    <row r="29" spans="2:3" x14ac:dyDescent="0.35">
      <c r="B29" s="8">
        <v>63.5</v>
      </c>
      <c r="C29" s="8">
        <v>80.2</v>
      </c>
    </row>
    <row r="30" spans="2:3" x14ac:dyDescent="0.35">
      <c r="B30" s="8">
        <v>82.6</v>
      </c>
      <c r="C30" s="8">
        <v>79.099999999999994</v>
      </c>
    </row>
    <row r="31" spans="2:3" x14ac:dyDescent="0.35">
      <c r="B31" s="8">
        <v>79.2</v>
      </c>
      <c r="C31" s="8">
        <v>77.8</v>
      </c>
    </row>
    <row r="32" spans="2:3" x14ac:dyDescent="0.35">
      <c r="B32" s="8">
        <v>75</v>
      </c>
      <c r="C32" s="8">
        <v>75.099999999999994</v>
      </c>
    </row>
    <row r="33" spans="2:3" x14ac:dyDescent="0.35">
      <c r="B33" s="8">
        <v>74.400000000000006</v>
      </c>
      <c r="C33" s="8">
        <v>82.2</v>
      </c>
    </row>
    <row r="34" spans="2:3" x14ac:dyDescent="0.35">
      <c r="B34" s="8">
        <v>67.900000000000006</v>
      </c>
      <c r="C34" s="8">
        <v>70.5</v>
      </c>
    </row>
    <row r="35" spans="2:3" x14ac:dyDescent="0.35">
      <c r="B35" s="8">
        <v>76.8</v>
      </c>
      <c r="C35" s="8">
        <v>70.8</v>
      </c>
    </row>
    <row r="36" spans="2:3" x14ac:dyDescent="0.35">
      <c r="B36" s="8">
        <v>83</v>
      </c>
      <c r="C36" s="8">
        <v>87.5</v>
      </c>
    </row>
    <row r="37" spans="2:3" x14ac:dyDescent="0.35">
      <c r="B37" s="8">
        <v>88.9</v>
      </c>
      <c r="C37" s="8">
        <v>79.5</v>
      </c>
    </row>
    <row r="38" spans="2:3" x14ac:dyDescent="0.35">
      <c r="B38" s="8">
        <v>76.5</v>
      </c>
      <c r="C38" s="8">
        <v>80.8</v>
      </c>
    </row>
    <row r="39" spans="2:3" x14ac:dyDescent="0.35">
      <c r="B39" s="8">
        <v>79.900000000000006</v>
      </c>
      <c r="C39" s="8">
        <v>79.599999999999994</v>
      </c>
    </row>
    <row r="40" spans="2:3" x14ac:dyDescent="0.35">
      <c r="B40" s="8">
        <v>70.400000000000006</v>
      </c>
      <c r="C40" s="8">
        <v>88.9</v>
      </c>
    </row>
    <row r="41" spans="2:3" x14ac:dyDescent="0.35">
      <c r="B41" s="8">
        <v>83.4</v>
      </c>
      <c r="C41" s="8">
        <v>85.9</v>
      </c>
    </row>
    <row r="42" spans="2:3" x14ac:dyDescent="0.35">
      <c r="B42" s="8">
        <v>79.2</v>
      </c>
      <c r="C42" s="8">
        <v>82.3</v>
      </c>
    </row>
    <row r="43" spans="2:3" x14ac:dyDescent="0.35">
      <c r="B43" s="8">
        <v>61.2</v>
      </c>
      <c r="C43" s="8">
        <v>76.7</v>
      </c>
    </row>
    <row r="44" spans="2:3" x14ac:dyDescent="0.35">
      <c r="B44" s="8">
        <v>64</v>
      </c>
      <c r="C44" s="8">
        <v>79.900000000000006</v>
      </c>
    </row>
    <row r="45" spans="2:3" x14ac:dyDescent="0.35">
      <c r="B45" s="8">
        <v>68</v>
      </c>
      <c r="C45" s="8">
        <v>86.2</v>
      </c>
    </row>
    <row r="46" spans="2:3" x14ac:dyDescent="0.35">
      <c r="B46" s="8">
        <v>78.5</v>
      </c>
      <c r="C46" s="8">
        <v>79.2</v>
      </c>
    </row>
    <row r="47" spans="2:3" x14ac:dyDescent="0.35">
      <c r="B47" s="8">
        <v>83</v>
      </c>
      <c r="C47" s="8">
        <v>83.4</v>
      </c>
    </row>
    <row r="48" spans="2:3" x14ac:dyDescent="0.35">
      <c r="B48" s="8">
        <v>75.2</v>
      </c>
      <c r="C48" s="8">
        <v>85.2</v>
      </c>
    </row>
    <row r="49" spans="2:3" x14ac:dyDescent="0.35">
      <c r="B49" s="8">
        <v>68.099999999999994</v>
      </c>
      <c r="C49" s="8">
        <v>77.8</v>
      </c>
    </row>
    <row r="50" spans="2:3" x14ac:dyDescent="0.35">
      <c r="B50" s="8">
        <v>93.6</v>
      </c>
      <c r="C50" s="8">
        <v>80.2</v>
      </c>
    </row>
    <row r="51" spans="2:3" x14ac:dyDescent="0.35">
      <c r="B51" s="8">
        <v>75.599999999999994</v>
      </c>
      <c r="C51" s="8">
        <v>71</v>
      </c>
    </row>
    <row r="52" spans="2:3" x14ac:dyDescent="0.35">
      <c r="B52" s="8">
        <v>82.3</v>
      </c>
      <c r="C52" s="8">
        <v>87.2</v>
      </c>
    </row>
    <row r="53" spans="2:3" x14ac:dyDescent="0.35">
      <c r="B53" s="8">
        <v>71.400000000000006</v>
      </c>
      <c r="C53" s="8">
        <v>82.9</v>
      </c>
    </row>
    <row r="54" spans="2:3" x14ac:dyDescent="0.35">
      <c r="B54" s="8">
        <v>71.900000000000006</v>
      </c>
      <c r="C54" s="8">
        <v>73.5</v>
      </c>
    </row>
    <row r="55" spans="2:3" x14ac:dyDescent="0.35">
      <c r="B55" s="8">
        <v>79.099999999999994</v>
      </c>
      <c r="C55" s="8">
        <v>74.599999999999994</v>
      </c>
    </row>
    <row r="56" spans="2:3" x14ac:dyDescent="0.35">
      <c r="B56" s="8">
        <v>88.7</v>
      </c>
      <c r="C56" s="8">
        <v>75.099999999999994</v>
      </c>
    </row>
    <row r="57" spans="2:3" x14ac:dyDescent="0.35">
      <c r="B57" s="8">
        <v>69.400000000000006</v>
      </c>
      <c r="C57" s="8">
        <v>85.1</v>
      </c>
    </row>
    <row r="58" spans="2:3" x14ac:dyDescent="0.35">
      <c r="B58" s="8">
        <v>80.3</v>
      </c>
      <c r="C58" s="8">
        <v>74.900000000000006</v>
      </c>
    </row>
    <row r="59" spans="2:3" x14ac:dyDescent="0.35">
      <c r="B59" s="8">
        <v>83</v>
      </c>
      <c r="C59" s="8">
        <v>84.6</v>
      </c>
    </row>
    <row r="60" spans="2:3" x14ac:dyDescent="0.35">
      <c r="B60" s="8">
        <v>74.099999999999994</v>
      </c>
      <c r="C60" s="8">
        <v>81.7</v>
      </c>
    </row>
    <row r="61" spans="2:3" x14ac:dyDescent="0.35">
      <c r="B61" s="8">
        <v>79.400000000000006</v>
      </c>
      <c r="C61" s="8">
        <v>81.400000000000006</v>
      </c>
    </row>
    <row r="62" spans="2:3" x14ac:dyDescent="0.35">
      <c r="B62" s="8">
        <v>88.1</v>
      </c>
      <c r="C62" s="8">
        <v>83.8</v>
      </c>
    </row>
    <row r="63" spans="2:3" x14ac:dyDescent="0.35">
      <c r="B63" s="8">
        <v>74.599999999999994</v>
      </c>
      <c r="C63" s="8">
        <v>88.5</v>
      </c>
    </row>
    <row r="64" spans="2:3" x14ac:dyDescent="0.35">
      <c r="B64" s="8">
        <v>87.1</v>
      </c>
      <c r="C64" s="8">
        <v>84.9</v>
      </c>
    </row>
    <row r="65" spans="2:3" x14ac:dyDescent="0.35">
      <c r="B65" s="8">
        <v>79.7</v>
      </c>
      <c r="C65" s="8">
        <v>84.3</v>
      </c>
    </row>
    <row r="66" spans="2:3" x14ac:dyDescent="0.35">
      <c r="B66" s="8">
        <v>82.1</v>
      </c>
      <c r="C66" s="8">
        <v>78.2</v>
      </c>
    </row>
    <row r="67" spans="2:3" x14ac:dyDescent="0.35">
      <c r="B67" s="8">
        <v>70.2</v>
      </c>
      <c r="C67" s="8">
        <v>80</v>
      </c>
    </row>
    <row r="68" spans="2:3" x14ac:dyDescent="0.35">
      <c r="B68" s="8">
        <v>81.7</v>
      </c>
      <c r="C68" s="8">
        <v>74.8</v>
      </c>
    </row>
    <row r="69" spans="2:3" x14ac:dyDescent="0.35">
      <c r="B69" s="8">
        <v>76.099999999999994</v>
      </c>
      <c r="C69" s="8">
        <v>78.5</v>
      </c>
    </row>
    <row r="70" spans="2:3" x14ac:dyDescent="0.35">
      <c r="B70" s="8">
        <v>65.400000000000006</v>
      </c>
      <c r="C70" s="8">
        <v>71.8</v>
      </c>
    </row>
    <row r="71" spans="2:3" x14ac:dyDescent="0.35">
      <c r="B71" s="8">
        <v>70.099999999999994</v>
      </c>
      <c r="C71" s="8">
        <v>69.900000000000006</v>
      </c>
    </row>
    <row r="72" spans="2:3" x14ac:dyDescent="0.35">
      <c r="B72" s="8">
        <v>75.3</v>
      </c>
      <c r="C72" s="8">
        <v>82.7</v>
      </c>
    </row>
    <row r="73" spans="2:3" x14ac:dyDescent="0.35">
      <c r="B73" s="8">
        <v>68.7</v>
      </c>
      <c r="C73" s="8">
        <v>74</v>
      </c>
    </row>
    <row r="74" spans="2:3" x14ac:dyDescent="0.35">
      <c r="B74" s="8">
        <v>75.7</v>
      </c>
      <c r="C74" s="8">
        <v>84</v>
      </c>
    </row>
    <row r="75" spans="2:3" x14ac:dyDescent="0.35">
      <c r="B75" s="8">
        <v>68.7</v>
      </c>
      <c r="C75" s="8">
        <v>84.7</v>
      </c>
    </row>
    <row r="76" spans="2:3" x14ac:dyDescent="0.35">
      <c r="B76" s="8">
        <v>70.400000000000006</v>
      </c>
      <c r="C76" s="8">
        <v>78.2</v>
      </c>
    </row>
    <row r="77" spans="2:3" x14ac:dyDescent="0.35">
      <c r="B77" s="8">
        <v>68.3</v>
      </c>
      <c r="C77" s="8">
        <v>85</v>
      </c>
    </row>
    <row r="78" spans="2:3" x14ac:dyDescent="0.35">
      <c r="B78" s="8">
        <v>71.7</v>
      </c>
      <c r="C78" s="8">
        <v>80.099999999999994</v>
      </c>
    </row>
    <row r="79" spans="2:3" x14ac:dyDescent="0.35">
      <c r="B79" s="8">
        <v>70.900000000000006</v>
      </c>
      <c r="C79" s="8">
        <v>85.3</v>
      </c>
    </row>
    <row r="80" spans="2:3" x14ac:dyDescent="0.35">
      <c r="B80" s="8">
        <v>66.3</v>
      </c>
      <c r="C80" s="8">
        <v>79.7</v>
      </c>
    </row>
    <row r="81" spans="2:3" x14ac:dyDescent="0.35">
      <c r="B81" s="8">
        <v>65.3</v>
      </c>
      <c r="C81" s="8">
        <v>79.599999999999994</v>
      </c>
    </row>
    <row r="82" spans="2:3" x14ac:dyDescent="0.35">
      <c r="B82" s="8">
        <v>75.7</v>
      </c>
      <c r="C82" s="8">
        <v>78.900000000000006</v>
      </c>
    </row>
    <row r="83" spans="2:3" x14ac:dyDescent="0.35">
      <c r="B83" s="8">
        <v>66</v>
      </c>
      <c r="C83" s="8">
        <v>78.5</v>
      </c>
    </row>
    <row r="84" spans="2:3" x14ac:dyDescent="0.35">
      <c r="B84" s="8">
        <v>78.900000000000006</v>
      </c>
      <c r="C84" s="8">
        <v>72</v>
      </c>
    </row>
    <row r="85" spans="2:3" x14ac:dyDescent="0.35">
      <c r="B85" s="8">
        <v>74</v>
      </c>
      <c r="C85" s="8">
        <v>74.2</v>
      </c>
    </row>
    <row r="86" spans="2:3" x14ac:dyDescent="0.35">
      <c r="B86" s="8">
        <v>74.599999999999994</v>
      </c>
      <c r="C86" s="8">
        <v>71.7</v>
      </c>
    </row>
    <row r="87" spans="2:3" x14ac:dyDescent="0.35">
      <c r="B87" s="8">
        <v>79.3</v>
      </c>
      <c r="C87" s="8">
        <v>80.7</v>
      </c>
    </row>
    <row r="88" spans="2:3" x14ac:dyDescent="0.35">
      <c r="B88" s="8">
        <v>70.099999999999994</v>
      </c>
      <c r="C88" s="8">
        <v>84.1</v>
      </c>
    </row>
    <row r="89" spans="2:3" x14ac:dyDescent="0.35">
      <c r="B89" s="8">
        <v>88.8</v>
      </c>
      <c r="C89" s="8">
        <v>87.4</v>
      </c>
    </row>
    <row r="90" spans="2:3" x14ac:dyDescent="0.35">
      <c r="B90" s="8">
        <v>66</v>
      </c>
      <c r="C90" s="8">
        <v>77.400000000000006</v>
      </c>
    </row>
    <row r="91" spans="2:3" x14ac:dyDescent="0.35">
      <c r="B91" s="8">
        <v>82.9</v>
      </c>
      <c r="C91" s="8">
        <v>84.7</v>
      </c>
    </row>
    <row r="92" spans="2:3" x14ac:dyDescent="0.35">
      <c r="B92" s="8">
        <v>100</v>
      </c>
      <c r="C92" s="8">
        <v>78.8</v>
      </c>
    </row>
    <row r="93" spans="2:3" x14ac:dyDescent="0.35">
      <c r="B93" s="8">
        <v>75.599999999999994</v>
      </c>
      <c r="C93" s="8">
        <v>92.7</v>
      </c>
    </row>
    <row r="94" spans="2:3" x14ac:dyDescent="0.35">
      <c r="B94" s="8">
        <v>67.5</v>
      </c>
      <c r="C94" s="8">
        <v>88.8</v>
      </c>
    </row>
    <row r="95" spans="2:3" x14ac:dyDescent="0.35">
      <c r="B95" s="8">
        <v>68.7</v>
      </c>
      <c r="C95" s="8">
        <v>86.6</v>
      </c>
    </row>
    <row r="96" spans="2:3" x14ac:dyDescent="0.35">
      <c r="B96" s="8">
        <v>76</v>
      </c>
      <c r="C96" s="8">
        <v>77.900000000000006</v>
      </c>
    </row>
    <row r="97" spans="2:3" x14ac:dyDescent="0.35">
      <c r="B97" s="8">
        <v>67.7</v>
      </c>
      <c r="C97" s="8">
        <v>86.1</v>
      </c>
    </row>
    <row r="98" spans="2:3" x14ac:dyDescent="0.35">
      <c r="B98" s="8">
        <v>75.3</v>
      </c>
      <c r="C98" s="8">
        <v>89.9</v>
      </c>
    </row>
    <row r="99" spans="2:3" x14ac:dyDescent="0.35">
      <c r="B99" s="8">
        <v>68.099999999999994</v>
      </c>
      <c r="C99" s="8">
        <v>83.1</v>
      </c>
    </row>
    <row r="100" spans="2:3" x14ac:dyDescent="0.35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  <headerFooter>
    <oddFooter>&amp;L3/20/2023&amp;CAXP Internal&amp;R48</oddFoot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G100"/>
  <sheetViews>
    <sheetView showGridLines="0" workbookViewId="0">
      <selection activeCell="G8" sqref="G8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  <col min="5" max="5" width="14.26953125" customWidth="1"/>
    <col min="6" max="6" width="9.1796875" customWidth="1"/>
  </cols>
  <sheetData>
    <row r="1" spans="2:7" ht="25.5" customHeight="1" x14ac:dyDescent="0.45">
      <c r="B1" s="18" t="s">
        <v>225</v>
      </c>
    </row>
    <row r="2" spans="2:7" ht="15" customHeight="1" x14ac:dyDescent="0.35">
      <c r="B2" s="30" t="s">
        <v>226</v>
      </c>
    </row>
    <row r="3" spans="2:7" ht="18" customHeight="1" x14ac:dyDescent="0.35"/>
    <row r="4" spans="2:7" x14ac:dyDescent="0.35">
      <c r="E4" s="3" t="s">
        <v>54</v>
      </c>
    </row>
    <row r="5" spans="2:7" x14ac:dyDescent="0.35">
      <c r="B5" s="43" t="s">
        <v>76</v>
      </c>
      <c r="C5" s="43" t="s">
        <v>77</v>
      </c>
      <c r="E5" s="121" t="s">
        <v>229</v>
      </c>
      <c r="F5" s="121"/>
    </row>
    <row r="6" spans="2:7" x14ac:dyDescent="0.35">
      <c r="B6" s="51">
        <v>68.400000000000006</v>
      </c>
      <c r="C6" s="51">
        <v>90.2</v>
      </c>
      <c r="E6" s="20" t="s">
        <v>230</v>
      </c>
      <c r="F6" s="87">
        <f>CORREL(B6:B100,C6:C100)</f>
        <v>0.10605610621279929</v>
      </c>
      <c r="G6" t="s">
        <v>384</v>
      </c>
    </row>
    <row r="7" spans="2:7" x14ac:dyDescent="0.35">
      <c r="B7" s="8">
        <v>62.1</v>
      </c>
      <c r="C7" s="8">
        <v>92.8</v>
      </c>
      <c r="G7" t="s">
        <v>385</v>
      </c>
    </row>
    <row r="8" spans="2:7" x14ac:dyDescent="0.35">
      <c r="B8" s="8">
        <v>70.2</v>
      </c>
      <c r="C8" s="8">
        <v>68.7</v>
      </c>
    </row>
    <row r="9" spans="2:7" x14ac:dyDescent="0.35">
      <c r="B9" s="8">
        <v>75.099999999999994</v>
      </c>
      <c r="C9" s="8">
        <v>80.7</v>
      </c>
    </row>
    <row r="10" spans="2:7" x14ac:dyDescent="0.35">
      <c r="B10" s="8">
        <v>60.9</v>
      </c>
      <c r="C10" s="8">
        <v>74.900000000000006</v>
      </c>
    </row>
    <row r="11" spans="2:7" x14ac:dyDescent="0.35">
      <c r="B11" s="8">
        <v>74.5</v>
      </c>
      <c r="C11" s="8">
        <v>80.7</v>
      </c>
    </row>
    <row r="12" spans="2:7" x14ac:dyDescent="0.35">
      <c r="B12" s="8">
        <v>76.400000000000006</v>
      </c>
      <c r="C12" s="8">
        <v>83.3</v>
      </c>
    </row>
    <row r="13" spans="2:7" x14ac:dyDescent="0.35">
      <c r="B13" s="8">
        <v>82.6</v>
      </c>
      <c r="C13" s="8">
        <v>88.7</v>
      </c>
    </row>
    <row r="14" spans="2:7" x14ac:dyDescent="0.35">
      <c r="B14" s="8">
        <v>76.900000000000006</v>
      </c>
      <c r="C14" s="8">
        <v>75.400000000000006</v>
      </c>
    </row>
    <row r="15" spans="2:7" x14ac:dyDescent="0.35">
      <c r="B15" s="8">
        <v>83.3</v>
      </c>
      <c r="C15" s="8">
        <v>82.1</v>
      </c>
    </row>
    <row r="16" spans="2:7" x14ac:dyDescent="0.35">
      <c r="B16" s="8">
        <v>75.8</v>
      </c>
      <c r="C16" s="8">
        <v>87.5</v>
      </c>
    </row>
    <row r="17" spans="2:3" x14ac:dyDescent="0.35">
      <c r="B17" s="8">
        <v>76</v>
      </c>
      <c r="C17" s="8">
        <v>66.900000000000006</v>
      </c>
    </row>
    <row r="18" spans="2:3" x14ac:dyDescent="0.35">
      <c r="B18" s="8">
        <v>62.8</v>
      </c>
      <c r="C18" s="8">
        <v>71.3</v>
      </c>
    </row>
    <row r="19" spans="2:3" x14ac:dyDescent="0.35">
      <c r="B19" s="8">
        <v>82.8</v>
      </c>
      <c r="C19" s="8">
        <v>76.8</v>
      </c>
    </row>
    <row r="20" spans="2:3" x14ac:dyDescent="0.35">
      <c r="B20" s="8">
        <v>76</v>
      </c>
      <c r="C20" s="8">
        <v>72.3</v>
      </c>
    </row>
    <row r="21" spans="2:3" x14ac:dyDescent="0.35">
      <c r="B21" s="8">
        <v>76.900000000000006</v>
      </c>
      <c r="C21" s="8">
        <v>72.400000000000006</v>
      </c>
    </row>
    <row r="22" spans="2:3" x14ac:dyDescent="0.35">
      <c r="B22" s="8">
        <v>75.8</v>
      </c>
      <c r="C22" s="8">
        <v>72</v>
      </c>
    </row>
    <row r="23" spans="2:3" x14ac:dyDescent="0.35">
      <c r="B23" s="8">
        <v>78</v>
      </c>
      <c r="C23" s="8">
        <v>81</v>
      </c>
    </row>
    <row r="24" spans="2:3" x14ac:dyDescent="0.35">
      <c r="B24" s="8">
        <v>82.4</v>
      </c>
      <c r="C24" s="8">
        <v>96.1</v>
      </c>
    </row>
    <row r="25" spans="2:3" x14ac:dyDescent="0.35">
      <c r="B25" s="8">
        <v>76.2</v>
      </c>
      <c r="C25" s="8">
        <v>76.7</v>
      </c>
    </row>
    <row r="26" spans="2:3" x14ac:dyDescent="0.35">
      <c r="B26" s="8">
        <v>62.5</v>
      </c>
      <c r="C26" s="8">
        <v>80.3</v>
      </c>
    </row>
    <row r="27" spans="2:3" x14ac:dyDescent="0.35">
      <c r="B27" s="8">
        <v>78</v>
      </c>
      <c r="C27" s="8">
        <v>77.8</v>
      </c>
    </row>
    <row r="28" spans="2:3" x14ac:dyDescent="0.35">
      <c r="B28" s="8">
        <v>66.5</v>
      </c>
      <c r="C28" s="8">
        <v>62.6</v>
      </c>
    </row>
    <row r="29" spans="2:3" x14ac:dyDescent="0.35">
      <c r="B29" s="8">
        <v>63.5</v>
      </c>
      <c r="C29" s="8">
        <v>80.2</v>
      </c>
    </row>
    <row r="30" spans="2:3" x14ac:dyDescent="0.35">
      <c r="B30" s="8">
        <v>82.6</v>
      </c>
      <c r="C30" s="8">
        <v>79.099999999999994</v>
      </c>
    </row>
    <row r="31" spans="2:3" x14ac:dyDescent="0.35">
      <c r="B31" s="8">
        <v>79.2</v>
      </c>
      <c r="C31" s="8">
        <v>77.8</v>
      </c>
    </row>
    <row r="32" spans="2:3" x14ac:dyDescent="0.35">
      <c r="B32" s="8">
        <v>75</v>
      </c>
      <c r="C32" s="8">
        <v>75.099999999999994</v>
      </c>
    </row>
    <row r="33" spans="2:3" x14ac:dyDescent="0.35">
      <c r="B33" s="8">
        <v>74.400000000000006</v>
      </c>
      <c r="C33" s="8">
        <v>82.2</v>
      </c>
    </row>
    <row r="34" spans="2:3" x14ac:dyDescent="0.35">
      <c r="B34" s="8">
        <v>67.900000000000006</v>
      </c>
      <c r="C34" s="8">
        <v>70.5</v>
      </c>
    </row>
    <row r="35" spans="2:3" x14ac:dyDescent="0.35">
      <c r="B35" s="8">
        <v>76.8</v>
      </c>
      <c r="C35" s="8">
        <v>70.8</v>
      </c>
    </row>
    <row r="36" spans="2:3" x14ac:dyDescent="0.35">
      <c r="B36" s="8">
        <v>83</v>
      </c>
      <c r="C36" s="8">
        <v>87.5</v>
      </c>
    </row>
    <row r="37" spans="2:3" x14ac:dyDescent="0.35">
      <c r="B37" s="8">
        <v>88.9</v>
      </c>
      <c r="C37" s="8">
        <v>79.5</v>
      </c>
    </row>
    <row r="38" spans="2:3" x14ac:dyDescent="0.35">
      <c r="B38" s="8">
        <v>76.5</v>
      </c>
      <c r="C38" s="8">
        <v>80.8</v>
      </c>
    </row>
    <row r="39" spans="2:3" x14ac:dyDescent="0.35">
      <c r="B39" s="8">
        <v>79.900000000000006</v>
      </c>
      <c r="C39" s="8">
        <v>79.599999999999994</v>
      </c>
    </row>
    <row r="40" spans="2:3" x14ac:dyDescent="0.35">
      <c r="B40" s="8">
        <v>70.400000000000006</v>
      </c>
      <c r="C40" s="8">
        <v>88.9</v>
      </c>
    </row>
    <row r="41" spans="2:3" x14ac:dyDescent="0.35">
      <c r="B41" s="8">
        <v>83.4</v>
      </c>
      <c r="C41" s="8">
        <v>85.9</v>
      </c>
    </row>
    <row r="42" spans="2:3" x14ac:dyDescent="0.35">
      <c r="B42" s="8">
        <v>79.2</v>
      </c>
      <c r="C42" s="8">
        <v>82.3</v>
      </c>
    </row>
    <row r="43" spans="2:3" x14ac:dyDescent="0.35">
      <c r="B43" s="8">
        <v>61.2</v>
      </c>
      <c r="C43" s="8">
        <v>76.7</v>
      </c>
    </row>
    <row r="44" spans="2:3" x14ac:dyDescent="0.35">
      <c r="B44" s="8">
        <v>64</v>
      </c>
      <c r="C44" s="8">
        <v>79.900000000000006</v>
      </c>
    </row>
    <row r="45" spans="2:3" x14ac:dyDescent="0.35">
      <c r="B45" s="8">
        <v>68</v>
      </c>
      <c r="C45" s="8">
        <v>86.2</v>
      </c>
    </row>
    <row r="46" spans="2:3" x14ac:dyDescent="0.35">
      <c r="B46" s="8">
        <v>78.5</v>
      </c>
      <c r="C46" s="8">
        <v>79.2</v>
      </c>
    </row>
    <row r="47" spans="2:3" x14ac:dyDescent="0.35">
      <c r="B47" s="8">
        <v>83</v>
      </c>
      <c r="C47" s="8">
        <v>83.4</v>
      </c>
    </row>
    <row r="48" spans="2:3" x14ac:dyDescent="0.35">
      <c r="B48" s="8">
        <v>75.2</v>
      </c>
      <c r="C48" s="8">
        <v>85.2</v>
      </c>
    </row>
    <row r="49" spans="2:3" x14ac:dyDescent="0.35">
      <c r="B49" s="8">
        <v>68.099999999999994</v>
      </c>
      <c r="C49" s="8">
        <v>77.8</v>
      </c>
    </row>
    <row r="50" spans="2:3" x14ac:dyDescent="0.35">
      <c r="B50" s="8">
        <v>93.6</v>
      </c>
      <c r="C50" s="8">
        <v>80.2</v>
      </c>
    </row>
    <row r="51" spans="2:3" x14ac:dyDescent="0.35">
      <c r="B51" s="8">
        <v>75.599999999999994</v>
      </c>
      <c r="C51" s="8">
        <v>71</v>
      </c>
    </row>
    <row r="52" spans="2:3" x14ac:dyDescent="0.35">
      <c r="B52" s="8">
        <v>82.3</v>
      </c>
      <c r="C52" s="8">
        <v>87.2</v>
      </c>
    </row>
    <row r="53" spans="2:3" x14ac:dyDescent="0.35">
      <c r="B53" s="8">
        <v>71.400000000000006</v>
      </c>
      <c r="C53" s="8">
        <v>82.9</v>
      </c>
    </row>
    <row r="54" spans="2:3" x14ac:dyDescent="0.35">
      <c r="B54" s="8">
        <v>71.900000000000006</v>
      </c>
      <c r="C54" s="8">
        <v>73.5</v>
      </c>
    </row>
    <row r="55" spans="2:3" x14ac:dyDescent="0.35">
      <c r="B55" s="8">
        <v>79.099999999999994</v>
      </c>
      <c r="C55" s="8">
        <v>74.599999999999994</v>
      </c>
    </row>
    <row r="56" spans="2:3" x14ac:dyDescent="0.35">
      <c r="B56" s="8">
        <v>88.7</v>
      </c>
      <c r="C56" s="8">
        <v>75.099999999999994</v>
      </c>
    </row>
    <row r="57" spans="2:3" x14ac:dyDescent="0.35">
      <c r="B57" s="8">
        <v>69.400000000000006</v>
      </c>
      <c r="C57" s="8">
        <v>85.1</v>
      </c>
    </row>
    <row r="58" spans="2:3" x14ac:dyDescent="0.35">
      <c r="B58" s="8">
        <v>80.3</v>
      </c>
      <c r="C58" s="8">
        <v>74.900000000000006</v>
      </c>
    </row>
    <row r="59" spans="2:3" x14ac:dyDescent="0.35">
      <c r="B59" s="8">
        <v>83</v>
      </c>
      <c r="C59" s="8">
        <v>84.6</v>
      </c>
    </row>
    <row r="60" spans="2:3" x14ac:dyDescent="0.35">
      <c r="B60" s="8">
        <v>74.099999999999994</v>
      </c>
      <c r="C60" s="8">
        <v>81.7</v>
      </c>
    </row>
    <row r="61" spans="2:3" x14ac:dyDescent="0.35">
      <c r="B61" s="8">
        <v>79.400000000000006</v>
      </c>
      <c r="C61" s="8">
        <v>81.400000000000006</v>
      </c>
    </row>
    <row r="62" spans="2:3" x14ac:dyDescent="0.35">
      <c r="B62" s="8">
        <v>88.1</v>
      </c>
      <c r="C62" s="8">
        <v>83.8</v>
      </c>
    </row>
    <row r="63" spans="2:3" x14ac:dyDescent="0.35">
      <c r="B63" s="8">
        <v>74.599999999999994</v>
      </c>
      <c r="C63" s="8">
        <v>88.5</v>
      </c>
    </row>
    <row r="64" spans="2:3" x14ac:dyDescent="0.35">
      <c r="B64" s="8">
        <v>87.1</v>
      </c>
      <c r="C64" s="8">
        <v>84.9</v>
      </c>
    </row>
    <row r="65" spans="2:3" x14ac:dyDescent="0.35">
      <c r="B65" s="8">
        <v>79.7</v>
      </c>
      <c r="C65" s="8">
        <v>84.3</v>
      </c>
    </row>
    <row r="66" spans="2:3" x14ac:dyDescent="0.35">
      <c r="B66" s="8">
        <v>82.1</v>
      </c>
      <c r="C66" s="8">
        <v>78.2</v>
      </c>
    </row>
    <row r="67" spans="2:3" x14ac:dyDescent="0.35">
      <c r="B67" s="8">
        <v>70.2</v>
      </c>
      <c r="C67" s="8">
        <v>80</v>
      </c>
    </row>
    <row r="68" spans="2:3" x14ac:dyDescent="0.35">
      <c r="B68" s="8">
        <v>81.7</v>
      </c>
      <c r="C68" s="8">
        <v>74.8</v>
      </c>
    </row>
    <row r="69" spans="2:3" x14ac:dyDescent="0.35">
      <c r="B69" s="8">
        <v>76.099999999999994</v>
      </c>
      <c r="C69" s="8">
        <v>78.5</v>
      </c>
    </row>
    <row r="70" spans="2:3" x14ac:dyDescent="0.35">
      <c r="B70" s="8">
        <v>65.400000000000006</v>
      </c>
      <c r="C70" s="8">
        <v>71.8</v>
      </c>
    </row>
    <row r="71" spans="2:3" x14ac:dyDescent="0.35">
      <c r="B71" s="8">
        <v>70.099999999999994</v>
      </c>
      <c r="C71" s="8">
        <v>69.900000000000006</v>
      </c>
    </row>
    <row r="72" spans="2:3" x14ac:dyDescent="0.35">
      <c r="B72" s="8">
        <v>75.3</v>
      </c>
      <c r="C72" s="8">
        <v>82.7</v>
      </c>
    </row>
    <row r="73" spans="2:3" x14ac:dyDescent="0.35">
      <c r="B73" s="8">
        <v>68.7</v>
      </c>
      <c r="C73" s="8">
        <v>74</v>
      </c>
    </row>
    <row r="74" spans="2:3" x14ac:dyDescent="0.35">
      <c r="B74" s="8">
        <v>75.7</v>
      </c>
      <c r="C74" s="8">
        <v>84</v>
      </c>
    </row>
    <row r="75" spans="2:3" x14ac:dyDescent="0.35">
      <c r="B75" s="8">
        <v>68.7</v>
      </c>
      <c r="C75" s="8">
        <v>84.7</v>
      </c>
    </row>
    <row r="76" spans="2:3" x14ac:dyDescent="0.35">
      <c r="B76" s="8">
        <v>70.400000000000006</v>
      </c>
      <c r="C76" s="8">
        <v>78.2</v>
      </c>
    </row>
    <row r="77" spans="2:3" x14ac:dyDescent="0.35">
      <c r="B77" s="8">
        <v>68.3</v>
      </c>
      <c r="C77" s="8">
        <v>85</v>
      </c>
    </row>
    <row r="78" spans="2:3" x14ac:dyDescent="0.35">
      <c r="B78" s="8">
        <v>71.7</v>
      </c>
      <c r="C78" s="8">
        <v>80.099999999999994</v>
      </c>
    </row>
    <row r="79" spans="2:3" x14ac:dyDescent="0.35">
      <c r="B79" s="8">
        <v>70.900000000000006</v>
      </c>
      <c r="C79" s="8">
        <v>85.3</v>
      </c>
    </row>
    <row r="80" spans="2:3" x14ac:dyDescent="0.35">
      <c r="B80" s="8">
        <v>66.3</v>
      </c>
      <c r="C80" s="8">
        <v>79.7</v>
      </c>
    </row>
    <row r="81" spans="2:3" x14ac:dyDescent="0.35">
      <c r="B81" s="8">
        <v>65.3</v>
      </c>
      <c r="C81" s="8">
        <v>79.599999999999994</v>
      </c>
    </row>
    <row r="82" spans="2:3" x14ac:dyDescent="0.35">
      <c r="B82" s="8">
        <v>75.7</v>
      </c>
      <c r="C82" s="8">
        <v>78.900000000000006</v>
      </c>
    </row>
    <row r="83" spans="2:3" x14ac:dyDescent="0.35">
      <c r="B83" s="8">
        <v>66</v>
      </c>
      <c r="C83" s="8">
        <v>78.5</v>
      </c>
    </row>
    <row r="84" spans="2:3" x14ac:dyDescent="0.35">
      <c r="B84" s="8">
        <v>78.900000000000006</v>
      </c>
      <c r="C84" s="8">
        <v>72</v>
      </c>
    </row>
    <row r="85" spans="2:3" x14ac:dyDescent="0.35">
      <c r="B85" s="8">
        <v>74</v>
      </c>
      <c r="C85" s="8">
        <v>74.2</v>
      </c>
    </row>
    <row r="86" spans="2:3" x14ac:dyDescent="0.35">
      <c r="B86" s="8">
        <v>74.599999999999994</v>
      </c>
      <c r="C86" s="8">
        <v>71.7</v>
      </c>
    </row>
    <row r="87" spans="2:3" x14ac:dyDescent="0.35">
      <c r="B87" s="8">
        <v>79.3</v>
      </c>
      <c r="C87" s="8">
        <v>80.7</v>
      </c>
    </row>
    <row r="88" spans="2:3" x14ac:dyDescent="0.35">
      <c r="B88" s="8">
        <v>70.099999999999994</v>
      </c>
      <c r="C88" s="8">
        <v>84.1</v>
      </c>
    </row>
    <row r="89" spans="2:3" x14ac:dyDescent="0.35">
      <c r="B89" s="8">
        <v>88.8</v>
      </c>
      <c r="C89" s="8">
        <v>87.4</v>
      </c>
    </row>
    <row r="90" spans="2:3" x14ac:dyDescent="0.35">
      <c r="B90" s="8">
        <v>66</v>
      </c>
      <c r="C90" s="8">
        <v>77.400000000000006</v>
      </c>
    </row>
    <row r="91" spans="2:3" x14ac:dyDescent="0.35">
      <c r="B91" s="8">
        <v>82.9</v>
      </c>
      <c r="C91" s="8">
        <v>84.7</v>
      </c>
    </row>
    <row r="92" spans="2:3" x14ac:dyDescent="0.35">
      <c r="B92" s="8">
        <v>100</v>
      </c>
      <c r="C92" s="8">
        <v>78.8</v>
      </c>
    </row>
    <row r="93" spans="2:3" x14ac:dyDescent="0.35">
      <c r="B93" s="8">
        <v>75.599999999999994</v>
      </c>
      <c r="C93" s="8">
        <v>92.7</v>
      </c>
    </row>
    <row r="94" spans="2:3" x14ac:dyDescent="0.35">
      <c r="B94" s="8">
        <v>67.5</v>
      </c>
      <c r="C94" s="8">
        <v>88.8</v>
      </c>
    </row>
    <row r="95" spans="2:3" x14ac:dyDescent="0.35">
      <c r="B95" s="8">
        <v>68.7</v>
      </c>
      <c r="C95" s="8">
        <v>86.6</v>
      </c>
    </row>
    <row r="96" spans="2:3" x14ac:dyDescent="0.35">
      <c r="B96" s="8">
        <v>76</v>
      </c>
      <c r="C96" s="8">
        <v>77.900000000000006</v>
      </c>
    </row>
    <row r="97" spans="2:3" x14ac:dyDescent="0.35">
      <c r="B97" s="8">
        <v>67.7</v>
      </c>
      <c r="C97" s="8">
        <v>86.1</v>
      </c>
    </row>
    <row r="98" spans="2:3" x14ac:dyDescent="0.35">
      <c r="B98" s="8">
        <v>75.3</v>
      </c>
      <c r="C98" s="8">
        <v>89.9</v>
      </c>
    </row>
    <row r="99" spans="2:3" x14ac:dyDescent="0.35">
      <c r="B99" s="8">
        <v>68.099999999999994</v>
      </c>
      <c r="C99" s="8">
        <v>83.1</v>
      </c>
    </row>
    <row r="100" spans="2:3" x14ac:dyDescent="0.35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  <headerFooter>
    <oddFooter>&amp;L3/20/2023&amp;CAXP Internal&amp;R49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topLeftCell="A3" workbookViewId="0">
      <selection activeCell="G16" sqref="G16"/>
    </sheetView>
  </sheetViews>
  <sheetFormatPr defaultRowHeight="14.5" x14ac:dyDescent="0.35"/>
  <cols>
    <col min="1" max="1" width="2.81640625" customWidth="1"/>
    <col min="2" max="2" width="17.1796875" customWidth="1"/>
    <col min="3" max="3" width="11.453125" customWidth="1"/>
    <col min="4" max="4" width="20.7265625" bestFit="1" customWidth="1"/>
    <col min="5" max="5" width="19.26953125" bestFit="1" customWidth="1"/>
    <col min="6" max="6" width="12.7265625" bestFit="1" customWidth="1"/>
    <col min="8" max="8" width="14.26953125" customWidth="1"/>
    <col min="9" max="9" width="17" bestFit="1" customWidth="1"/>
    <col min="10" max="10" width="11.54296875" bestFit="1" customWidth="1"/>
    <col min="11" max="11" width="21.1796875" bestFit="1" customWidth="1"/>
    <col min="12" max="12" width="19.81640625" bestFit="1" customWidth="1"/>
  </cols>
  <sheetData>
    <row r="1" spans="2:13" ht="25.5" customHeight="1" x14ac:dyDescent="0.45">
      <c r="B1" s="18" t="s">
        <v>234</v>
      </c>
    </row>
    <row r="2" spans="2:13" ht="15" customHeight="1" x14ac:dyDescent="0.35">
      <c r="B2" s="30" t="s">
        <v>233</v>
      </c>
    </row>
    <row r="3" spans="2:13" ht="18" customHeight="1" x14ac:dyDescent="0.35"/>
    <row r="4" spans="2:13" x14ac:dyDescent="0.35">
      <c r="H4" s="3" t="s">
        <v>54</v>
      </c>
    </row>
    <row r="5" spans="2:13" x14ac:dyDescent="0.35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21" t="s">
        <v>232</v>
      </c>
      <c r="I5" s="121"/>
      <c r="J5" s="121"/>
      <c r="K5" s="121"/>
      <c r="L5" s="121"/>
    </row>
    <row r="6" spans="2:13" x14ac:dyDescent="0.35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35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230</v>
      </c>
      <c r="I7" s="87">
        <f>CORREL(B6:B58,F6:F58)</f>
        <v>8.8131115330406282E-2</v>
      </c>
      <c r="J7" s="87">
        <f>CORREL(C6:C58,F6:F58)</f>
        <v>-0.21594890460773236</v>
      </c>
      <c r="K7" s="87">
        <f>CORREL(D6:D58,F6:F58)</f>
        <v>-3.3036156159711241E-2</v>
      </c>
      <c r="L7" s="87">
        <f>CORREL(E6:E58,F6:F58)</f>
        <v>-1.1767089174847936E-2</v>
      </c>
    </row>
    <row r="8" spans="2:13" x14ac:dyDescent="0.35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35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35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35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35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35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35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35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35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35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35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35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35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35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35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35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35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35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35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35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35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35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35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35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35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35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35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35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35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35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35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35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35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35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35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35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35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35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35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35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35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35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35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35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35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35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35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35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35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35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35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  <headerFooter>
    <oddFooter>&amp;L3/20/2023&amp;CAXP Internal&amp;R50</oddFooter>
  </headerFooter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H100"/>
  <sheetViews>
    <sheetView showGridLines="0" topLeftCell="A2" workbookViewId="0">
      <selection activeCell="H21" sqref="H21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</cols>
  <sheetData>
    <row r="1" spans="2:6" ht="25.5" customHeight="1" x14ac:dyDescent="0.45">
      <c r="B1" s="18" t="s">
        <v>244</v>
      </c>
    </row>
    <row r="2" spans="2:6" ht="15" customHeight="1" x14ac:dyDescent="0.35">
      <c r="B2" s="30" t="s">
        <v>237</v>
      </c>
    </row>
    <row r="3" spans="2:6" ht="18" customHeight="1" x14ac:dyDescent="0.35"/>
    <row r="4" spans="2:6" x14ac:dyDescent="0.35">
      <c r="E4" s="3" t="s">
        <v>54</v>
      </c>
    </row>
    <row r="5" spans="2:6" x14ac:dyDescent="0.35">
      <c r="B5" s="43" t="s">
        <v>22</v>
      </c>
      <c r="C5" s="43" t="s">
        <v>23</v>
      </c>
      <c r="E5" s="121" t="s">
        <v>229</v>
      </c>
      <c r="F5" s="121"/>
    </row>
    <row r="6" spans="2:6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</row>
    <row r="7" spans="2:6" x14ac:dyDescent="0.35">
      <c r="B7" s="8">
        <v>423</v>
      </c>
      <c r="C7" s="8">
        <v>410</v>
      </c>
    </row>
    <row r="8" spans="2:6" x14ac:dyDescent="0.35">
      <c r="B8" s="8">
        <v>101</v>
      </c>
      <c r="C8" s="8">
        <v>119</v>
      </c>
    </row>
    <row r="9" spans="2:6" x14ac:dyDescent="0.35">
      <c r="B9" s="8">
        <v>288</v>
      </c>
      <c r="C9" s="8">
        <v>334</v>
      </c>
    </row>
    <row r="10" spans="2:6" x14ac:dyDescent="0.35">
      <c r="B10" s="8">
        <v>248</v>
      </c>
      <c r="C10" s="8">
        <v>252</v>
      </c>
    </row>
    <row r="11" spans="2:6" x14ac:dyDescent="0.35">
      <c r="B11" s="8">
        <v>145</v>
      </c>
      <c r="C11" s="8">
        <v>209</v>
      </c>
    </row>
    <row r="12" spans="2:6" x14ac:dyDescent="0.35">
      <c r="B12" s="8">
        <v>401</v>
      </c>
      <c r="C12" s="8">
        <v>462</v>
      </c>
    </row>
    <row r="13" spans="2:6" x14ac:dyDescent="0.35">
      <c r="B13" s="8">
        <v>287</v>
      </c>
      <c r="C13" s="8">
        <v>342</v>
      </c>
    </row>
    <row r="14" spans="2:6" x14ac:dyDescent="0.35">
      <c r="B14" s="8">
        <v>275</v>
      </c>
      <c r="C14" s="8">
        <v>347</v>
      </c>
    </row>
    <row r="15" spans="2:6" x14ac:dyDescent="0.35">
      <c r="B15" s="8">
        <v>254</v>
      </c>
      <c r="C15" s="8">
        <v>313</v>
      </c>
    </row>
    <row r="16" spans="2:6" x14ac:dyDescent="0.35">
      <c r="B16" s="8">
        <v>182</v>
      </c>
      <c r="C16" s="8">
        <v>232</v>
      </c>
    </row>
    <row r="17" spans="2:8" x14ac:dyDescent="0.35">
      <c r="B17" s="8">
        <v>117</v>
      </c>
      <c r="C17" s="8">
        <v>163</v>
      </c>
    </row>
    <row r="18" spans="2:8" x14ac:dyDescent="0.35">
      <c r="B18" s="8">
        <v>130</v>
      </c>
      <c r="C18" s="8">
        <v>119</v>
      </c>
    </row>
    <row r="19" spans="2:8" x14ac:dyDescent="0.35">
      <c r="B19" s="8">
        <v>219</v>
      </c>
      <c r="C19" s="8">
        <v>304</v>
      </c>
    </row>
    <row r="20" spans="2:8" x14ac:dyDescent="0.35">
      <c r="B20" s="8">
        <v>152</v>
      </c>
      <c r="C20" s="8">
        <v>211</v>
      </c>
      <c r="H20" t="s">
        <v>386</v>
      </c>
    </row>
    <row r="21" spans="2:8" x14ac:dyDescent="0.35">
      <c r="B21" s="8">
        <v>228</v>
      </c>
      <c r="C21" s="8">
        <v>286</v>
      </c>
    </row>
    <row r="22" spans="2:8" x14ac:dyDescent="0.35">
      <c r="B22" s="8">
        <v>62</v>
      </c>
      <c r="C22" s="8">
        <v>122</v>
      </c>
    </row>
    <row r="23" spans="2:8" x14ac:dyDescent="0.35">
      <c r="B23" s="8">
        <v>393</v>
      </c>
      <c r="C23" s="8">
        <v>443</v>
      </c>
    </row>
    <row r="24" spans="2:8" x14ac:dyDescent="0.35">
      <c r="B24" s="8">
        <v>277</v>
      </c>
      <c r="C24" s="8">
        <v>366</v>
      </c>
    </row>
    <row r="25" spans="2:8" x14ac:dyDescent="0.35">
      <c r="B25" s="8">
        <v>206</v>
      </c>
      <c r="C25" s="8">
        <v>244</v>
      </c>
    </row>
    <row r="26" spans="2:8" x14ac:dyDescent="0.35">
      <c r="B26" s="8">
        <v>229</v>
      </c>
      <c r="C26" s="8">
        <v>241</v>
      </c>
    </row>
    <row r="27" spans="2:8" x14ac:dyDescent="0.35">
      <c r="B27" s="8">
        <v>182</v>
      </c>
      <c r="C27" s="8">
        <v>237</v>
      </c>
    </row>
    <row r="28" spans="2:8" x14ac:dyDescent="0.35">
      <c r="B28" s="8">
        <v>98</v>
      </c>
      <c r="C28" s="8">
        <v>122</v>
      </c>
    </row>
    <row r="29" spans="2:8" x14ac:dyDescent="0.35">
      <c r="B29" s="8">
        <v>125</v>
      </c>
      <c r="C29" s="8">
        <v>129</v>
      </c>
    </row>
    <row r="30" spans="2:8" x14ac:dyDescent="0.35">
      <c r="B30" s="8">
        <v>164</v>
      </c>
      <c r="C30" s="8">
        <v>236</v>
      </c>
    </row>
    <row r="31" spans="2:8" x14ac:dyDescent="0.35">
      <c r="B31" s="8">
        <v>186</v>
      </c>
      <c r="C31" s="8">
        <v>251</v>
      </c>
    </row>
    <row r="32" spans="2:8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headerFooter>
    <oddFooter>&amp;L3/20/2023&amp;CAXP Internal&amp;R51</oddFoot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L8" sqref="L8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</cols>
  <sheetData>
    <row r="1" spans="2:14" ht="25.5" customHeight="1" x14ac:dyDescent="0.45">
      <c r="B1" s="18" t="s">
        <v>245</v>
      </c>
    </row>
    <row r="2" spans="2:14" ht="15" customHeight="1" x14ac:dyDescent="0.35">
      <c r="B2" s="30" t="s">
        <v>237</v>
      </c>
    </row>
    <row r="3" spans="2:14" ht="18" customHeight="1" x14ac:dyDescent="0.35"/>
    <row r="4" spans="2:14" x14ac:dyDescent="0.35">
      <c r="E4" s="3" t="s">
        <v>54</v>
      </c>
    </row>
    <row r="5" spans="2:14" x14ac:dyDescent="0.35">
      <c r="B5" s="43" t="s">
        <v>22</v>
      </c>
      <c r="C5" s="43" t="s">
        <v>23</v>
      </c>
      <c r="E5" s="121" t="s">
        <v>229</v>
      </c>
      <c r="F5" s="121"/>
      <c r="H5" s="121" t="s">
        <v>242</v>
      </c>
      <c r="I5" s="121"/>
      <c r="K5" s="121" t="s">
        <v>241</v>
      </c>
      <c r="L5" s="121"/>
    </row>
    <row r="6" spans="2:14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500</v>
      </c>
      <c r="N6" s="99"/>
    </row>
    <row r="7" spans="2:14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557.9114655219571</v>
      </c>
      <c r="M7">
        <f>I7*L6+I6</f>
        <v>557.9114655219571</v>
      </c>
    </row>
    <row r="8" spans="2:14" x14ac:dyDescent="0.35">
      <c r="B8" s="8">
        <v>101</v>
      </c>
      <c r="C8" s="8">
        <v>119</v>
      </c>
    </row>
    <row r="9" spans="2:14" x14ac:dyDescent="0.35">
      <c r="B9" s="8">
        <v>288</v>
      </c>
      <c r="C9" s="8">
        <v>334</v>
      </c>
    </row>
    <row r="10" spans="2:14" x14ac:dyDescent="0.35">
      <c r="B10" s="8">
        <v>248</v>
      </c>
      <c r="C10" s="8">
        <v>252</v>
      </c>
    </row>
    <row r="11" spans="2:14" x14ac:dyDescent="0.35">
      <c r="B11" s="8">
        <v>145</v>
      </c>
      <c r="C11" s="8">
        <v>209</v>
      </c>
    </row>
    <row r="12" spans="2:14" x14ac:dyDescent="0.35">
      <c r="B12" s="8">
        <v>401</v>
      </c>
      <c r="C12" s="8">
        <v>462</v>
      </c>
    </row>
    <row r="13" spans="2:14" x14ac:dyDescent="0.35">
      <c r="B13" s="8">
        <v>287</v>
      </c>
      <c r="C13" s="8">
        <v>342</v>
      </c>
    </row>
    <row r="14" spans="2:14" x14ac:dyDescent="0.35">
      <c r="B14" s="8">
        <v>275</v>
      </c>
      <c r="C14" s="8">
        <v>347</v>
      </c>
    </row>
    <row r="15" spans="2:14" x14ac:dyDescent="0.35">
      <c r="B15" s="8">
        <v>254</v>
      </c>
      <c r="C15" s="8">
        <v>313</v>
      </c>
    </row>
    <row r="16" spans="2:14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headerFooter>
    <oddFooter>&amp;L3/20/2023&amp;CAXP Internal&amp;R52</oddFooter>
  </headerFooter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topLeftCell="F5" workbookViewId="0">
      <selection activeCell="N19" sqref="N19"/>
    </sheetView>
  </sheetViews>
  <sheetFormatPr defaultRowHeight="14.5" x14ac:dyDescent="0.35"/>
  <cols>
    <col min="1" max="1" width="2.81640625" customWidth="1"/>
    <col min="2" max="2" width="16" bestFit="1" customWidth="1"/>
    <col min="3" max="3" width="10.7265625" customWidth="1"/>
    <col min="4" max="4" width="20.7265625" bestFit="1" customWidth="1"/>
    <col min="5" max="5" width="19.26953125" customWidth="1"/>
    <col min="6" max="6" width="12.7265625" customWidth="1"/>
    <col min="7" max="7" width="26.26953125" bestFit="1" customWidth="1"/>
    <col min="9" max="9" width="14.26953125" customWidth="1"/>
    <col min="10" max="10" width="17" bestFit="1" customWidth="1"/>
    <col min="11" max="11" width="21.1796875" bestFit="1" customWidth="1"/>
    <col min="13" max="13" width="11.453125" customWidth="1"/>
    <col min="16" max="16" width="14.1796875" bestFit="1" customWidth="1"/>
  </cols>
  <sheetData>
    <row r="1" spans="2:17" ht="25.5" customHeight="1" x14ac:dyDescent="0.45">
      <c r="B1" s="18" t="s">
        <v>246</v>
      </c>
    </row>
    <row r="2" spans="2:17" ht="15" customHeight="1" x14ac:dyDescent="0.35">
      <c r="B2" s="30" t="s">
        <v>247</v>
      </c>
    </row>
    <row r="3" spans="2:17" ht="18" customHeight="1" x14ac:dyDescent="0.35"/>
    <row r="4" spans="2:17" x14ac:dyDescent="0.35">
      <c r="I4" s="3" t="s">
        <v>54</v>
      </c>
    </row>
    <row r="5" spans="2:17" x14ac:dyDescent="0.35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243</v>
      </c>
      <c r="I5" s="121" t="s">
        <v>229</v>
      </c>
      <c r="J5" s="121"/>
      <c r="K5" s="121"/>
      <c r="M5" s="121" t="s">
        <v>242</v>
      </c>
      <c r="N5" s="121"/>
      <c r="P5" s="121" t="s">
        <v>241</v>
      </c>
      <c r="Q5" s="121"/>
    </row>
    <row r="6" spans="2:17" x14ac:dyDescent="0.35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43" t="s">
        <v>76</v>
      </c>
      <c r="K6" s="43" t="s">
        <v>22</v>
      </c>
      <c r="M6" s="20" t="s">
        <v>239</v>
      </c>
      <c r="N6" s="75">
        <f>INTERCEPT(G6:G100,B6:B100)</f>
        <v>-223.4190539652177</v>
      </c>
      <c r="P6" s="20" t="s">
        <v>314</v>
      </c>
      <c r="Q6" s="71">
        <v>100</v>
      </c>
    </row>
    <row r="7" spans="2:17" x14ac:dyDescent="0.35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230</v>
      </c>
      <c r="J7" s="87">
        <f>CORREL(B6:B100,G6:G100)</f>
        <v>0.92556272300776632</v>
      </c>
      <c r="K7" s="87">
        <f>CORREL(D6:D100,G6:G100)</f>
        <v>9.4366710749681004E-2</v>
      </c>
      <c r="M7" s="20" t="s">
        <v>240</v>
      </c>
      <c r="N7" s="87">
        <f>SLOPE(G6:G100,B6:B100)</f>
        <v>3.6394257812138537</v>
      </c>
      <c r="P7" s="20" t="s">
        <v>255</v>
      </c>
      <c r="Q7" s="72">
        <f>N6+N7*Q6</f>
        <v>140.5235241561677</v>
      </c>
    </row>
    <row r="8" spans="2:17" x14ac:dyDescent="0.35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35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35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35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35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35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35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35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35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35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35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35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35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35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35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35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35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35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35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35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35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35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35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35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35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35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35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35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35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35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35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35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35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35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35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35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35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35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35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35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35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35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35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35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35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35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35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35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35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35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35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35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35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35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35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35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35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35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35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35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35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35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35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35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35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35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35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35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35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35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35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35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35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35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35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35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35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35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35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35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35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35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35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35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35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35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35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35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35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35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35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35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35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  <headerFooter>
    <oddFooter>&amp;L3/20/2023&amp;CAXP Internal&amp;R53</oddFooter>
  </headerFooter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P100"/>
  <sheetViews>
    <sheetView showGridLines="0" topLeftCell="C1" workbookViewId="0">
      <selection activeCell="P8" sqref="P8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4" width="11.453125" customWidth="1"/>
    <col min="15" max="15" width="17.81640625" bestFit="1" customWidth="1"/>
  </cols>
  <sheetData>
    <row r="1" spans="2:16" ht="25.5" customHeight="1" x14ac:dyDescent="0.45">
      <c r="B1" s="18" t="s">
        <v>263</v>
      </c>
    </row>
    <row r="2" spans="2:16" ht="15" customHeight="1" x14ac:dyDescent="0.35">
      <c r="B2" s="30" t="s">
        <v>257</v>
      </c>
    </row>
    <row r="3" spans="2:16" ht="18" customHeight="1" x14ac:dyDescent="0.35"/>
    <row r="4" spans="2:16" x14ac:dyDescent="0.35">
      <c r="E4" s="3" t="s">
        <v>54</v>
      </c>
    </row>
    <row r="5" spans="2:16" x14ac:dyDescent="0.35">
      <c r="B5" s="43" t="s">
        <v>22</v>
      </c>
      <c r="C5" s="43" t="s">
        <v>23</v>
      </c>
      <c r="E5" s="121" t="s">
        <v>229</v>
      </c>
      <c r="F5" s="121"/>
      <c r="H5" s="121" t="s">
        <v>242</v>
      </c>
      <c r="I5" s="121"/>
      <c r="K5" s="121" t="s">
        <v>241</v>
      </c>
      <c r="L5" s="121"/>
      <c r="N5" s="121" t="s">
        <v>248</v>
      </c>
      <c r="O5" s="121"/>
    </row>
    <row r="6" spans="2:16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SUMSQ(C6:C100-FORECAST(B6:B100,C6:C100,B6:B100))</f>
        <v>81929.289620086478</v>
      </c>
    </row>
    <row r="7" spans="2:16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6" x14ac:dyDescent="0.3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  <c r="P8">
        <f>1-(O6/O7)</f>
        <v>0.90034649029559821</v>
      </c>
    </row>
    <row r="9" spans="2:16" x14ac:dyDescent="0.35">
      <c r="B9" s="8">
        <v>288</v>
      </c>
      <c r="C9" s="8">
        <v>334</v>
      </c>
    </row>
    <row r="10" spans="2:16" x14ac:dyDescent="0.35">
      <c r="B10" s="8">
        <v>248</v>
      </c>
      <c r="C10" s="8">
        <v>252</v>
      </c>
    </row>
    <row r="11" spans="2:16" x14ac:dyDescent="0.35">
      <c r="B11" s="8">
        <v>145</v>
      </c>
      <c r="C11" s="8">
        <v>209</v>
      </c>
    </row>
    <row r="12" spans="2:16" x14ac:dyDescent="0.35">
      <c r="B12" s="8">
        <v>401</v>
      </c>
      <c r="C12" s="8">
        <v>462</v>
      </c>
    </row>
    <row r="13" spans="2:16" x14ac:dyDescent="0.35">
      <c r="B13" s="8">
        <v>287</v>
      </c>
      <c r="C13" s="8">
        <v>342</v>
      </c>
    </row>
    <row r="14" spans="2:16" x14ac:dyDescent="0.35">
      <c r="B14" s="8">
        <v>275</v>
      </c>
      <c r="C14" s="8">
        <v>347</v>
      </c>
    </row>
    <row r="15" spans="2:16" x14ac:dyDescent="0.35">
      <c r="B15" s="8">
        <v>254</v>
      </c>
      <c r="C15" s="8">
        <v>313</v>
      </c>
    </row>
    <row r="16" spans="2:16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headerFooter>
    <oddFooter>&amp;L3/20/2023&amp;CAXP Internal&amp;R54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P100"/>
  <sheetViews>
    <sheetView showGridLines="0" topLeftCell="C2" workbookViewId="0">
      <selection activeCell="P10" sqref="P10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4" width="15.1796875" bestFit="1" customWidth="1"/>
    <col min="15" max="15" width="11.453125" customWidth="1"/>
  </cols>
  <sheetData>
    <row r="1" spans="2:16" ht="25.5" customHeight="1" x14ac:dyDescent="0.45">
      <c r="B1" s="18" t="s">
        <v>264</v>
      </c>
    </row>
    <row r="2" spans="2:16" ht="15" customHeight="1" x14ac:dyDescent="0.35">
      <c r="B2" s="30" t="s">
        <v>258</v>
      </c>
    </row>
    <row r="3" spans="2:16" ht="18" customHeight="1" x14ac:dyDescent="0.35"/>
    <row r="4" spans="2:16" x14ac:dyDescent="0.35">
      <c r="E4" s="3" t="s">
        <v>54</v>
      </c>
    </row>
    <row r="5" spans="2:16" x14ac:dyDescent="0.35">
      <c r="B5" s="43" t="s">
        <v>22</v>
      </c>
      <c r="C5" s="43" t="s">
        <v>23</v>
      </c>
      <c r="E5" s="121" t="s">
        <v>229</v>
      </c>
      <c r="F5" s="121"/>
      <c r="H5" s="121" t="s">
        <v>242</v>
      </c>
      <c r="I5" s="121"/>
      <c r="K5" s="121" t="s">
        <v>241</v>
      </c>
      <c r="L5" s="121"/>
      <c r="N5" s="121" t="s">
        <v>248</v>
      </c>
      <c r="O5" s="121"/>
    </row>
    <row r="6" spans="2:16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6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6" x14ac:dyDescent="0.3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6" x14ac:dyDescent="0.35">
      <c r="B9" s="8">
        <v>288</v>
      </c>
      <c r="C9" s="8">
        <v>334</v>
      </c>
      <c r="N9" s="58" t="s">
        <v>254</v>
      </c>
      <c r="O9" s="97" cm="1">
        <f t="array" ref="O9">SUMSQ(C6:C100-FORECAST(B6:B100,C6:C100,B6:B100))/(COUNT(C6:C100)-1-1)</f>
        <v>880.96010344179012</v>
      </c>
    </row>
    <row r="10" spans="2:16" x14ac:dyDescent="0.35">
      <c r="B10" s="8">
        <v>248</v>
      </c>
      <c r="C10" s="8">
        <v>252</v>
      </c>
      <c r="N10" s="20" t="s">
        <v>146</v>
      </c>
      <c r="O10" s="75">
        <f>SQRT(O9)</f>
        <v>29.680972077103373</v>
      </c>
      <c r="P10">
        <f>STEYX(C6:C100,B6:B100)</f>
        <v>29.680972077103387</v>
      </c>
    </row>
    <row r="11" spans="2:16" x14ac:dyDescent="0.35">
      <c r="B11" s="8">
        <v>145</v>
      </c>
      <c r="C11" s="8">
        <v>209</v>
      </c>
    </row>
    <row r="12" spans="2:16" x14ac:dyDescent="0.35">
      <c r="B12" s="8">
        <v>401</v>
      </c>
      <c r="C12" s="8">
        <v>462</v>
      </c>
    </row>
    <row r="13" spans="2:16" x14ac:dyDescent="0.35">
      <c r="B13" s="8">
        <v>287</v>
      </c>
      <c r="C13" s="8">
        <v>342</v>
      </c>
    </row>
    <row r="14" spans="2:16" x14ac:dyDescent="0.35">
      <c r="B14" s="8">
        <v>275</v>
      </c>
      <c r="C14" s="8">
        <v>347</v>
      </c>
    </row>
    <row r="15" spans="2:16" x14ac:dyDescent="0.35">
      <c r="B15" s="8">
        <v>254</v>
      </c>
      <c r="C15" s="8">
        <v>313</v>
      </c>
    </row>
    <row r="16" spans="2:16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headerFooter>
    <oddFooter>&amp;L3/20/2023&amp;CAXP Internal&amp;R55</oddFooter>
  </headerFooter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4" width="15.1796875" bestFit="1" customWidth="1"/>
    <col min="15" max="15" width="11.453125" customWidth="1"/>
  </cols>
  <sheetData>
    <row r="1" spans="2:15" ht="25.5" customHeight="1" x14ac:dyDescent="0.45">
      <c r="B1" s="18" t="s">
        <v>265</v>
      </c>
    </row>
    <row r="2" spans="2:15" ht="15" customHeight="1" x14ac:dyDescent="0.35">
      <c r="B2" s="30" t="s">
        <v>259</v>
      </c>
    </row>
    <row r="3" spans="2:15" ht="18" customHeight="1" x14ac:dyDescent="0.35"/>
    <row r="4" spans="2:15" x14ac:dyDescent="0.35">
      <c r="E4" s="3" t="s">
        <v>54</v>
      </c>
    </row>
    <row r="5" spans="2:15" x14ac:dyDescent="0.35">
      <c r="B5" s="43" t="s">
        <v>22</v>
      </c>
      <c r="C5" s="43" t="s">
        <v>23</v>
      </c>
      <c r="E5" s="121" t="s">
        <v>229</v>
      </c>
      <c r="F5" s="121"/>
      <c r="H5" s="121" t="s">
        <v>242</v>
      </c>
      <c r="I5" s="121"/>
      <c r="K5" s="121" t="s">
        <v>241</v>
      </c>
      <c r="L5" s="121"/>
      <c r="N5" s="121" t="s">
        <v>248</v>
      </c>
      <c r="O5" s="121"/>
    </row>
    <row r="6" spans="2:15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3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35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35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35">
      <c r="B11" s="8">
        <v>145</v>
      </c>
      <c r="C11" s="8">
        <v>209</v>
      </c>
    </row>
    <row r="12" spans="2:15" x14ac:dyDescent="0.35">
      <c r="B12" s="8">
        <v>401</v>
      </c>
      <c r="C12" s="8">
        <v>462</v>
      </c>
    </row>
    <row r="13" spans="2:15" x14ac:dyDescent="0.35">
      <c r="B13" s="8">
        <v>287</v>
      </c>
      <c r="C13" s="8">
        <v>342</v>
      </c>
    </row>
    <row r="14" spans="2:15" x14ac:dyDescent="0.35">
      <c r="B14" s="8">
        <v>275</v>
      </c>
      <c r="C14" s="8">
        <v>347</v>
      </c>
    </row>
    <row r="15" spans="2:15" x14ac:dyDescent="0.35">
      <c r="B15" s="8">
        <v>254</v>
      </c>
      <c r="C15" s="8">
        <v>313</v>
      </c>
    </row>
    <row r="16" spans="2:15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headerFooter>
    <oddFooter>&amp;L3/20/2023&amp;CAXP Internal&amp;R56</oddFooter>
  </headerFooter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O15" sqref="O15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6" max="6" width="9.1796875" customWidth="1"/>
    <col min="8" max="8" width="11.453125" customWidth="1"/>
    <col min="14" max="14" width="16" bestFit="1" customWidth="1"/>
    <col min="15" max="15" width="11.453125" customWidth="1"/>
  </cols>
  <sheetData>
    <row r="1" spans="2:15" ht="25.5" customHeight="1" x14ac:dyDescent="0.45">
      <c r="B1" s="18" t="s">
        <v>315</v>
      </c>
    </row>
    <row r="2" spans="2:15" ht="15" customHeight="1" x14ac:dyDescent="0.35">
      <c r="B2" s="30" t="s">
        <v>237</v>
      </c>
    </row>
    <row r="3" spans="2:15" ht="18" customHeight="1" x14ac:dyDescent="0.35"/>
    <row r="4" spans="2:15" x14ac:dyDescent="0.35">
      <c r="E4" s="3" t="s">
        <v>54</v>
      </c>
    </row>
    <row r="5" spans="2:15" x14ac:dyDescent="0.35">
      <c r="B5" s="43" t="s">
        <v>22</v>
      </c>
      <c r="C5" s="43" t="s">
        <v>23</v>
      </c>
      <c r="E5" s="121" t="s">
        <v>229</v>
      </c>
      <c r="F5" s="121"/>
      <c r="H5" s="121" t="s">
        <v>242</v>
      </c>
      <c r="I5" s="121"/>
      <c r="K5" s="121" t="s">
        <v>241</v>
      </c>
      <c r="L5" s="121"/>
      <c r="N5" s="121" t="s">
        <v>248</v>
      </c>
      <c r="O5" s="121"/>
    </row>
    <row r="6" spans="2:15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3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35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35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35">
      <c r="B11" s="8">
        <v>145</v>
      </c>
      <c r="C11" s="8">
        <v>209</v>
      </c>
      <c r="N11" s="20" t="s">
        <v>143</v>
      </c>
      <c r="O11" s="71">
        <v>0.05</v>
      </c>
    </row>
    <row r="12" spans="2:15" x14ac:dyDescent="0.35">
      <c r="B12" s="8">
        <v>401</v>
      </c>
      <c r="C12" s="8">
        <v>462</v>
      </c>
      <c r="N12" s="58" t="s">
        <v>253</v>
      </c>
      <c r="O12" s="97">
        <f>(O7-O6)/1</f>
        <v>740212.24722201866</v>
      </c>
    </row>
    <row r="13" spans="2:15" x14ac:dyDescent="0.35">
      <c r="B13" s="8">
        <v>287</v>
      </c>
      <c r="C13" s="8">
        <v>342</v>
      </c>
      <c r="N13" s="20" t="s">
        <v>252</v>
      </c>
      <c r="O13" s="75">
        <f>O12/O9</f>
        <v>840.23356373360275</v>
      </c>
    </row>
    <row r="14" spans="2:15" x14ac:dyDescent="0.35">
      <c r="B14" s="8">
        <v>275</v>
      </c>
      <c r="C14" s="8">
        <v>347</v>
      </c>
      <c r="N14" s="20" t="s">
        <v>207</v>
      </c>
      <c r="O14" s="87">
        <f>_xlfn.F.DIST(O13,1,COUNT(C6:C100)-1-1,TRUE)</f>
        <v>1</v>
      </c>
    </row>
    <row r="15" spans="2:15" x14ac:dyDescent="0.35">
      <c r="B15" s="8">
        <v>254</v>
      </c>
      <c r="C15" s="8">
        <v>313</v>
      </c>
    </row>
    <row r="16" spans="2:15" x14ac:dyDescent="0.35">
      <c r="B16" s="8">
        <v>182</v>
      </c>
      <c r="C16" s="8">
        <v>232</v>
      </c>
    </row>
    <row r="17" spans="2:3" x14ac:dyDescent="0.35">
      <c r="B17" s="8">
        <v>117</v>
      </c>
      <c r="C17" s="8">
        <v>163</v>
      </c>
    </row>
    <row r="18" spans="2:3" x14ac:dyDescent="0.35">
      <c r="B18" s="8">
        <v>130</v>
      </c>
      <c r="C18" s="8">
        <v>119</v>
      </c>
    </row>
    <row r="19" spans="2:3" x14ac:dyDescent="0.35">
      <c r="B19" s="8">
        <v>219</v>
      </c>
      <c r="C19" s="8">
        <v>304</v>
      </c>
    </row>
    <row r="20" spans="2:3" x14ac:dyDescent="0.35">
      <c r="B20" s="8">
        <v>152</v>
      </c>
      <c r="C20" s="8">
        <v>211</v>
      </c>
    </row>
    <row r="21" spans="2:3" x14ac:dyDescent="0.35">
      <c r="B21" s="8">
        <v>228</v>
      </c>
      <c r="C21" s="8">
        <v>286</v>
      </c>
    </row>
    <row r="22" spans="2:3" x14ac:dyDescent="0.35">
      <c r="B22" s="8">
        <v>62</v>
      </c>
      <c r="C22" s="8">
        <v>122</v>
      </c>
    </row>
    <row r="23" spans="2:3" x14ac:dyDescent="0.35">
      <c r="B23" s="8">
        <v>393</v>
      </c>
      <c r="C23" s="8">
        <v>443</v>
      </c>
    </row>
    <row r="24" spans="2:3" x14ac:dyDescent="0.35">
      <c r="B24" s="8">
        <v>277</v>
      </c>
      <c r="C24" s="8">
        <v>366</v>
      </c>
    </row>
    <row r="25" spans="2:3" x14ac:dyDescent="0.35">
      <c r="B25" s="8">
        <v>206</v>
      </c>
      <c r="C25" s="8">
        <v>244</v>
      </c>
    </row>
    <row r="26" spans="2:3" x14ac:dyDescent="0.35">
      <c r="B26" s="8">
        <v>229</v>
      </c>
      <c r="C26" s="8">
        <v>241</v>
      </c>
    </row>
    <row r="27" spans="2:3" x14ac:dyDescent="0.35">
      <c r="B27" s="8">
        <v>182</v>
      </c>
      <c r="C27" s="8">
        <v>237</v>
      </c>
    </row>
    <row r="28" spans="2:3" x14ac:dyDescent="0.35">
      <c r="B28" s="8">
        <v>98</v>
      </c>
      <c r="C28" s="8">
        <v>122</v>
      </c>
    </row>
    <row r="29" spans="2:3" x14ac:dyDescent="0.35">
      <c r="B29" s="8">
        <v>125</v>
      </c>
      <c r="C29" s="8">
        <v>129</v>
      </c>
    </row>
    <row r="30" spans="2:3" x14ac:dyDescent="0.35">
      <c r="B30" s="8">
        <v>164</v>
      </c>
      <c r="C30" s="8">
        <v>236</v>
      </c>
    </row>
    <row r="31" spans="2:3" x14ac:dyDescent="0.35">
      <c r="B31" s="8">
        <v>186</v>
      </c>
      <c r="C31" s="8">
        <v>251</v>
      </c>
    </row>
    <row r="32" spans="2:3" x14ac:dyDescent="0.35">
      <c r="B32" s="8">
        <v>235</v>
      </c>
      <c r="C32" s="8">
        <v>283</v>
      </c>
    </row>
    <row r="33" spans="2:3" x14ac:dyDescent="0.35">
      <c r="B33" s="8">
        <v>184</v>
      </c>
      <c r="C33" s="8">
        <v>225</v>
      </c>
    </row>
    <row r="34" spans="2:3" x14ac:dyDescent="0.35">
      <c r="B34" s="8">
        <v>76</v>
      </c>
      <c r="C34" s="8">
        <v>102</v>
      </c>
    </row>
    <row r="35" spans="2:3" x14ac:dyDescent="0.35">
      <c r="B35" s="8">
        <v>126</v>
      </c>
      <c r="C35" s="8">
        <v>180</v>
      </c>
    </row>
    <row r="36" spans="2:3" x14ac:dyDescent="0.35">
      <c r="B36" s="8">
        <v>183</v>
      </c>
      <c r="C36" s="8">
        <v>247</v>
      </c>
    </row>
    <row r="37" spans="2:3" x14ac:dyDescent="0.35">
      <c r="B37" s="8">
        <v>242</v>
      </c>
      <c r="C37" s="8">
        <v>343</v>
      </c>
    </row>
    <row r="38" spans="2:3" x14ac:dyDescent="0.35">
      <c r="B38" s="8">
        <v>207</v>
      </c>
      <c r="C38" s="8">
        <v>283</v>
      </c>
    </row>
    <row r="39" spans="2:3" x14ac:dyDescent="0.35">
      <c r="B39" s="8">
        <v>181</v>
      </c>
      <c r="C39" s="8">
        <v>253</v>
      </c>
    </row>
    <row r="40" spans="2:3" x14ac:dyDescent="0.35">
      <c r="B40" s="8">
        <v>239</v>
      </c>
      <c r="C40" s="8">
        <v>263</v>
      </c>
    </row>
    <row r="41" spans="2:3" x14ac:dyDescent="0.35">
      <c r="B41" s="8">
        <v>216</v>
      </c>
      <c r="C41" s="8">
        <v>291</v>
      </c>
    </row>
    <row r="42" spans="2:3" x14ac:dyDescent="0.35">
      <c r="B42" s="8">
        <v>289</v>
      </c>
      <c r="C42" s="8">
        <v>368</v>
      </c>
    </row>
    <row r="43" spans="2:3" x14ac:dyDescent="0.35">
      <c r="B43" s="8">
        <v>213</v>
      </c>
      <c r="C43" s="8">
        <v>206</v>
      </c>
    </row>
    <row r="44" spans="2:3" x14ac:dyDescent="0.35">
      <c r="B44" s="8">
        <v>209</v>
      </c>
      <c r="C44" s="8">
        <v>231</v>
      </c>
    </row>
    <row r="45" spans="2:3" x14ac:dyDescent="0.35">
      <c r="B45" s="8">
        <v>376</v>
      </c>
      <c r="C45" s="8">
        <v>389</v>
      </c>
    </row>
    <row r="46" spans="2:3" x14ac:dyDescent="0.35">
      <c r="B46" s="8">
        <v>332</v>
      </c>
      <c r="C46" s="8">
        <v>396</v>
      </c>
    </row>
    <row r="47" spans="2:3" x14ac:dyDescent="0.35">
      <c r="B47" s="8">
        <v>249</v>
      </c>
      <c r="C47" s="8">
        <v>339</v>
      </c>
    </row>
    <row r="48" spans="2:3" x14ac:dyDescent="0.35">
      <c r="B48" s="8">
        <v>228</v>
      </c>
      <c r="C48" s="8">
        <v>286</v>
      </c>
    </row>
    <row r="49" spans="2:3" x14ac:dyDescent="0.35">
      <c r="B49" s="8">
        <v>124</v>
      </c>
      <c r="C49" s="8">
        <v>146</v>
      </c>
    </row>
    <row r="50" spans="2:3" x14ac:dyDescent="0.35">
      <c r="B50" s="8">
        <v>194</v>
      </c>
      <c r="C50" s="8">
        <v>315</v>
      </c>
    </row>
    <row r="51" spans="2:3" x14ac:dyDescent="0.35">
      <c r="B51" s="8">
        <v>157</v>
      </c>
      <c r="C51" s="8">
        <v>183</v>
      </c>
    </row>
    <row r="52" spans="2:3" x14ac:dyDescent="0.35">
      <c r="B52" s="8">
        <v>402</v>
      </c>
      <c r="C52" s="8">
        <v>481</v>
      </c>
    </row>
    <row r="53" spans="2:3" x14ac:dyDescent="0.35">
      <c r="B53" s="8">
        <v>323</v>
      </c>
      <c r="C53" s="8">
        <v>349</v>
      </c>
    </row>
    <row r="54" spans="2:3" x14ac:dyDescent="0.35">
      <c r="B54" s="8">
        <v>181</v>
      </c>
      <c r="C54" s="8">
        <v>225</v>
      </c>
    </row>
    <row r="55" spans="2:3" x14ac:dyDescent="0.35">
      <c r="B55" s="8">
        <v>157</v>
      </c>
      <c r="C55" s="8">
        <v>217</v>
      </c>
    </row>
    <row r="56" spans="2:3" x14ac:dyDescent="0.35">
      <c r="B56" s="8">
        <v>266</v>
      </c>
      <c r="C56" s="8">
        <v>353</v>
      </c>
    </row>
    <row r="57" spans="2:3" x14ac:dyDescent="0.35">
      <c r="B57" s="8">
        <v>268</v>
      </c>
      <c r="C57" s="8">
        <v>314</v>
      </c>
    </row>
    <row r="58" spans="2:3" x14ac:dyDescent="0.35">
      <c r="B58" s="8">
        <v>167</v>
      </c>
      <c r="C58" s="8">
        <v>247</v>
      </c>
    </row>
    <row r="59" spans="2:3" x14ac:dyDescent="0.35">
      <c r="B59" s="8">
        <v>342</v>
      </c>
      <c r="C59" s="8">
        <v>410</v>
      </c>
    </row>
    <row r="60" spans="2:3" x14ac:dyDescent="0.35">
      <c r="B60" s="8">
        <v>349</v>
      </c>
      <c r="C60" s="8">
        <v>395</v>
      </c>
    </row>
    <row r="61" spans="2:3" x14ac:dyDescent="0.35">
      <c r="B61" s="8">
        <v>340</v>
      </c>
      <c r="C61" s="8">
        <v>416</v>
      </c>
    </row>
    <row r="62" spans="2:3" x14ac:dyDescent="0.35">
      <c r="B62" s="8">
        <v>227</v>
      </c>
      <c r="C62" s="8">
        <v>342</v>
      </c>
    </row>
    <row r="63" spans="2:3" x14ac:dyDescent="0.35">
      <c r="B63" s="8">
        <v>409</v>
      </c>
      <c r="C63" s="8">
        <v>446</v>
      </c>
    </row>
    <row r="64" spans="2:3" x14ac:dyDescent="0.35">
      <c r="B64" s="8">
        <v>400</v>
      </c>
      <c r="C64" s="8">
        <v>477</v>
      </c>
    </row>
    <row r="65" spans="2:3" x14ac:dyDescent="0.35">
      <c r="B65" s="8">
        <v>374</v>
      </c>
      <c r="C65" s="8">
        <v>444</v>
      </c>
    </row>
    <row r="66" spans="2:3" x14ac:dyDescent="0.35">
      <c r="B66" s="8">
        <v>255</v>
      </c>
      <c r="C66" s="8">
        <v>351</v>
      </c>
    </row>
    <row r="67" spans="2:3" x14ac:dyDescent="0.35">
      <c r="B67" s="8">
        <v>146</v>
      </c>
      <c r="C67" s="8">
        <v>165</v>
      </c>
    </row>
    <row r="68" spans="2:3" x14ac:dyDescent="0.35">
      <c r="B68" s="8">
        <v>248</v>
      </c>
      <c r="C68" s="8">
        <v>317</v>
      </c>
    </row>
    <row r="69" spans="2:3" x14ac:dyDescent="0.35">
      <c r="B69" s="8">
        <v>198</v>
      </c>
      <c r="C69" s="8">
        <v>250</v>
      </c>
    </row>
    <row r="70" spans="2:3" x14ac:dyDescent="0.35">
      <c r="B70" s="8">
        <v>210</v>
      </c>
      <c r="C70" s="8">
        <v>217</v>
      </c>
    </row>
    <row r="71" spans="2:3" x14ac:dyDescent="0.35">
      <c r="B71" s="8">
        <v>107</v>
      </c>
      <c r="C71" s="8">
        <v>138</v>
      </c>
    </row>
    <row r="72" spans="2:3" x14ac:dyDescent="0.35">
      <c r="B72" s="8">
        <v>239</v>
      </c>
      <c r="C72" s="8">
        <v>302</v>
      </c>
    </row>
    <row r="73" spans="2:3" x14ac:dyDescent="0.35">
      <c r="B73" s="8">
        <v>287</v>
      </c>
      <c r="C73" s="8">
        <v>311</v>
      </c>
    </row>
    <row r="74" spans="2:3" x14ac:dyDescent="0.35">
      <c r="B74" s="8">
        <v>340</v>
      </c>
      <c r="C74" s="8">
        <v>373</v>
      </c>
    </row>
    <row r="75" spans="2:3" x14ac:dyDescent="0.35">
      <c r="B75" s="8">
        <v>155</v>
      </c>
      <c r="C75" s="8">
        <v>196</v>
      </c>
    </row>
    <row r="76" spans="2:3" x14ac:dyDescent="0.35">
      <c r="B76" s="8">
        <v>263</v>
      </c>
      <c r="C76" s="8">
        <v>306</v>
      </c>
    </row>
    <row r="77" spans="2:3" x14ac:dyDescent="0.35">
      <c r="B77" s="8">
        <v>265</v>
      </c>
      <c r="C77" s="8">
        <v>302</v>
      </c>
    </row>
    <row r="78" spans="2:3" x14ac:dyDescent="0.35">
      <c r="B78" s="8">
        <v>249</v>
      </c>
      <c r="C78" s="8">
        <v>278</v>
      </c>
    </row>
    <row r="79" spans="2:3" x14ac:dyDescent="0.35">
      <c r="B79" s="8">
        <v>377</v>
      </c>
      <c r="C79" s="8">
        <v>429</v>
      </c>
    </row>
    <row r="80" spans="2:3" x14ac:dyDescent="0.35">
      <c r="B80" s="8">
        <v>301</v>
      </c>
      <c r="C80" s="8">
        <v>338</v>
      </c>
    </row>
    <row r="81" spans="2:3" x14ac:dyDescent="0.35">
      <c r="B81" s="8">
        <v>242</v>
      </c>
      <c r="C81" s="8">
        <v>261</v>
      </c>
    </row>
    <row r="82" spans="2:3" x14ac:dyDescent="0.35">
      <c r="B82" s="8">
        <v>211</v>
      </c>
      <c r="C82" s="8">
        <v>256</v>
      </c>
    </row>
    <row r="83" spans="2:3" x14ac:dyDescent="0.35">
      <c r="B83" s="8">
        <v>160</v>
      </c>
      <c r="C83" s="8">
        <v>183</v>
      </c>
    </row>
    <row r="84" spans="2:3" x14ac:dyDescent="0.35">
      <c r="B84" s="8">
        <v>218</v>
      </c>
      <c r="C84" s="8">
        <v>274</v>
      </c>
    </row>
    <row r="85" spans="2:3" x14ac:dyDescent="0.35">
      <c r="B85" s="8">
        <v>133</v>
      </c>
      <c r="C85" s="8">
        <v>182</v>
      </c>
    </row>
    <row r="86" spans="2:3" x14ac:dyDescent="0.35">
      <c r="B86" s="8">
        <v>122</v>
      </c>
      <c r="C86" s="8">
        <v>183</v>
      </c>
    </row>
    <row r="87" spans="2:3" x14ac:dyDescent="0.35">
      <c r="B87" s="8">
        <v>236</v>
      </c>
      <c r="C87" s="8">
        <v>309</v>
      </c>
    </row>
    <row r="88" spans="2:3" x14ac:dyDescent="0.35">
      <c r="B88" s="8">
        <v>143</v>
      </c>
      <c r="C88" s="8">
        <v>178</v>
      </c>
    </row>
    <row r="89" spans="2:3" x14ac:dyDescent="0.35">
      <c r="B89" s="8">
        <v>354</v>
      </c>
      <c r="C89" s="8">
        <v>458</v>
      </c>
    </row>
    <row r="90" spans="2:3" x14ac:dyDescent="0.35">
      <c r="B90" s="8">
        <v>214</v>
      </c>
      <c r="C90" s="8">
        <v>234</v>
      </c>
    </row>
    <row r="91" spans="2:3" x14ac:dyDescent="0.35">
      <c r="B91" s="8">
        <v>225</v>
      </c>
      <c r="C91" s="8">
        <v>306</v>
      </c>
    </row>
    <row r="92" spans="2:3" x14ac:dyDescent="0.35">
      <c r="B92" s="8">
        <v>261</v>
      </c>
      <c r="C92" s="8">
        <v>400</v>
      </c>
    </row>
    <row r="93" spans="2:3" x14ac:dyDescent="0.35">
      <c r="B93" s="8">
        <v>277</v>
      </c>
      <c r="C93" s="8">
        <v>337</v>
      </c>
    </row>
    <row r="94" spans="2:3" x14ac:dyDescent="0.35">
      <c r="B94" s="8">
        <v>282</v>
      </c>
      <c r="C94" s="8">
        <v>325</v>
      </c>
    </row>
    <row r="95" spans="2:3" x14ac:dyDescent="0.35">
      <c r="B95" s="8">
        <v>322</v>
      </c>
      <c r="C95" s="8">
        <v>329</v>
      </c>
    </row>
    <row r="96" spans="2:3" x14ac:dyDescent="0.35">
      <c r="B96" s="8">
        <v>326</v>
      </c>
      <c r="C96" s="8">
        <v>369</v>
      </c>
    </row>
    <row r="97" spans="2:3" x14ac:dyDescent="0.35">
      <c r="B97" s="8">
        <v>421</v>
      </c>
      <c r="C97" s="8">
        <v>457</v>
      </c>
    </row>
    <row r="98" spans="2:3" x14ac:dyDescent="0.35">
      <c r="B98" s="8">
        <v>368</v>
      </c>
      <c r="C98" s="8">
        <v>421</v>
      </c>
    </row>
    <row r="99" spans="2:3" x14ac:dyDescent="0.35">
      <c r="B99" s="8">
        <v>279</v>
      </c>
      <c r="C99" s="8">
        <v>282</v>
      </c>
    </row>
    <row r="100" spans="2:3" x14ac:dyDescent="0.3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headerFooter>
    <oddFooter>&amp;L3/20/2023&amp;CAXP Internal&amp;R57</oddFooter>
  </headerFooter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zoomScale="86" zoomScaleNormal="86" workbookViewId="0">
      <selection activeCell="K14" sqref="K14"/>
    </sheetView>
  </sheetViews>
  <sheetFormatPr defaultRowHeight="14.5" x14ac:dyDescent="0.35"/>
  <cols>
    <col min="1" max="1" width="2.81640625" customWidth="1"/>
    <col min="2" max="2" width="16" bestFit="1" customWidth="1"/>
    <col min="3" max="3" width="26.26953125" bestFit="1" customWidth="1"/>
    <col min="5" max="5" width="12.81640625" customWidth="1"/>
    <col min="6" max="6" width="11.453125" customWidth="1"/>
    <col min="8" max="8" width="11.453125" customWidth="1"/>
    <col min="11" max="11" width="18.54296875" customWidth="1"/>
    <col min="14" max="14" width="16" bestFit="1" customWidth="1"/>
    <col min="15" max="15" width="11.453125" customWidth="1"/>
  </cols>
  <sheetData>
    <row r="1" spans="2:15" ht="25.5" customHeight="1" x14ac:dyDescent="0.45">
      <c r="B1" s="18" t="s">
        <v>246</v>
      </c>
    </row>
    <row r="2" spans="2:15" ht="15" customHeight="1" x14ac:dyDescent="0.35">
      <c r="B2" s="30" t="s">
        <v>247</v>
      </c>
    </row>
    <row r="3" spans="2:15" ht="18" customHeight="1" x14ac:dyDescent="0.35"/>
    <row r="4" spans="2:15" x14ac:dyDescent="0.35">
      <c r="E4" s="3" t="s">
        <v>54</v>
      </c>
    </row>
    <row r="5" spans="2:15" x14ac:dyDescent="0.35">
      <c r="B5" s="43" t="s">
        <v>76</v>
      </c>
      <c r="C5" s="42" t="s">
        <v>243</v>
      </c>
      <c r="E5" s="121" t="s">
        <v>229</v>
      </c>
      <c r="F5" s="121"/>
      <c r="H5" s="121" t="s">
        <v>242</v>
      </c>
      <c r="I5" s="121"/>
      <c r="K5" s="121" t="s">
        <v>241</v>
      </c>
      <c r="L5" s="121"/>
      <c r="N5" s="121" t="s">
        <v>248</v>
      </c>
      <c r="O5" s="121"/>
    </row>
    <row r="6" spans="2:15" x14ac:dyDescent="0.35">
      <c r="B6" s="51">
        <v>68.400000000000006</v>
      </c>
      <c r="C6" s="51">
        <v>24</v>
      </c>
      <c r="E6" s="20" t="s">
        <v>230</v>
      </c>
      <c r="F6" s="87">
        <f>PEARSON(C6:C100,B6:B100)</f>
        <v>0.92556272300776632</v>
      </c>
      <c r="H6" s="20" t="s">
        <v>239</v>
      </c>
      <c r="I6" s="75">
        <f>INTERCEPT(C6:C100,B6:B100)</f>
        <v>-223.4190539652177</v>
      </c>
      <c r="K6" s="20" t="s">
        <v>231</v>
      </c>
      <c r="L6" s="71">
        <v>90</v>
      </c>
      <c r="N6" s="58" t="s">
        <v>249</v>
      </c>
      <c r="O6" s="97" cm="1">
        <f t="array" ref="O6">SUMSQ(C6:C100-FORECAST(B6:B100,C6:C100,B6:B100))</f>
        <v>11848.737688059424</v>
      </c>
    </row>
    <row r="7" spans="2:15" x14ac:dyDescent="0.35">
      <c r="B7" s="8">
        <v>62.1</v>
      </c>
      <c r="C7" s="51">
        <v>-13</v>
      </c>
      <c r="H7" s="20" t="s">
        <v>240</v>
      </c>
      <c r="I7" s="87">
        <f>SLOPE(C6:C100,B6:B100)</f>
        <v>3.6394257812138537</v>
      </c>
      <c r="K7" s="20" t="s">
        <v>255</v>
      </c>
      <c r="L7" s="72">
        <f>_xlfn.FORECAST.LINEAR(L6,C6:C100,B6:B100)</f>
        <v>104.12926634402913</v>
      </c>
      <c r="N7" s="58" t="s">
        <v>250</v>
      </c>
      <c r="O7" s="97" cm="1">
        <f t="array" ref="O7">SUMSQ(C6:C100-AVERAGE(C6:C100))</f>
        <v>82665.431578947362</v>
      </c>
    </row>
    <row r="8" spans="2:15" x14ac:dyDescent="0.35">
      <c r="B8" s="8">
        <v>70.2</v>
      </c>
      <c r="C8" s="51">
        <v>18</v>
      </c>
      <c r="N8" s="20" t="s">
        <v>251</v>
      </c>
      <c r="O8" s="87">
        <f>RSQ(C6:C100,B6:B100)</f>
        <v>0.85666635422155113</v>
      </c>
    </row>
    <row r="9" spans="2:15" x14ac:dyDescent="0.35">
      <c r="B9" s="8">
        <v>75.099999999999994</v>
      </c>
      <c r="C9" s="51">
        <v>46</v>
      </c>
      <c r="K9" s="20"/>
      <c r="L9" s="21"/>
      <c r="N9" s="58" t="s">
        <v>254</v>
      </c>
      <c r="O9" s="97">
        <f>O6/COUNT(C6:C100)-1-1</f>
        <v>122.72355461115183</v>
      </c>
    </row>
    <row r="10" spans="2:15" x14ac:dyDescent="0.35">
      <c r="B10" s="8">
        <v>60.9</v>
      </c>
      <c r="C10" s="51">
        <v>4</v>
      </c>
      <c r="N10" s="20" t="s">
        <v>146</v>
      </c>
      <c r="O10" s="75">
        <f>SQRT(O9)</f>
        <v>11.078066375101379</v>
      </c>
    </row>
    <row r="11" spans="2:15" x14ac:dyDescent="0.35">
      <c r="B11" s="8">
        <v>74.5</v>
      </c>
      <c r="C11" s="51">
        <v>64</v>
      </c>
      <c r="N11" s="20" t="s">
        <v>143</v>
      </c>
      <c r="O11" s="71">
        <f>0.05</f>
        <v>0.05</v>
      </c>
    </row>
    <row r="12" spans="2:15" x14ac:dyDescent="0.35">
      <c r="B12" s="8">
        <v>76.400000000000006</v>
      </c>
      <c r="C12" s="51">
        <v>61</v>
      </c>
      <c r="N12" s="58" t="s">
        <v>253</v>
      </c>
      <c r="O12" s="97">
        <f>O7-O6/1</f>
        <v>70816.693890887938</v>
      </c>
    </row>
    <row r="13" spans="2:15" x14ac:dyDescent="0.35">
      <c r="B13" s="8">
        <v>82.6</v>
      </c>
      <c r="C13" s="51">
        <v>55</v>
      </c>
      <c r="N13" s="20" t="s">
        <v>252</v>
      </c>
      <c r="O13" s="75">
        <f>O12/O9</f>
        <v>577.04239512349375</v>
      </c>
    </row>
    <row r="14" spans="2:15" x14ac:dyDescent="0.35">
      <c r="B14" s="8">
        <v>76.900000000000006</v>
      </c>
      <c r="C14" s="51">
        <v>72</v>
      </c>
      <c r="N14" s="20" t="s">
        <v>207</v>
      </c>
      <c r="O14" s="70">
        <f>_xlfn.F.DIST.RT(O13,1,COUNT(C6:C100)-1-1)</f>
        <v>1.1720486942966579E-41</v>
      </c>
    </row>
    <row r="15" spans="2:15" x14ac:dyDescent="0.35">
      <c r="B15" s="8">
        <v>83.3</v>
      </c>
      <c r="C15" s="51">
        <v>59</v>
      </c>
    </row>
    <row r="16" spans="2:15" x14ac:dyDescent="0.35">
      <c r="B16" s="8">
        <v>75.8</v>
      </c>
      <c r="C16" s="51">
        <v>50</v>
      </c>
    </row>
    <row r="17" spans="2:13" x14ac:dyDescent="0.35">
      <c r="B17" s="8">
        <v>76</v>
      </c>
      <c r="C17" s="51">
        <v>46</v>
      </c>
    </row>
    <row r="18" spans="2:13" x14ac:dyDescent="0.35">
      <c r="B18" s="8">
        <v>62.8</v>
      </c>
      <c r="C18" s="51">
        <v>-11</v>
      </c>
      <c r="M18" s="129" t="s">
        <v>387</v>
      </c>
    </row>
    <row r="19" spans="2:13" x14ac:dyDescent="0.35">
      <c r="B19" s="8">
        <v>82.8</v>
      </c>
      <c r="C19" s="51">
        <v>85</v>
      </c>
    </row>
    <row r="20" spans="2:13" x14ac:dyDescent="0.35">
      <c r="B20" s="8">
        <v>76</v>
      </c>
      <c r="C20" s="51">
        <v>59</v>
      </c>
    </row>
    <row r="21" spans="2:13" x14ac:dyDescent="0.35">
      <c r="B21" s="8">
        <v>76.900000000000006</v>
      </c>
      <c r="C21" s="51">
        <v>58</v>
      </c>
    </row>
    <row r="22" spans="2:13" x14ac:dyDescent="0.35">
      <c r="B22" s="8">
        <v>75.8</v>
      </c>
      <c r="C22" s="51">
        <v>60</v>
      </c>
    </row>
    <row r="23" spans="2:13" x14ac:dyDescent="0.35">
      <c r="B23" s="8">
        <v>78</v>
      </c>
      <c r="C23" s="51">
        <v>50</v>
      </c>
    </row>
    <row r="24" spans="2:13" x14ac:dyDescent="0.35">
      <c r="B24" s="8">
        <v>82.4</v>
      </c>
      <c r="C24" s="51">
        <v>89</v>
      </c>
    </row>
    <row r="25" spans="2:13" x14ac:dyDescent="0.35">
      <c r="B25" s="8">
        <v>76.2</v>
      </c>
      <c r="C25" s="51">
        <v>38</v>
      </c>
    </row>
    <row r="26" spans="2:13" x14ac:dyDescent="0.35">
      <c r="B26" s="8">
        <v>62.5</v>
      </c>
      <c r="C26" s="51">
        <v>12</v>
      </c>
    </row>
    <row r="27" spans="2:13" x14ac:dyDescent="0.35">
      <c r="B27" s="8">
        <v>78</v>
      </c>
      <c r="C27" s="51">
        <v>55</v>
      </c>
    </row>
    <row r="28" spans="2:13" x14ac:dyDescent="0.35">
      <c r="B28" s="8">
        <v>66.5</v>
      </c>
      <c r="C28" s="51">
        <v>24</v>
      </c>
    </row>
    <row r="29" spans="2:13" x14ac:dyDescent="0.35">
      <c r="B29" s="8">
        <v>63.5</v>
      </c>
      <c r="C29" s="51">
        <v>4</v>
      </c>
    </row>
    <row r="30" spans="2:13" x14ac:dyDescent="0.35">
      <c r="B30" s="8">
        <v>82.6</v>
      </c>
      <c r="C30" s="51">
        <v>72</v>
      </c>
    </row>
    <row r="31" spans="2:13" x14ac:dyDescent="0.35">
      <c r="B31" s="8">
        <v>79.2</v>
      </c>
      <c r="C31" s="51">
        <v>65</v>
      </c>
    </row>
    <row r="32" spans="2:13" x14ac:dyDescent="0.35">
      <c r="B32" s="8">
        <v>75</v>
      </c>
      <c r="C32" s="51">
        <v>48</v>
      </c>
    </row>
    <row r="33" spans="2:3" x14ac:dyDescent="0.35">
      <c r="B33" s="8">
        <v>74.400000000000006</v>
      </c>
      <c r="C33" s="51">
        <v>41</v>
      </c>
    </row>
    <row r="34" spans="2:3" x14ac:dyDescent="0.35">
      <c r="B34" s="8">
        <v>67.900000000000006</v>
      </c>
      <c r="C34" s="51">
        <v>26</v>
      </c>
    </row>
    <row r="35" spans="2:3" x14ac:dyDescent="0.35">
      <c r="B35" s="8">
        <v>76.8</v>
      </c>
      <c r="C35" s="51">
        <v>54</v>
      </c>
    </row>
    <row r="36" spans="2:3" x14ac:dyDescent="0.35">
      <c r="B36" s="8">
        <v>83</v>
      </c>
      <c r="C36" s="51">
        <v>64</v>
      </c>
    </row>
    <row r="37" spans="2:3" x14ac:dyDescent="0.35">
      <c r="B37" s="8">
        <v>88.9</v>
      </c>
      <c r="C37" s="51">
        <v>101</v>
      </c>
    </row>
    <row r="38" spans="2:3" x14ac:dyDescent="0.35">
      <c r="B38" s="8">
        <v>76.5</v>
      </c>
      <c r="C38" s="51">
        <v>76</v>
      </c>
    </row>
    <row r="39" spans="2:3" x14ac:dyDescent="0.35">
      <c r="B39" s="8">
        <v>79.900000000000006</v>
      </c>
      <c r="C39" s="51">
        <v>72</v>
      </c>
    </row>
    <row r="40" spans="2:3" x14ac:dyDescent="0.35">
      <c r="B40" s="8">
        <v>70.400000000000006</v>
      </c>
      <c r="C40" s="51">
        <v>24</v>
      </c>
    </row>
    <row r="41" spans="2:3" x14ac:dyDescent="0.35">
      <c r="B41" s="8">
        <v>83.4</v>
      </c>
      <c r="C41" s="51">
        <v>75</v>
      </c>
    </row>
    <row r="42" spans="2:3" x14ac:dyDescent="0.35">
      <c r="B42" s="8">
        <v>79.2</v>
      </c>
      <c r="C42" s="51">
        <v>79</v>
      </c>
    </row>
    <row r="43" spans="2:3" x14ac:dyDescent="0.35">
      <c r="B43" s="8">
        <v>61.2</v>
      </c>
      <c r="C43" s="51">
        <v>-7</v>
      </c>
    </row>
    <row r="44" spans="2:3" x14ac:dyDescent="0.35">
      <c r="B44" s="8">
        <v>64</v>
      </c>
      <c r="C44" s="51">
        <v>22</v>
      </c>
    </row>
    <row r="45" spans="2:3" x14ac:dyDescent="0.35">
      <c r="B45" s="8">
        <v>68</v>
      </c>
      <c r="C45" s="51">
        <v>13</v>
      </c>
    </row>
    <row r="46" spans="2:3" x14ac:dyDescent="0.35">
      <c r="B46" s="8">
        <v>78.5</v>
      </c>
      <c r="C46" s="51">
        <v>64</v>
      </c>
    </row>
    <row r="47" spans="2:3" x14ac:dyDescent="0.35">
      <c r="B47" s="8">
        <v>83</v>
      </c>
      <c r="C47" s="51">
        <v>90</v>
      </c>
    </row>
    <row r="48" spans="2:3" x14ac:dyDescent="0.35">
      <c r="B48" s="8">
        <v>75.2</v>
      </c>
      <c r="C48" s="51">
        <v>58</v>
      </c>
    </row>
    <row r="49" spans="2:3" x14ac:dyDescent="0.35">
      <c r="B49" s="8">
        <v>68.099999999999994</v>
      </c>
      <c r="C49" s="51">
        <v>22</v>
      </c>
    </row>
    <row r="50" spans="2:3" x14ac:dyDescent="0.35">
      <c r="B50" s="8">
        <v>93.6</v>
      </c>
      <c r="C50" s="51">
        <v>121</v>
      </c>
    </row>
    <row r="51" spans="2:3" x14ac:dyDescent="0.35">
      <c r="B51" s="8">
        <v>75.599999999999994</v>
      </c>
      <c r="C51" s="51">
        <v>26</v>
      </c>
    </row>
    <row r="52" spans="2:3" x14ac:dyDescent="0.35">
      <c r="B52" s="8">
        <v>82.3</v>
      </c>
      <c r="C52" s="51">
        <v>79</v>
      </c>
    </row>
    <row r="53" spans="2:3" x14ac:dyDescent="0.35">
      <c r="B53" s="8">
        <v>71.400000000000006</v>
      </c>
      <c r="C53" s="51">
        <v>26</v>
      </c>
    </row>
    <row r="54" spans="2:3" x14ac:dyDescent="0.35">
      <c r="B54" s="8">
        <v>71.900000000000006</v>
      </c>
      <c r="C54" s="51">
        <v>44</v>
      </c>
    </row>
    <row r="55" spans="2:3" x14ac:dyDescent="0.35">
      <c r="B55" s="8">
        <v>79.099999999999994</v>
      </c>
      <c r="C55" s="51">
        <v>60</v>
      </c>
    </row>
    <row r="56" spans="2:3" x14ac:dyDescent="0.35">
      <c r="B56" s="8">
        <v>88.7</v>
      </c>
      <c r="C56" s="51">
        <v>87</v>
      </c>
    </row>
    <row r="57" spans="2:3" x14ac:dyDescent="0.35">
      <c r="B57" s="8">
        <v>69.400000000000006</v>
      </c>
      <c r="C57" s="51">
        <v>46</v>
      </c>
    </row>
    <row r="58" spans="2:3" x14ac:dyDescent="0.35">
      <c r="B58" s="8">
        <v>80.3</v>
      </c>
      <c r="C58" s="51">
        <v>80</v>
      </c>
    </row>
    <row r="59" spans="2:3" x14ac:dyDescent="0.35">
      <c r="B59" s="8">
        <v>83</v>
      </c>
      <c r="C59" s="51">
        <v>68</v>
      </c>
    </row>
    <row r="60" spans="2:3" x14ac:dyDescent="0.35">
      <c r="B60" s="8">
        <v>74.099999999999994</v>
      </c>
      <c r="C60" s="51">
        <v>46</v>
      </c>
    </row>
    <row r="61" spans="2:3" x14ac:dyDescent="0.35">
      <c r="B61" s="8">
        <v>79.400000000000006</v>
      </c>
      <c r="C61" s="51">
        <v>76</v>
      </c>
    </row>
    <row r="62" spans="2:3" x14ac:dyDescent="0.35">
      <c r="B62" s="8">
        <v>88.1</v>
      </c>
      <c r="C62" s="51">
        <v>115</v>
      </c>
    </row>
    <row r="63" spans="2:3" x14ac:dyDescent="0.35">
      <c r="B63" s="8">
        <v>74.599999999999994</v>
      </c>
      <c r="C63" s="51">
        <v>37</v>
      </c>
    </row>
    <row r="64" spans="2:3" x14ac:dyDescent="0.35">
      <c r="B64" s="8">
        <v>87.1</v>
      </c>
      <c r="C64" s="51">
        <v>77</v>
      </c>
    </row>
    <row r="65" spans="2:3" x14ac:dyDescent="0.35">
      <c r="B65" s="8">
        <v>79.7</v>
      </c>
      <c r="C65" s="51">
        <v>70</v>
      </c>
    </row>
    <row r="66" spans="2:3" x14ac:dyDescent="0.35">
      <c r="B66" s="8">
        <v>82.1</v>
      </c>
      <c r="C66" s="51">
        <v>96</v>
      </c>
    </row>
    <row r="67" spans="2:3" x14ac:dyDescent="0.35">
      <c r="B67" s="8">
        <v>70.2</v>
      </c>
      <c r="C67" s="51">
        <v>19</v>
      </c>
    </row>
    <row r="68" spans="2:3" x14ac:dyDescent="0.35">
      <c r="B68" s="8">
        <v>81.7</v>
      </c>
      <c r="C68" s="51">
        <v>69</v>
      </c>
    </row>
    <row r="69" spans="2:3" x14ac:dyDescent="0.35">
      <c r="B69" s="8">
        <v>76.099999999999994</v>
      </c>
      <c r="C69" s="51">
        <v>52</v>
      </c>
    </row>
    <row r="70" spans="2:3" x14ac:dyDescent="0.35">
      <c r="B70" s="8">
        <v>65.400000000000006</v>
      </c>
      <c r="C70" s="51">
        <v>7</v>
      </c>
    </row>
    <row r="71" spans="2:3" x14ac:dyDescent="0.35">
      <c r="B71" s="8">
        <v>70.099999999999994</v>
      </c>
      <c r="C71" s="51">
        <v>31</v>
      </c>
    </row>
    <row r="72" spans="2:3" x14ac:dyDescent="0.35">
      <c r="B72" s="8">
        <v>75.3</v>
      </c>
      <c r="C72" s="51">
        <v>63</v>
      </c>
    </row>
    <row r="73" spans="2:3" x14ac:dyDescent="0.35">
      <c r="B73" s="8">
        <v>68.7</v>
      </c>
      <c r="C73" s="51">
        <v>24</v>
      </c>
    </row>
    <row r="74" spans="2:3" x14ac:dyDescent="0.35">
      <c r="B74" s="8">
        <v>75.7</v>
      </c>
      <c r="C74" s="51">
        <v>33</v>
      </c>
    </row>
    <row r="75" spans="2:3" x14ac:dyDescent="0.35">
      <c r="B75" s="8">
        <v>68.7</v>
      </c>
      <c r="C75" s="51">
        <v>41</v>
      </c>
    </row>
    <row r="76" spans="2:3" x14ac:dyDescent="0.35">
      <c r="B76" s="8">
        <v>70.400000000000006</v>
      </c>
      <c r="C76" s="51">
        <v>43</v>
      </c>
    </row>
    <row r="77" spans="2:3" x14ac:dyDescent="0.35">
      <c r="B77" s="8">
        <v>68.3</v>
      </c>
      <c r="C77" s="51">
        <v>37</v>
      </c>
    </row>
    <row r="78" spans="2:3" x14ac:dyDescent="0.35">
      <c r="B78" s="8">
        <v>71.7</v>
      </c>
      <c r="C78" s="51">
        <v>29</v>
      </c>
    </row>
    <row r="79" spans="2:3" x14ac:dyDescent="0.35">
      <c r="B79" s="8">
        <v>70.900000000000006</v>
      </c>
      <c r="C79" s="51">
        <v>52</v>
      </c>
    </row>
    <row r="80" spans="2:3" x14ac:dyDescent="0.35">
      <c r="B80" s="8">
        <v>66.3</v>
      </c>
      <c r="C80" s="51">
        <v>37</v>
      </c>
    </row>
    <row r="81" spans="2:3" x14ac:dyDescent="0.35">
      <c r="B81" s="8">
        <v>65.3</v>
      </c>
      <c r="C81" s="51">
        <v>19</v>
      </c>
    </row>
    <row r="82" spans="2:3" x14ac:dyDescent="0.35">
      <c r="B82" s="8">
        <v>75.7</v>
      </c>
      <c r="C82" s="51">
        <v>45</v>
      </c>
    </row>
    <row r="83" spans="2:3" x14ac:dyDescent="0.35">
      <c r="B83" s="8">
        <v>66</v>
      </c>
      <c r="C83" s="51">
        <v>23</v>
      </c>
    </row>
    <row r="84" spans="2:3" x14ac:dyDescent="0.35">
      <c r="B84" s="8">
        <v>78.900000000000006</v>
      </c>
      <c r="C84" s="51">
        <v>56</v>
      </c>
    </row>
    <row r="85" spans="2:3" x14ac:dyDescent="0.35">
      <c r="B85" s="8">
        <v>74</v>
      </c>
      <c r="C85" s="51">
        <v>49</v>
      </c>
    </row>
    <row r="86" spans="2:3" x14ac:dyDescent="0.35">
      <c r="B86" s="8">
        <v>74.599999999999994</v>
      </c>
      <c r="C86" s="51">
        <v>61</v>
      </c>
    </row>
    <row r="87" spans="2:3" x14ac:dyDescent="0.35">
      <c r="B87" s="8">
        <v>79.3</v>
      </c>
      <c r="C87" s="51">
        <v>73</v>
      </c>
    </row>
    <row r="88" spans="2:3" x14ac:dyDescent="0.35">
      <c r="B88" s="8">
        <v>70.099999999999994</v>
      </c>
      <c r="C88" s="51">
        <v>35</v>
      </c>
    </row>
    <row r="89" spans="2:3" x14ac:dyDescent="0.35">
      <c r="B89" s="8">
        <v>88.8</v>
      </c>
      <c r="C89" s="51">
        <v>104</v>
      </c>
    </row>
    <row r="90" spans="2:3" x14ac:dyDescent="0.35">
      <c r="B90" s="8">
        <v>66</v>
      </c>
      <c r="C90" s="51">
        <v>20</v>
      </c>
    </row>
    <row r="91" spans="2:3" x14ac:dyDescent="0.35">
      <c r="B91" s="8">
        <v>82.9</v>
      </c>
      <c r="C91" s="51">
        <v>81</v>
      </c>
    </row>
    <row r="92" spans="2:3" x14ac:dyDescent="0.35">
      <c r="B92" s="8">
        <v>100</v>
      </c>
      <c r="C92" s="51">
        <v>139</v>
      </c>
    </row>
    <row r="93" spans="2:3" x14ac:dyDescent="0.35">
      <c r="B93" s="8">
        <v>75.599999999999994</v>
      </c>
      <c r="C93" s="51">
        <v>60</v>
      </c>
    </row>
    <row r="94" spans="2:3" x14ac:dyDescent="0.35">
      <c r="B94" s="8">
        <v>67.5</v>
      </c>
      <c r="C94" s="51">
        <v>43</v>
      </c>
    </row>
    <row r="95" spans="2:3" x14ac:dyDescent="0.35">
      <c r="B95" s="8">
        <v>68.7</v>
      </c>
      <c r="C95" s="51">
        <v>7</v>
      </c>
    </row>
    <row r="96" spans="2:3" x14ac:dyDescent="0.35">
      <c r="B96" s="8">
        <v>76</v>
      </c>
      <c r="C96" s="51">
        <v>43</v>
      </c>
    </row>
    <row r="97" spans="2:3" x14ac:dyDescent="0.35">
      <c r="B97" s="8">
        <v>67.7</v>
      </c>
      <c r="C97" s="51">
        <v>36</v>
      </c>
    </row>
    <row r="98" spans="2:3" x14ac:dyDescent="0.35">
      <c r="B98" s="8">
        <v>75.3</v>
      </c>
      <c r="C98" s="51">
        <v>53</v>
      </c>
    </row>
    <row r="99" spans="2:3" x14ac:dyDescent="0.35">
      <c r="B99" s="8">
        <v>68.099999999999994</v>
      </c>
      <c r="C99" s="51">
        <v>3</v>
      </c>
    </row>
    <row r="100" spans="2:3" x14ac:dyDescent="0.35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headerFooter>
    <oddFooter>&amp;L3/20/2023&amp;CAXP Internal&amp;R58</oddFooter>
  </headerFooter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V118"/>
  <sheetViews>
    <sheetView showGridLines="0" topLeftCell="J1" workbookViewId="0">
      <selection activeCell="K8" sqref="K8"/>
    </sheetView>
  </sheetViews>
  <sheetFormatPr defaultRowHeight="14.5" x14ac:dyDescent="0.35"/>
  <cols>
    <col min="1" max="1" width="2.81640625" customWidth="1"/>
    <col min="2" max="2" width="20.7265625" bestFit="1" customWidth="1"/>
    <col min="3" max="3" width="19.26953125" bestFit="1" customWidth="1"/>
    <col min="5" max="5" width="14.26953125" customWidth="1"/>
    <col min="8" max="8" width="11.453125" customWidth="1"/>
    <col min="11" max="11" width="16" bestFit="1" customWidth="1"/>
    <col min="12" max="12" width="11.453125" customWidth="1"/>
    <col min="14" max="14" width="17.26953125" bestFit="1" customWidth="1"/>
    <col min="15" max="15" width="12.6328125" bestFit="1" customWidth="1"/>
    <col min="16" max="16" width="13.54296875" bestFit="1" customWidth="1"/>
  </cols>
  <sheetData>
    <row r="1" spans="2:22" ht="25.5" customHeight="1" x14ac:dyDescent="0.45">
      <c r="B1" s="18" t="s">
        <v>245</v>
      </c>
      <c r="N1" t="s">
        <v>388</v>
      </c>
    </row>
    <row r="2" spans="2:22" ht="15" customHeight="1" thickBot="1" x14ac:dyDescent="0.4">
      <c r="B2" s="30" t="s">
        <v>266</v>
      </c>
    </row>
    <row r="3" spans="2:22" ht="18" customHeight="1" x14ac:dyDescent="0.35">
      <c r="N3" s="133" t="s">
        <v>389</v>
      </c>
      <c r="O3" s="133"/>
    </row>
    <row r="4" spans="2:22" x14ac:dyDescent="0.35">
      <c r="E4" s="3" t="s">
        <v>54</v>
      </c>
      <c r="N4" s="130" t="s">
        <v>390</v>
      </c>
      <c r="O4" s="130">
        <v>0.94928686512983884</v>
      </c>
    </row>
    <row r="5" spans="2:22" x14ac:dyDescent="0.35">
      <c r="B5" s="43" t="s">
        <v>22</v>
      </c>
      <c r="C5" s="43" t="s">
        <v>23</v>
      </c>
      <c r="E5" s="121" t="s">
        <v>229</v>
      </c>
      <c r="F5" s="121"/>
      <c r="H5" s="121" t="s">
        <v>242</v>
      </c>
      <c r="I5" s="121"/>
      <c r="K5" s="121" t="s">
        <v>248</v>
      </c>
      <c r="L5" s="121"/>
      <c r="N5" s="130" t="s">
        <v>391</v>
      </c>
      <c r="O5" s="130">
        <v>0.90114555230803683</v>
      </c>
    </row>
    <row r="6" spans="2:22" x14ac:dyDescent="0.3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58" t="s">
        <v>249</v>
      </c>
      <c r="L6" s="97" cm="1">
        <f t="array" ref="L6">SUMSQ(C6:C100-_xlfn.FORECAST.LINEAR(B6:B100,C6:C100,B6:B100))</f>
        <v>81929.289620086478</v>
      </c>
      <c r="N6" s="130" t="s">
        <v>392</v>
      </c>
      <c r="O6" s="130">
        <v>0.90007104744181987</v>
      </c>
    </row>
    <row r="7" spans="2:22" x14ac:dyDescent="0.3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58" t="s">
        <v>250</v>
      </c>
      <c r="L7" s="97" cm="1">
        <f t="array" ref="L7">SUMSQ(C6:C100-AVERAGE(C6:C100))</f>
        <v>822141.5368421051</v>
      </c>
      <c r="N7" s="130" t="s">
        <v>258</v>
      </c>
      <c r="O7" s="130">
        <v>29.718708251909501</v>
      </c>
    </row>
    <row r="8" spans="2:22" ht="15" thickBot="1" x14ac:dyDescent="0.4">
      <c r="B8" s="8">
        <v>101</v>
      </c>
      <c r="C8" s="8">
        <v>119</v>
      </c>
      <c r="K8" s="20" t="s">
        <v>251</v>
      </c>
      <c r="L8" s="87">
        <f>RSQ(C6:C100,B6:B100)</f>
        <v>0.90034649029559788</v>
      </c>
      <c r="N8" s="131" t="s">
        <v>393</v>
      </c>
      <c r="O8" s="131">
        <v>94</v>
      </c>
    </row>
    <row r="9" spans="2:22" x14ac:dyDescent="0.35">
      <c r="B9" s="8">
        <v>288</v>
      </c>
      <c r="C9" s="8">
        <v>334</v>
      </c>
      <c r="K9" s="58" t="s">
        <v>254</v>
      </c>
      <c r="L9" s="97">
        <f>L6/(COUNT(C6:C100)-1-1)</f>
        <v>880.96010344179012</v>
      </c>
    </row>
    <row r="10" spans="2:22" ht="15" thickBot="1" x14ac:dyDescent="0.4">
      <c r="B10" s="8">
        <v>248</v>
      </c>
      <c r="C10" s="8">
        <v>252</v>
      </c>
      <c r="K10" s="20" t="s">
        <v>146</v>
      </c>
      <c r="L10" s="75">
        <f>STEYX(C6:C100,B6:B100)</f>
        <v>29.680972077103387</v>
      </c>
      <c r="N10" t="s">
        <v>394</v>
      </c>
    </row>
    <row r="11" spans="2:22" x14ac:dyDescent="0.35">
      <c r="B11" s="8">
        <v>145</v>
      </c>
      <c r="C11" s="8">
        <v>209</v>
      </c>
      <c r="K11" s="20" t="s">
        <v>143</v>
      </c>
      <c r="L11" s="71">
        <v>0.05</v>
      </c>
      <c r="N11" s="132"/>
      <c r="O11" s="132" t="s">
        <v>399</v>
      </c>
      <c r="P11" s="132" t="s">
        <v>400</v>
      </c>
      <c r="Q11" s="132" t="s">
        <v>401</v>
      </c>
      <c r="R11" s="132" t="s">
        <v>402</v>
      </c>
      <c r="S11" s="132" t="s">
        <v>403</v>
      </c>
    </row>
    <row r="12" spans="2:22" x14ac:dyDescent="0.35">
      <c r="B12" s="8">
        <v>401</v>
      </c>
      <c r="C12" s="8">
        <v>462</v>
      </c>
      <c r="K12" s="58" t="s">
        <v>253</v>
      </c>
      <c r="L12" s="97">
        <f>(L7-L6)/1</f>
        <v>740212.24722201866</v>
      </c>
      <c r="N12" s="130" t="s">
        <v>395</v>
      </c>
      <c r="O12" s="130">
        <v>1</v>
      </c>
      <c r="P12" s="130">
        <v>740706.94030678738</v>
      </c>
      <c r="Q12" s="130">
        <v>740706.94030678738</v>
      </c>
      <c r="R12" s="130">
        <v>838.66121098241274</v>
      </c>
      <c r="S12" s="130">
        <v>5.1379397224252298E-48</v>
      </c>
    </row>
    <row r="13" spans="2:22" x14ac:dyDescent="0.35">
      <c r="B13" s="8">
        <v>287</v>
      </c>
      <c r="C13" s="8">
        <v>342</v>
      </c>
      <c r="K13" s="20" t="s">
        <v>252</v>
      </c>
      <c r="L13" s="75">
        <f>L12/L9</f>
        <v>840.23356373360275</v>
      </c>
      <c r="N13" s="130" t="s">
        <v>396</v>
      </c>
      <c r="O13" s="130">
        <v>92</v>
      </c>
      <c r="P13" s="130">
        <v>81254.549054914489</v>
      </c>
      <c r="Q13" s="130">
        <v>883.20162016211395</v>
      </c>
      <c r="R13" s="130"/>
      <c r="S13" s="130"/>
    </row>
    <row r="14" spans="2:22" ht="15" thickBot="1" x14ac:dyDescent="0.4">
      <c r="B14" s="8">
        <v>275</v>
      </c>
      <c r="C14" s="8">
        <v>347</v>
      </c>
      <c r="K14" s="20" t="s">
        <v>207</v>
      </c>
      <c r="L14" s="87">
        <f>_xlfn.F.DIST.RT(L13,1,COUNT(C6:C100)-1-1)</f>
        <v>2.3373706863266021E-48</v>
      </c>
      <c r="N14" s="131" t="s">
        <v>397</v>
      </c>
      <c r="O14" s="131">
        <v>93</v>
      </c>
      <c r="P14" s="131">
        <v>821961.48936170188</v>
      </c>
      <c r="Q14" s="131"/>
      <c r="R14" s="131"/>
      <c r="S14" s="131"/>
    </row>
    <row r="15" spans="2:22" ht="15" thickBot="1" x14ac:dyDescent="0.4">
      <c r="B15" s="8">
        <v>254</v>
      </c>
      <c r="C15" s="8">
        <v>313</v>
      </c>
    </row>
    <row r="16" spans="2:22" x14ac:dyDescent="0.35">
      <c r="B16" s="8">
        <v>182</v>
      </c>
      <c r="C16" s="8">
        <v>232</v>
      </c>
      <c r="N16" s="132"/>
      <c r="O16" s="132" t="s">
        <v>404</v>
      </c>
      <c r="P16" s="132" t="s">
        <v>258</v>
      </c>
      <c r="Q16" s="132" t="s">
        <v>405</v>
      </c>
      <c r="R16" s="132" t="s">
        <v>406</v>
      </c>
      <c r="S16" s="132" t="s">
        <v>407</v>
      </c>
      <c r="T16" s="132" t="s">
        <v>408</v>
      </c>
      <c r="U16" s="132" t="s">
        <v>409</v>
      </c>
      <c r="V16" s="132" t="s">
        <v>410</v>
      </c>
    </row>
    <row r="17" spans="2:22" x14ac:dyDescent="0.35">
      <c r="B17" s="8">
        <v>117</v>
      </c>
      <c r="C17" s="8">
        <v>163</v>
      </c>
      <c r="N17" s="130" t="s">
        <v>398</v>
      </c>
      <c r="O17" s="130">
        <v>41.795925313975204</v>
      </c>
      <c r="P17" s="130">
        <v>9.0857303867626324</v>
      </c>
      <c r="Q17" s="130">
        <v>4.6001723069913432</v>
      </c>
      <c r="R17" s="130">
        <v>1.345311168611025E-5</v>
      </c>
      <c r="S17" s="130">
        <v>23.750880513318844</v>
      </c>
      <c r="T17" s="130">
        <v>59.84097011463156</v>
      </c>
      <c r="U17" s="130">
        <v>23.750880513318844</v>
      </c>
      <c r="V17" s="130">
        <v>59.84097011463156</v>
      </c>
    </row>
    <row r="18" spans="2:22" ht="15" thickBot="1" x14ac:dyDescent="0.4">
      <c r="B18" s="8">
        <v>130</v>
      </c>
      <c r="C18" s="8">
        <v>119</v>
      </c>
      <c r="N18" s="131">
        <v>252</v>
      </c>
      <c r="O18" s="131">
        <v>1.0330175704550482</v>
      </c>
      <c r="P18" s="131">
        <v>3.5670929814361027E-2</v>
      </c>
      <c r="Q18" s="131">
        <v>28.959647977529251</v>
      </c>
      <c r="R18" s="131">
        <v>5.1379397224249375E-48</v>
      </c>
      <c r="S18" s="131">
        <v>0.9621720248378216</v>
      </c>
      <c r="T18" s="131">
        <v>1.1038631160722747</v>
      </c>
      <c r="U18" s="131">
        <v>0.9621720248378216</v>
      </c>
      <c r="V18" s="131">
        <v>1.1038631160722747</v>
      </c>
    </row>
    <row r="19" spans="2:22" x14ac:dyDescent="0.35">
      <c r="B19" s="8">
        <v>219</v>
      </c>
      <c r="C19" s="8">
        <v>304</v>
      </c>
    </row>
    <row r="20" spans="2:22" x14ac:dyDescent="0.35">
      <c r="B20" s="8">
        <v>152</v>
      </c>
      <c r="C20" s="8">
        <v>211</v>
      </c>
    </row>
    <row r="21" spans="2:22" x14ac:dyDescent="0.35">
      <c r="B21" s="8">
        <v>228</v>
      </c>
      <c r="C21" s="8">
        <v>286</v>
      </c>
    </row>
    <row r="22" spans="2:22" x14ac:dyDescent="0.35">
      <c r="B22" s="8">
        <v>62</v>
      </c>
      <c r="C22" s="8">
        <v>122</v>
      </c>
      <c r="N22" t="s">
        <v>411</v>
      </c>
    </row>
    <row r="23" spans="2:22" ht="15" thickBot="1" x14ac:dyDescent="0.4">
      <c r="B23" s="8">
        <v>393</v>
      </c>
      <c r="C23" s="8">
        <v>443</v>
      </c>
    </row>
    <row r="24" spans="2:22" x14ac:dyDescent="0.35">
      <c r="B24" s="8">
        <v>277</v>
      </c>
      <c r="C24" s="8">
        <v>366</v>
      </c>
      <c r="N24" s="132" t="s">
        <v>412</v>
      </c>
      <c r="O24" s="132" t="s">
        <v>413</v>
      </c>
      <c r="P24" s="132" t="s">
        <v>414</v>
      </c>
    </row>
    <row r="25" spans="2:22" x14ac:dyDescent="0.35">
      <c r="B25" s="8">
        <v>206</v>
      </c>
      <c r="C25" s="8">
        <v>244</v>
      </c>
      <c r="N25" s="130">
        <v>1</v>
      </c>
      <c r="O25" s="130">
        <v>478.76235761646058</v>
      </c>
      <c r="P25" s="130">
        <v>-68.762357616460577</v>
      </c>
    </row>
    <row r="26" spans="2:22" x14ac:dyDescent="0.35">
      <c r="B26" s="8">
        <v>229</v>
      </c>
      <c r="C26" s="8">
        <v>241</v>
      </c>
      <c r="N26" s="130">
        <v>2</v>
      </c>
      <c r="O26" s="130">
        <v>146.13069992993508</v>
      </c>
      <c r="P26" s="130">
        <v>-27.130699929935076</v>
      </c>
    </row>
    <row r="27" spans="2:22" x14ac:dyDescent="0.35">
      <c r="B27" s="8">
        <v>182</v>
      </c>
      <c r="C27" s="8">
        <v>237</v>
      </c>
      <c r="N27" s="130">
        <v>3</v>
      </c>
      <c r="O27" s="130">
        <v>339.30498560502906</v>
      </c>
      <c r="P27" s="130">
        <v>-5.30498560502906</v>
      </c>
    </row>
    <row r="28" spans="2:22" x14ac:dyDescent="0.35">
      <c r="B28" s="8">
        <v>98</v>
      </c>
      <c r="C28" s="8">
        <v>122</v>
      </c>
      <c r="N28" s="130">
        <v>4</v>
      </c>
      <c r="O28" s="130">
        <v>297.98428278682712</v>
      </c>
      <c r="P28" s="130">
        <v>-45.984282786827123</v>
      </c>
    </row>
    <row r="29" spans="2:22" x14ac:dyDescent="0.35">
      <c r="B29" s="8">
        <v>125</v>
      </c>
      <c r="C29" s="8">
        <v>129</v>
      </c>
      <c r="N29" s="130">
        <v>5</v>
      </c>
      <c r="O29" s="130">
        <v>191.58347302995719</v>
      </c>
      <c r="P29" s="130">
        <v>17.41652697004281</v>
      </c>
    </row>
    <row r="30" spans="2:22" x14ac:dyDescent="0.35">
      <c r="B30" s="8">
        <v>164</v>
      </c>
      <c r="C30" s="8">
        <v>236</v>
      </c>
      <c r="N30" s="130">
        <v>6</v>
      </c>
      <c r="O30" s="130">
        <v>456.03597106644952</v>
      </c>
      <c r="P30" s="130">
        <v>5.9640289335504804</v>
      </c>
    </row>
    <row r="31" spans="2:22" x14ac:dyDescent="0.35">
      <c r="B31" s="8">
        <v>186</v>
      </c>
      <c r="C31" s="8">
        <v>251</v>
      </c>
      <c r="N31" s="130">
        <v>7</v>
      </c>
      <c r="O31" s="130">
        <v>338.271968034574</v>
      </c>
      <c r="P31" s="130">
        <v>3.7280319654259984</v>
      </c>
    </row>
    <row r="32" spans="2:22" x14ac:dyDescent="0.35">
      <c r="B32" s="8">
        <v>235</v>
      </c>
      <c r="C32" s="8">
        <v>283</v>
      </c>
      <c r="N32" s="130">
        <v>8</v>
      </c>
      <c r="O32" s="130">
        <v>325.87575718911347</v>
      </c>
      <c r="P32" s="130">
        <v>21.124242810886528</v>
      </c>
    </row>
    <row r="33" spans="2:16" x14ac:dyDescent="0.35">
      <c r="B33" s="8">
        <v>184</v>
      </c>
      <c r="C33" s="8">
        <v>225</v>
      </c>
      <c r="N33" s="130">
        <v>9</v>
      </c>
      <c r="O33" s="130">
        <v>304.18238820955742</v>
      </c>
      <c r="P33" s="130">
        <v>8.8176117904425837</v>
      </c>
    </row>
    <row r="34" spans="2:16" x14ac:dyDescent="0.35">
      <c r="B34" s="8">
        <v>76</v>
      </c>
      <c r="C34" s="8">
        <v>102</v>
      </c>
      <c r="N34" s="130">
        <v>10</v>
      </c>
      <c r="O34" s="130">
        <v>229.80512313679398</v>
      </c>
      <c r="P34" s="130">
        <v>2.1948768632060194</v>
      </c>
    </row>
    <row r="35" spans="2:16" x14ac:dyDescent="0.35">
      <c r="B35" s="8">
        <v>126</v>
      </c>
      <c r="C35" s="8">
        <v>180</v>
      </c>
      <c r="N35" s="130">
        <v>11</v>
      </c>
      <c r="O35" s="130">
        <v>162.65898105721584</v>
      </c>
      <c r="P35" s="130">
        <v>0.34101894278416012</v>
      </c>
    </row>
    <row r="36" spans="2:16" x14ac:dyDescent="0.35">
      <c r="B36" s="8">
        <v>183</v>
      </c>
      <c r="C36" s="8">
        <v>247</v>
      </c>
      <c r="N36" s="130">
        <v>12</v>
      </c>
      <c r="O36" s="130">
        <v>176.08820947313146</v>
      </c>
      <c r="P36" s="130">
        <v>-57.088209473131457</v>
      </c>
    </row>
    <row r="37" spans="2:16" x14ac:dyDescent="0.35">
      <c r="B37" s="8">
        <v>242</v>
      </c>
      <c r="C37" s="8">
        <v>343</v>
      </c>
      <c r="N37" s="130">
        <v>13</v>
      </c>
      <c r="O37" s="130">
        <v>268.02677324363071</v>
      </c>
      <c r="P37" s="130">
        <v>35.973226756369286</v>
      </c>
    </row>
    <row r="38" spans="2:16" x14ac:dyDescent="0.35">
      <c r="B38" s="8">
        <v>207</v>
      </c>
      <c r="C38" s="8">
        <v>283</v>
      </c>
      <c r="N38" s="130">
        <v>14</v>
      </c>
      <c r="O38" s="130">
        <v>198.81459602314251</v>
      </c>
      <c r="P38" s="130">
        <v>12.185403976857486</v>
      </c>
    </row>
    <row r="39" spans="2:16" x14ac:dyDescent="0.35">
      <c r="B39" s="8">
        <v>181</v>
      </c>
      <c r="C39" s="8">
        <v>253</v>
      </c>
      <c r="N39" s="130">
        <v>15</v>
      </c>
      <c r="O39" s="130">
        <v>277.32393137772618</v>
      </c>
      <c r="P39" s="130">
        <v>8.6760686222738173</v>
      </c>
    </row>
    <row r="40" spans="2:16" x14ac:dyDescent="0.35">
      <c r="B40" s="8">
        <v>239</v>
      </c>
      <c r="C40" s="8">
        <v>263</v>
      </c>
      <c r="N40" s="130">
        <v>16</v>
      </c>
      <c r="O40" s="130">
        <v>105.84301468218818</v>
      </c>
      <c r="P40" s="130">
        <v>16.156985317811817</v>
      </c>
    </row>
    <row r="41" spans="2:16" x14ac:dyDescent="0.35">
      <c r="B41" s="8">
        <v>216</v>
      </c>
      <c r="C41" s="8">
        <v>291</v>
      </c>
      <c r="N41" s="130">
        <v>17</v>
      </c>
      <c r="O41" s="130">
        <v>447.77183050280911</v>
      </c>
      <c r="P41" s="130">
        <v>-4.7718305028091095</v>
      </c>
    </row>
    <row r="42" spans="2:16" x14ac:dyDescent="0.35">
      <c r="B42" s="8">
        <v>289</v>
      </c>
      <c r="C42" s="8">
        <v>368</v>
      </c>
      <c r="N42" s="130">
        <v>18</v>
      </c>
      <c r="O42" s="130">
        <v>327.94179233002353</v>
      </c>
      <c r="P42" s="130">
        <v>38.058207669976468</v>
      </c>
    </row>
    <row r="43" spans="2:16" x14ac:dyDescent="0.35">
      <c r="B43" s="8">
        <v>213</v>
      </c>
      <c r="C43" s="8">
        <v>206</v>
      </c>
      <c r="N43" s="130">
        <v>19</v>
      </c>
      <c r="O43" s="130">
        <v>254.59754482771513</v>
      </c>
      <c r="P43" s="130">
        <v>-10.597544827715126</v>
      </c>
    </row>
    <row r="44" spans="2:16" x14ac:dyDescent="0.35">
      <c r="B44" s="8">
        <v>209</v>
      </c>
      <c r="C44" s="8">
        <v>231</v>
      </c>
      <c r="N44" s="130">
        <v>20</v>
      </c>
      <c r="O44" s="130">
        <v>278.35694894818124</v>
      </c>
      <c r="P44" s="130">
        <v>-37.356948948181241</v>
      </c>
    </row>
    <row r="45" spans="2:16" x14ac:dyDescent="0.35">
      <c r="B45" s="8">
        <v>376</v>
      </c>
      <c r="C45" s="8">
        <v>389</v>
      </c>
      <c r="N45" s="130">
        <v>21</v>
      </c>
      <c r="O45" s="130">
        <v>229.80512313679398</v>
      </c>
      <c r="P45" s="130">
        <v>7.1948768632060194</v>
      </c>
    </row>
    <row r="46" spans="2:16" x14ac:dyDescent="0.35">
      <c r="B46" s="8">
        <v>332</v>
      </c>
      <c r="C46" s="8">
        <v>396</v>
      </c>
      <c r="N46" s="130">
        <v>22</v>
      </c>
      <c r="O46" s="130">
        <v>143.03164721856993</v>
      </c>
      <c r="P46" s="130">
        <v>-21.03164721856993</v>
      </c>
    </row>
    <row r="47" spans="2:16" x14ac:dyDescent="0.35">
      <c r="B47" s="8">
        <v>249</v>
      </c>
      <c r="C47" s="8">
        <v>339</v>
      </c>
      <c r="N47" s="130">
        <v>23</v>
      </c>
      <c r="O47" s="130">
        <v>170.92312162085622</v>
      </c>
      <c r="P47" s="130">
        <v>-41.923121620856222</v>
      </c>
    </row>
    <row r="48" spans="2:16" x14ac:dyDescent="0.35">
      <c r="B48" s="8">
        <v>228</v>
      </c>
      <c r="C48" s="8">
        <v>286</v>
      </c>
      <c r="N48" s="130">
        <v>24</v>
      </c>
      <c r="O48" s="130">
        <v>211.2108068686031</v>
      </c>
      <c r="P48" s="130">
        <v>24.7891931313969</v>
      </c>
    </row>
    <row r="49" spans="2:16" x14ac:dyDescent="0.35">
      <c r="B49" s="8">
        <v>124</v>
      </c>
      <c r="C49" s="8">
        <v>146</v>
      </c>
      <c r="N49" s="130">
        <v>25</v>
      </c>
      <c r="O49" s="130">
        <v>233.93719341861416</v>
      </c>
      <c r="P49" s="130">
        <v>17.062806581385843</v>
      </c>
    </row>
    <row r="50" spans="2:16" x14ac:dyDescent="0.35">
      <c r="B50" s="8">
        <v>194</v>
      </c>
      <c r="C50" s="8">
        <v>315</v>
      </c>
      <c r="N50" s="130">
        <v>26</v>
      </c>
      <c r="O50" s="130">
        <v>284.55505437091153</v>
      </c>
      <c r="P50" s="130">
        <v>-1.5550543709115345</v>
      </c>
    </row>
    <row r="51" spans="2:16" x14ac:dyDescent="0.35">
      <c r="B51" s="8">
        <v>157</v>
      </c>
      <c r="C51" s="8">
        <v>183</v>
      </c>
      <c r="N51" s="130">
        <v>27</v>
      </c>
      <c r="O51" s="130">
        <v>231.87115827770407</v>
      </c>
      <c r="P51" s="130">
        <v>-6.871158277704069</v>
      </c>
    </row>
    <row r="52" spans="2:16" x14ac:dyDescent="0.35">
      <c r="B52" s="8">
        <v>402</v>
      </c>
      <c r="C52" s="8">
        <v>481</v>
      </c>
      <c r="N52" s="130">
        <v>28</v>
      </c>
      <c r="O52" s="130">
        <v>120.30526066855886</v>
      </c>
      <c r="P52" s="130">
        <v>-18.305260668558859</v>
      </c>
    </row>
    <row r="53" spans="2:16" x14ac:dyDescent="0.35">
      <c r="B53" s="8">
        <v>323</v>
      </c>
      <c r="C53" s="8">
        <v>349</v>
      </c>
      <c r="N53" s="130">
        <v>29</v>
      </c>
      <c r="O53" s="130">
        <v>171.95613919131128</v>
      </c>
      <c r="P53" s="130">
        <v>8.04386080868872</v>
      </c>
    </row>
    <row r="54" spans="2:16" x14ac:dyDescent="0.35">
      <c r="B54" s="8">
        <v>181</v>
      </c>
      <c r="C54" s="8">
        <v>225</v>
      </c>
      <c r="N54" s="130">
        <v>30</v>
      </c>
      <c r="O54" s="130">
        <v>230.83814070724901</v>
      </c>
      <c r="P54" s="130">
        <v>16.161859292750989</v>
      </c>
    </row>
    <row r="55" spans="2:16" x14ac:dyDescent="0.35">
      <c r="B55" s="8">
        <v>157</v>
      </c>
      <c r="C55" s="8">
        <v>217</v>
      </c>
      <c r="N55" s="130">
        <v>31</v>
      </c>
      <c r="O55" s="130">
        <v>291.78617736409683</v>
      </c>
      <c r="P55" s="130">
        <v>51.213822635903171</v>
      </c>
    </row>
    <row r="56" spans="2:16" x14ac:dyDescent="0.35">
      <c r="B56" s="8">
        <v>266</v>
      </c>
      <c r="C56" s="8">
        <v>353</v>
      </c>
      <c r="N56" s="130">
        <v>32</v>
      </c>
      <c r="O56" s="130">
        <v>255.63056239817018</v>
      </c>
      <c r="P56" s="130">
        <v>27.369437601829816</v>
      </c>
    </row>
    <row r="57" spans="2:16" x14ac:dyDescent="0.35">
      <c r="B57" s="8">
        <v>268</v>
      </c>
      <c r="C57" s="8">
        <v>314</v>
      </c>
      <c r="N57" s="130">
        <v>33</v>
      </c>
      <c r="O57" s="130">
        <v>228.77210556633892</v>
      </c>
      <c r="P57" s="130">
        <v>24.227894433661078</v>
      </c>
    </row>
    <row r="58" spans="2:16" x14ac:dyDescent="0.35">
      <c r="B58" s="8">
        <v>167</v>
      </c>
      <c r="C58" s="8">
        <v>247</v>
      </c>
      <c r="N58" s="130">
        <v>34</v>
      </c>
      <c r="O58" s="130">
        <v>288.68712465273171</v>
      </c>
      <c r="P58" s="130">
        <v>-25.687124652731711</v>
      </c>
    </row>
    <row r="59" spans="2:16" x14ac:dyDescent="0.35">
      <c r="B59" s="8">
        <v>342</v>
      </c>
      <c r="C59" s="8">
        <v>410</v>
      </c>
      <c r="N59" s="130">
        <v>35</v>
      </c>
      <c r="O59" s="130">
        <v>264.9277205322656</v>
      </c>
      <c r="P59" s="130">
        <v>26.072279467734404</v>
      </c>
    </row>
    <row r="60" spans="2:16" x14ac:dyDescent="0.35">
      <c r="B60" s="8">
        <v>349</v>
      </c>
      <c r="C60" s="8">
        <v>395</v>
      </c>
      <c r="N60" s="130">
        <v>36</v>
      </c>
      <c r="O60" s="130">
        <v>340.33800317548412</v>
      </c>
      <c r="P60" s="130">
        <v>27.661996824515882</v>
      </c>
    </row>
    <row r="61" spans="2:16" x14ac:dyDescent="0.35">
      <c r="B61" s="8">
        <v>340</v>
      </c>
      <c r="C61" s="8">
        <v>416</v>
      </c>
      <c r="N61" s="130">
        <v>37</v>
      </c>
      <c r="O61" s="130">
        <v>261.82866782090048</v>
      </c>
      <c r="P61" s="130">
        <v>-55.828667820900478</v>
      </c>
    </row>
    <row r="62" spans="2:16" x14ac:dyDescent="0.35">
      <c r="B62" s="8">
        <v>227</v>
      </c>
      <c r="C62" s="8">
        <v>342</v>
      </c>
      <c r="N62" s="130">
        <v>38</v>
      </c>
      <c r="O62" s="130">
        <v>257.69659753908024</v>
      </c>
      <c r="P62" s="130">
        <v>-26.696597539080244</v>
      </c>
    </row>
    <row r="63" spans="2:16" x14ac:dyDescent="0.35">
      <c r="B63" s="8">
        <v>409</v>
      </c>
      <c r="C63" s="8">
        <v>446</v>
      </c>
      <c r="N63" s="130">
        <v>39</v>
      </c>
      <c r="O63" s="130">
        <v>430.21053180507329</v>
      </c>
      <c r="P63" s="130">
        <v>-41.210531805073288</v>
      </c>
    </row>
    <row r="64" spans="2:16" x14ac:dyDescent="0.35">
      <c r="B64" s="8">
        <v>400</v>
      </c>
      <c r="C64" s="8">
        <v>477</v>
      </c>
      <c r="N64" s="130">
        <v>40</v>
      </c>
      <c r="O64" s="130">
        <v>384.75775870505117</v>
      </c>
      <c r="P64" s="130">
        <v>11.242241294948826</v>
      </c>
    </row>
    <row r="65" spans="2:16" x14ac:dyDescent="0.35">
      <c r="B65" s="8">
        <v>374</v>
      </c>
      <c r="C65" s="8">
        <v>444</v>
      </c>
      <c r="N65" s="130">
        <v>41</v>
      </c>
      <c r="O65" s="130">
        <v>299.01730035728218</v>
      </c>
      <c r="P65" s="130">
        <v>39.982699642717819</v>
      </c>
    </row>
    <row r="66" spans="2:16" x14ac:dyDescent="0.35">
      <c r="B66" s="8">
        <v>255</v>
      </c>
      <c r="C66" s="8">
        <v>351</v>
      </c>
      <c r="N66" s="130">
        <v>42</v>
      </c>
      <c r="O66" s="130">
        <v>277.32393137772618</v>
      </c>
      <c r="P66" s="130">
        <v>8.6760686222738173</v>
      </c>
    </row>
    <row r="67" spans="2:16" x14ac:dyDescent="0.35">
      <c r="B67" s="8">
        <v>146</v>
      </c>
      <c r="C67" s="8">
        <v>165</v>
      </c>
      <c r="N67" s="130">
        <v>43</v>
      </c>
      <c r="O67" s="130">
        <v>169.89010405040116</v>
      </c>
      <c r="P67" s="130">
        <v>-23.890104050401163</v>
      </c>
    </row>
    <row r="68" spans="2:16" x14ac:dyDescent="0.35">
      <c r="B68" s="8">
        <v>248</v>
      </c>
      <c r="C68" s="8">
        <v>317</v>
      </c>
      <c r="N68" s="130">
        <v>44</v>
      </c>
      <c r="O68" s="130">
        <v>242.20133398225454</v>
      </c>
      <c r="P68" s="130">
        <v>72.798666017745461</v>
      </c>
    </row>
    <row r="69" spans="2:16" x14ac:dyDescent="0.35">
      <c r="B69" s="8">
        <v>198</v>
      </c>
      <c r="C69" s="8">
        <v>250</v>
      </c>
      <c r="N69" s="130">
        <v>45</v>
      </c>
      <c r="O69" s="130">
        <v>203.97968387541778</v>
      </c>
      <c r="P69" s="130">
        <v>-20.979683875417777</v>
      </c>
    </row>
    <row r="70" spans="2:16" x14ac:dyDescent="0.35">
      <c r="B70" s="8">
        <v>210</v>
      </c>
      <c r="C70" s="8">
        <v>217</v>
      </c>
      <c r="N70" s="130">
        <v>46</v>
      </c>
      <c r="O70" s="130">
        <v>457.06898863690458</v>
      </c>
      <c r="P70" s="130">
        <v>23.931011363095422</v>
      </c>
    </row>
    <row r="71" spans="2:16" x14ac:dyDescent="0.35">
      <c r="B71" s="8">
        <v>107</v>
      </c>
      <c r="C71" s="8">
        <v>138</v>
      </c>
      <c r="N71" s="130">
        <v>47</v>
      </c>
      <c r="O71" s="130">
        <v>375.46060057095576</v>
      </c>
      <c r="P71" s="130">
        <v>-26.460600570955762</v>
      </c>
    </row>
    <row r="72" spans="2:16" x14ac:dyDescent="0.35">
      <c r="B72" s="8">
        <v>239</v>
      </c>
      <c r="C72" s="8">
        <v>302</v>
      </c>
      <c r="N72" s="130">
        <v>48</v>
      </c>
      <c r="O72" s="130">
        <v>228.77210556633892</v>
      </c>
      <c r="P72" s="130">
        <v>-3.7721055663389222</v>
      </c>
    </row>
    <row r="73" spans="2:16" x14ac:dyDescent="0.35">
      <c r="B73" s="8">
        <v>287</v>
      </c>
      <c r="C73" s="8">
        <v>311</v>
      </c>
      <c r="N73" s="130">
        <v>49</v>
      </c>
      <c r="O73" s="130">
        <v>203.97968387541778</v>
      </c>
      <c r="P73" s="130">
        <v>13.020316124582223</v>
      </c>
    </row>
    <row r="74" spans="2:16" x14ac:dyDescent="0.35">
      <c r="B74" s="8">
        <v>340</v>
      </c>
      <c r="C74" s="8">
        <v>373</v>
      </c>
      <c r="N74" s="130">
        <v>50</v>
      </c>
      <c r="O74" s="130">
        <v>316.578599055018</v>
      </c>
      <c r="P74" s="130">
        <v>36.421400944981997</v>
      </c>
    </row>
    <row r="75" spans="2:16" x14ac:dyDescent="0.35">
      <c r="B75" s="8">
        <v>155</v>
      </c>
      <c r="C75" s="8">
        <v>196</v>
      </c>
      <c r="N75" s="130">
        <v>51</v>
      </c>
      <c r="O75" s="130">
        <v>318.64463419592812</v>
      </c>
      <c r="P75" s="130">
        <v>-4.6446341959281199</v>
      </c>
    </row>
    <row r="76" spans="2:16" x14ac:dyDescent="0.35">
      <c r="B76" s="8">
        <v>263</v>
      </c>
      <c r="C76" s="8">
        <v>306</v>
      </c>
      <c r="N76" s="130">
        <v>52</v>
      </c>
      <c r="O76" s="130">
        <v>214.30985957996825</v>
      </c>
      <c r="P76" s="130">
        <v>32.690140420031753</v>
      </c>
    </row>
    <row r="77" spans="2:16" x14ac:dyDescent="0.35">
      <c r="B77" s="8">
        <v>265</v>
      </c>
      <c r="C77" s="8">
        <v>302</v>
      </c>
      <c r="N77" s="130">
        <v>53</v>
      </c>
      <c r="O77" s="130">
        <v>395.0879344096017</v>
      </c>
      <c r="P77" s="130">
        <v>14.912065590398299</v>
      </c>
    </row>
    <row r="78" spans="2:16" x14ac:dyDescent="0.35">
      <c r="B78" s="8">
        <v>249</v>
      </c>
      <c r="C78" s="8">
        <v>278</v>
      </c>
      <c r="N78" s="130">
        <v>54</v>
      </c>
      <c r="O78" s="130">
        <v>402.319057402787</v>
      </c>
      <c r="P78" s="130">
        <v>-7.3190574027869957</v>
      </c>
    </row>
    <row r="79" spans="2:16" x14ac:dyDescent="0.35">
      <c r="B79" s="8">
        <v>377</v>
      </c>
      <c r="C79" s="8">
        <v>429</v>
      </c>
      <c r="N79" s="130">
        <v>55</v>
      </c>
      <c r="O79" s="130">
        <v>393.02189926869158</v>
      </c>
      <c r="P79" s="130">
        <v>22.978100731308416</v>
      </c>
    </row>
    <row r="80" spans="2:16" x14ac:dyDescent="0.35">
      <c r="B80" s="8">
        <v>301</v>
      </c>
      <c r="C80" s="8">
        <v>338</v>
      </c>
      <c r="N80" s="130">
        <v>56</v>
      </c>
      <c r="O80" s="130">
        <v>276.29091380727112</v>
      </c>
      <c r="P80" s="130">
        <v>65.709086192728876</v>
      </c>
    </row>
    <row r="81" spans="2:16" x14ac:dyDescent="0.35">
      <c r="B81" s="8">
        <v>242</v>
      </c>
      <c r="C81" s="8">
        <v>261</v>
      </c>
      <c r="N81" s="130">
        <v>57</v>
      </c>
      <c r="O81" s="130">
        <v>464.30011163008993</v>
      </c>
      <c r="P81" s="130">
        <v>-18.30011163008993</v>
      </c>
    </row>
    <row r="82" spans="2:16" x14ac:dyDescent="0.35">
      <c r="B82" s="8">
        <v>211</v>
      </c>
      <c r="C82" s="8">
        <v>256</v>
      </c>
      <c r="N82" s="130">
        <v>58</v>
      </c>
      <c r="O82" s="130">
        <v>455.00295349599446</v>
      </c>
      <c r="P82" s="130">
        <v>21.997046504005539</v>
      </c>
    </row>
    <row r="83" spans="2:16" x14ac:dyDescent="0.35">
      <c r="B83" s="8">
        <v>160</v>
      </c>
      <c r="C83" s="8">
        <v>183</v>
      </c>
      <c r="N83" s="130">
        <v>59</v>
      </c>
      <c r="O83" s="130">
        <v>428.14449666416323</v>
      </c>
      <c r="P83" s="130">
        <v>15.855503335836772</v>
      </c>
    </row>
    <row r="84" spans="2:16" x14ac:dyDescent="0.35">
      <c r="B84" s="8">
        <v>218</v>
      </c>
      <c r="C84" s="8">
        <v>274</v>
      </c>
      <c r="N84" s="130">
        <v>60</v>
      </c>
      <c r="O84" s="130">
        <v>305.21540578001247</v>
      </c>
      <c r="P84" s="130">
        <v>45.784594219987525</v>
      </c>
    </row>
    <row r="85" spans="2:16" x14ac:dyDescent="0.35">
      <c r="B85" s="8">
        <v>133</v>
      </c>
      <c r="C85" s="8">
        <v>182</v>
      </c>
      <c r="N85" s="130">
        <v>61</v>
      </c>
      <c r="O85" s="130">
        <v>192.61649060041225</v>
      </c>
      <c r="P85" s="130">
        <v>-27.616490600412249</v>
      </c>
    </row>
    <row r="86" spans="2:16" x14ac:dyDescent="0.35">
      <c r="B86" s="8">
        <v>122</v>
      </c>
      <c r="C86" s="8">
        <v>183</v>
      </c>
      <c r="N86" s="130">
        <v>62</v>
      </c>
      <c r="O86" s="130">
        <v>297.98428278682712</v>
      </c>
      <c r="P86" s="130">
        <v>19.015717213172877</v>
      </c>
    </row>
    <row r="87" spans="2:16" x14ac:dyDescent="0.35">
      <c r="B87" s="8">
        <v>236</v>
      </c>
      <c r="C87" s="8">
        <v>309</v>
      </c>
      <c r="N87" s="130">
        <v>63</v>
      </c>
      <c r="O87" s="130">
        <v>246.33340426407474</v>
      </c>
      <c r="P87" s="130">
        <v>3.6665957359252559</v>
      </c>
    </row>
    <row r="88" spans="2:16" x14ac:dyDescent="0.35">
      <c r="B88" s="8">
        <v>143</v>
      </c>
      <c r="C88" s="8">
        <v>178</v>
      </c>
      <c r="N88" s="130">
        <v>64</v>
      </c>
      <c r="O88" s="130">
        <v>258.7296151095353</v>
      </c>
      <c r="P88" s="130">
        <v>-41.729615109535303</v>
      </c>
    </row>
    <row r="89" spans="2:16" x14ac:dyDescent="0.35">
      <c r="B89" s="8">
        <v>354</v>
      </c>
      <c r="C89" s="8">
        <v>458</v>
      </c>
      <c r="N89" s="130">
        <v>65</v>
      </c>
      <c r="O89" s="130">
        <v>152.32880535266537</v>
      </c>
      <c r="P89" s="130">
        <v>-14.32880535266537</v>
      </c>
    </row>
    <row r="90" spans="2:16" x14ac:dyDescent="0.35">
      <c r="B90" s="8">
        <v>214</v>
      </c>
      <c r="C90" s="8">
        <v>234</v>
      </c>
      <c r="N90" s="130">
        <v>66</v>
      </c>
      <c r="O90" s="130">
        <v>288.68712465273171</v>
      </c>
      <c r="P90" s="130">
        <v>13.312875347268289</v>
      </c>
    </row>
    <row r="91" spans="2:16" x14ac:dyDescent="0.35">
      <c r="B91" s="8">
        <v>225</v>
      </c>
      <c r="C91" s="8">
        <v>306</v>
      </c>
      <c r="N91" s="130">
        <v>67</v>
      </c>
      <c r="O91" s="130">
        <v>338.271968034574</v>
      </c>
      <c r="P91" s="130">
        <v>-27.271968034574002</v>
      </c>
    </row>
    <row r="92" spans="2:16" x14ac:dyDescent="0.35">
      <c r="B92" s="8">
        <v>261</v>
      </c>
      <c r="C92" s="8">
        <v>400</v>
      </c>
      <c r="N92" s="130">
        <v>68</v>
      </c>
      <c r="O92" s="130">
        <v>393.02189926869158</v>
      </c>
      <c r="P92" s="130">
        <v>-20.021899268691584</v>
      </c>
    </row>
    <row r="93" spans="2:16" x14ac:dyDescent="0.35">
      <c r="B93" s="8">
        <v>277</v>
      </c>
      <c r="C93" s="8">
        <v>337</v>
      </c>
      <c r="N93" s="130">
        <v>69</v>
      </c>
      <c r="O93" s="130">
        <v>201.91364873450766</v>
      </c>
      <c r="P93" s="130">
        <v>-5.9136487345076603</v>
      </c>
    </row>
    <row r="94" spans="2:16" x14ac:dyDescent="0.35">
      <c r="B94" s="8">
        <v>282</v>
      </c>
      <c r="C94" s="8">
        <v>325</v>
      </c>
      <c r="N94" s="130">
        <v>70</v>
      </c>
      <c r="O94" s="130">
        <v>313.47954634365288</v>
      </c>
      <c r="P94" s="130">
        <v>-7.4795463436528848</v>
      </c>
    </row>
    <row r="95" spans="2:16" x14ac:dyDescent="0.35">
      <c r="B95" s="8">
        <v>322</v>
      </c>
      <c r="C95" s="8">
        <v>329</v>
      </c>
      <c r="N95" s="130">
        <v>71</v>
      </c>
      <c r="O95" s="130">
        <v>315.54558148456294</v>
      </c>
      <c r="P95" s="130">
        <v>-13.545581484562945</v>
      </c>
    </row>
    <row r="96" spans="2:16" x14ac:dyDescent="0.35">
      <c r="B96" s="8">
        <v>326</v>
      </c>
      <c r="C96" s="8">
        <v>369</v>
      </c>
      <c r="N96" s="130">
        <v>72</v>
      </c>
      <c r="O96" s="130">
        <v>299.01730035728218</v>
      </c>
      <c r="P96" s="130">
        <v>-21.017300357282181</v>
      </c>
    </row>
    <row r="97" spans="2:16" x14ac:dyDescent="0.35">
      <c r="B97" s="8">
        <v>421</v>
      </c>
      <c r="C97" s="8">
        <v>457</v>
      </c>
      <c r="N97" s="130">
        <v>73</v>
      </c>
      <c r="O97" s="130">
        <v>431.24354937552835</v>
      </c>
      <c r="P97" s="130">
        <v>-2.243549375528346</v>
      </c>
    </row>
    <row r="98" spans="2:16" x14ac:dyDescent="0.35">
      <c r="B98" s="8">
        <v>368</v>
      </c>
      <c r="C98" s="8">
        <v>421</v>
      </c>
      <c r="N98" s="130">
        <v>74</v>
      </c>
      <c r="O98" s="130">
        <v>352.73421402094471</v>
      </c>
      <c r="P98" s="130">
        <v>-14.734214020944705</v>
      </c>
    </row>
    <row r="99" spans="2:16" x14ac:dyDescent="0.35">
      <c r="B99" s="8">
        <v>279</v>
      </c>
      <c r="C99" s="8">
        <v>282</v>
      </c>
      <c r="N99" s="130">
        <v>75</v>
      </c>
      <c r="O99" s="130">
        <v>291.78617736409683</v>
      </c>
      <c r="P99" s="130">
        <v>-30.786177364096829</v>
      </c>
    </row>
    <row r="100" spans="2:16" x14ac:dyDescent="0.35">
      <c r="B100" s="8">
        <v>268</v>
      </c>
      <c r="C100" s="8">
        <v>256</v>
      </c>
      <c r="N100" s="130">
        <v>76</v>
      </c>
      <c r="O100" s="130">
        <v>259.76263267999036</v>
      </c>
      <c r="P100" s="130">
        <v>-3.7626326799903609</v>
      </c>
    </row>
    <row r="101" spans="2:16" x14ac:dyDescent="0.35">
      <c r="N101" s="130">
        <v>77</v>
      </c>
      <c r="O101" s="130">
        <v>207.0787365867829</v>
      </c>
      <c r="P101" s="130">
        <v>-24.078736586782895</v>
      </c>
    </row>
    <row r="102" spans="2:16" x14ac:dyDescent="0.35">
      <c r="N102" s="130">
        <v>78</v>
      </c>
      <c r="O102" s="130">
        <v>266.99375567317571</v>
      </c>
      <c r="P102" s="130">
        <v>7.0062443268242873</v>
      </c>
    </row>
    <row r="103" spans="2:16" x14ac:dyDescent="0.35">
      <c r="N103" s="130">
        <v>79</v>
      </c>
      <c r="O103" s="130">
        <v>179.1872621844966</v>
      </c>
      <c r="P103" s="130">
        <v>2.8127378155033966</v>
      </c>
    </row>
    <row r="104" spans="2:16" x14ac:dyDescent="0.35">
      <c r="N104" s="130">
        <v>80</v>
      </c>
      <c r="O104" s="130">
        <v>167.82406890949107</v>
      </c>
      <c r="P104" s="130">
        <v>15.175931090508925</v>
      </c>
    </row>
    <row r="105" spans="2:16" x14ac:dyDescent="0.35">
      <c r="N105" s="130">
        <v>81</v>
      </c>
      <c r="O105" s="130">
        <v>285.58807194136659</v>
      </c>
      <c r="P105" s="130">
        <v>23.411928058633407</v>
      </c>
    </row>
    <row r="106" spans="2:16" x14ac:dyDescent="0.35">
      <c r="N106" s="130">
        <v>82</v>
      </c>
      <c r="O106" s="130">
        <v>189.5174378890471</v>
      </c>
      <c r="P106" s="130">
        <v>-11.517437889047102</v>
      </c>
    </row>
    <row r="107" spans="2:16" x14ac:dyDescent="0.35">
      <c r="N107" s="130">
        <v>83</v>
      </c>
      <c r="O107" s="130">
        <v>407.48414525506223</v>
      </c>
      <c r="P107" s="130">
        <v>50.515854744937769</v>
      </c>
    </row>
    <row r="108" spans="2:16" x14ac:dyDescent="0.35">
      <c r="N108" s="130">
        <v>84</v>
      </c>
      <c r="O108" s="130">
        <v>262.86168539135554</v>
      </c>
      <c r="P108" s="130">
        <v>-28.861685391355536</v>
      </c>
    </row>
    <row r="109" spans="2:16" x14ac:dyDescent="0.35">
      <c r="N109" s="130">
        <v>85</v>
      </c>
      <c r="O109" s="130">
        <v>274.22487866636106</v>
      </c>
      <c r="P109" s="130">
        <v>31.775121333638936</v>
      </c>
    </row>
    <row r="110" spans="2:16" x14ac:dyDescent="0.35">
      <c r="N110" s="130">
        <v>86</v>
      </c>
      <c r="O110" s="130">
        <v>311.41351120274277</v>
      </c>
      <c r="P110" s="130">
        <v>88.586488797257232</v>
      </c>
    </row>
    <row r="111" spans="2:16" x14ac:dyDescent="0.35">
      <c r="N111" s="130">
        <v>87</v>
      </c>
      <c r="O111" s="130">
        <v>327.94179233002353</v>
      </c>
      <c r="P111" s="130">
        <v>9.0582076699764684</v>
      </c>
    </row>
    <row r="112" spans="2:16" x14ac:dyDescent="0.35">
      <c r="N112" s="130">
        <v>88</v>
      </c>
      <c r="O112" s="130">
        <v>333.10688018229877</v>
      </c>
      <c r="P112" s="130">
        <v>-8.1068801822987666</v>
      </c>
    </row>
    <row r="113" spans="14:16" x14ac:dyDescent="0.35">
      <c r="N113" s="130">
        <v>89</v>
      </c>
      <c r="O113" s="130">
        <v>374.4275830005007</v>
      </c>
      <c r="P113" s="130">
        <v>-45.427583000500704</v>
      </c>
    </row>
    <row r="114" spans="14:16" x14ac:dyDescent="0.35">
      <c r="N114" s="130">
        <v>90</v>
      </c>
      <c r="O114" s="130">
        <v>378.55965328232088</v>
      </c>
      <c r="P114" s="130">
        <v>-9.5596532823208804</v>
      </c>
    </row>
    <row r="115" spans="14:16" x14ac:dyDescent="0.35">
      <c r="N115" s="130">
        <v>91</v>
      </c>
      <c r="O115" s="130">
        <v>476.69632247555046</v>
      </c>
      <c r="P115" s="130">
        <v>-19.69632247555046</v>
      </c>
    </row>
    <row r="116" spans="14:16" x14ac:dyDescent="0.35">
      <c r="N116" s="130">
        <v>92</v>
      </c>
      <c r="O116" s="130">
        <v>421.94639124143293</v>
      </c>
      <c r="P116" s="130">
        <v>-0.94639124143293429</v>
      </c>
    </row>
    <row r="117" spans="14:16" x14ac:dyDescent="0.35">
      <c r="N117" s="130">
        <v>93</v>
      </c>
      <c r="O117" s="130">
        <v>330.00782747093365</v>
      </c>
      <c r="P117" s="130">
        <v>-48.007827470933648</v>
      </c>
    </row>
    <row r="118" spans="14:16" ht="15" thickBot="1" x14ac:dyDescent="0.4">
      <c r="N118" s="131">
        <v>94</v>
      </c>
      <c r="O118" s="131">
        <v>318.64463419592812</v>
      </c>
      <c r="P118" s="131">
        <v>-62.64463419592812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  <headerFooter>
    <oddFooter>&amp;L3/20/2023&amp;CAXP Internal&amp;R59</oddFooter>
  </headerFooter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R120"/>
  <sheetViews>
    <sheetView showGridLines="0" workbookViewId="0">
      <selection activeCell="G12" sqref="G12"/>
    </sheetView>
  </sheetViews>
  <sheetFormatPr defaultRowHeight="14.5" x14ac:dyDescent="0.35"/>
  <cols>
    <col min="1" max="1" width="2.81640625" customWidth="1"/>
    <col min="2" max="2" width="16" bestFit="1" customWidth="1"/>
    <col min="3" max="3" width="20.7265625" customWidth="1"/>
    <col min="4" max="4" width="19.26953125" customWidth="1"/>
    <col min="11" max="11" width="26.7265625" bestFit="1" customWidth="1"/>
    <col min="12" max="12" width="13.54296875" bestFit="1" customWidth="1"/>
    <col min="13" max="13" width="11.81640625" bestFit="1" customWidth="1"/>
    <col min="15" max="15" width="12.453125" bestFit="1" customWidth="1"/>
  </cols>
  <sheetData>
    <row r="1" spans="2:18" ht="25.5" customHeight="1" x14ac:dyDescent="0.45">
      <c r="B1" s="18" t="s">
        <v>246</v>
      </c>
      <c r="J1" t="s">
        <v>388</v>
      </c>
    </row>
    <row r="2" spans="2:18" ht="15" customHeight="1" thickBot="1" x14ac:dyDescent="0.4">
      <c r="B2" s="30" t="s">
        <v>267</v>
      </c>
    </row>
    <row r="3" spans="2:18" ht="18" customHeight="1" x14ac:dyDescent="0.35">
      <c r="J3" s="133" t="s">
        <v>389</v>
      </c>
      <c r="K3" s="133"/>
    </row>
    <row r="4" spans="2:18" x14ac:dyDescent="0.35">
      <c r="J4" s="130" t="s">
        <v>390</v>
      </c>
      <c r="K4" s="130">
        <v>0.99279109999741466</v>
      </c>
    </row>
    <row r="5" spans="2:18" x14ac:dyDescent="0.35">
      <c r="B5" s="43" t="s">
        <v>76</v>
      </c>
      <c r="C5" s="43" t="s">
        <v>22</v>
      </c>
      <c r="D5" s="43" t="s">
        <v>23</v>
      </c>
      <c r="J5" s="130" t="s">
        <v>391</v>
      </c>
      <c r="K5" s="130">
        <v>0.98563416823407668</v>
      </c>
    </row>
    <row r="6" spans="2:18" x14ac:dyDescent="0.35">
      <c r="B6" s="51">
        <v>68.400000000000006</v>
      </c>
      <c r="C6" s="51">
        <v>252</v>
      </c>
      <c r="D6" s="51">
        <v>276</v>
      </c>
      <c r="G6" s="121" t="s">
        <v>248</v>
      </c>
      <c r="H6" s="121"/>
      <c r="J6" s="130" t="s">
        <v>392</v>
      </c>
      <c r="K6" s="130">
        <v>0.98532186754351314</v>
      </c>
    </row>
    <row r="7" spans="2:18" x14ac:dyDescent="0.35">
      <c r="B7" s="8">
        <v>62.1</v>
      </c>
      <c r="C7" s="8">
        <v>423</v>
      </c>
      <c r="D7" s="51">
        <v>410</v>
      </c>
      <c r="G7" s="20" t="s">
        <v>76</v>
      </c>
      <c r="H7">
        <v>65</v>
      </c>
      <c r="J7" s="130" t="s">
        <v>258</v>
      </c>
      <c r="K7" s="130">
        <v>11.330387674231808</v>
      </c>
    </row>
    <row r="8" spans="2:18" ht="15" thickBot="1" x14ac:dyDescent="0.4">
      <c r="B8" s="8">
        <v>70.2</v>
      </c>
      <c r="C8" s="8">
        <v>101</v>
      </c>
      <c r="D8" s="51">
        <v>119</v>
      </c>
      <c r="G8" s="20" t="s">
        <v>22</v>
      </c>
      <c r="H8">
        <v>320</v>
      </c>
      <c r="J8" s="131" t="s">
        <v>393</v>
      </c>
      <c r="K8" s="131">
        <v>95</v>
      </c>
    </row>
    <row r="9" spans="2:18" x14ac:dyDescent="0.35">
      <c r="B9" s="8">
        <v>75.099999999999994</v>
      </c>
      <c r="C9" s="8">
        <v>288</v>
      </c>
      <c r="D9" s="51">
        <v>334</v>
      </c>
      <c r="G9" s="20" t="s">
        <v>23</v>
      </c>
      <c r="H9" s="134">
        <f>K17+K18*H7+K19*H8</f>
        <v>332.440585373153</v>
      </c>
    </row>
    <row r="10" spans="2:18" ht="15" thickBot="1" x14ac:dyDescent="0.4">
      <c r="B10" s="8">
        <v>60.9</v>
      </c>
      <c r="C10" s="8">
        <v>248</v>
      </c>
      <c r="D10" s="51">
        <v>252</v>
      </c>
      <c r="J10" t="s">
        <v>394</v>
      </c>
    </row>
    <row r="11" spans="2:18" x14ac:dyDescent="0.35">
      <c r="B11" s="8">
        <v>74.5</v>
      </c>
      <c r="C11" s="8">
        <v>145</v>
      </c>
      <c r="D11" s="51">
        <v>209</v>
      </c>
      <c r="J11" s="132"/>
      <c r="K11" s="132" t="s">
        <v>399</v>
      </c>
      <c r="L11" s="132" t="s">
        <v>400</v>
      </c>
      <c r="M11" s="132" t="s">
        <v>401</v>
      </c>
      <c r="N11" s="132" t="s">
        <v>402</v>
      </c>
      <c r="O11" s="132" t="s">
        <v>403</v>
      </c>
    </row>
    <row r="12" spans="2:18" x14ac:dyDescent="0.35">
      <c r="B12" s="8">
        <v>76.400000000000006</v>
      </c>
      <c r="C12" s="8">
        <v>401</v>
      </c>
      <c r="D12" s="51">
        <v>462</v>
      </c>
      <c r="J12" s="130" t="s">
        <v>395</v>
      </c>
      <c r="K12" s="130">
        <v>2</v>
      </c>
      <c r="L12" s="130">
        <v>810330.78983605374</v>
      </c>
      <c r="M12" s="130">
        <v>405165.39491802687</v>
      </c>
      <c r="N12" s="130">
        <v>3156.0422311442458</v>
      </c>
      <c r="O12" s="130">
        <v>1.726695298954031E-85</v>
      </c>
    </row>
    <row r="13" spans="2:18" x14ac:dyDescent="0.35">
      <c r="B13" s="8">
        <v>82.6</v>
      </c>
      <c r="C13" s="8">
        <v>287</v>
      </c>
      <c r="D13" s="51">
        <v>342</v>
      </c>
      <c r="J13" s="130" t="s">
        <v>396</v>
      </c>
      <c r="K13" s="130">
        <v>92</v>
      </c>
      <c r="L13" s="130">
        <v>11810.747006051333</v>
      </c>
      <c r="M13" s="130">
        <v>128.37768484838406</v>
      </c>
      <c r="N13" s="130"/>
      <c r="O13" s="130"/>
    </row>
    <row r="14" spans="2:18" ht="15" thickBot="1" x14ac:dyDescent="0.4">
      <c r="B14" s="8">
        <v>76.900000000000006</v>
      </c>
      <c r="C14" s="8">
        <v>275</v>
      </c>
      <c r="D14" s="51">
        <v>347</v>
      </c>
      <c r="J14" s="131" t="s">
        <v>397</v>
      </c>
      <c r="K14" s="131">
        <v>94</v>
      </c>
      <c r="L14" s="131">
        <v>822141.5368421051</v>
      </c>
      <c r="M14" s="131"/>
      <c r="N14" s="131"/>
      <c r="O14" s="131"/>
    </row>
    <row r="15" spans="2:18" ht="15" thickBot="1" x14ac:dyDescent="0.4">
      <c r="B15" s="8">
        <v>83.3</v>
      </c>
      <c r="C15" s="8">
        <v>254</v>
      </c>
      <c r="D15" s="51">
        <v>313</v>
      </c>
    </row>
    <row r="16" spans="2:18" x14ac:dyDescent="0.35">
      <c r="B16" s="8">
        <v>75.8</v>
      </c>
      <c r="C16" s="8">
        <v>182</v>
      </c>
      <c r="D16" s="51">
        <v>232</v>
      </c>
      <c r="J16" s="132"/>
      <c r="K16" s="132" t="s">
        <v>404</v>
      </c>
      <c r="L16" s="132" t="s">
        <v>258</v>
      </c>
      <c r="M16" s="132" t="s">
        <v>405</v>
      </c>
      <c r="N16" s="132" t="s">
        <v>406</v>
      </c>
      <c r="O16" s="132" t="s">
        <v>407</v>
      </c>
      <c r="P16" s="132" t="s">
        <v>408</v>
      </c>
      <c r="Q16" s="132" t="s">
        <v>409</v>
      </c>
      <c r="R16" s="132" t="s">
        <v>410</v>
      </c>
    </row>
    <row r="17" spans="2:18" x14ac:dyDescent="0.35">
      <c r="B17" s="8">
        <v>76</v>
      </c>
      <c r="C17" s="8">
        <v>117</v>
      </c>
      <c r="D17" s="51">
        <v>163</v>
      </c>
      <c r="J17" s="130" t="s">
        <v>398</v>
      </c>
      <c r="K17" s="130">
        <v>-222.42619776853718</v>
      </c>
      <c r="L17" s="130">
        <v>11.817463801380203</v>
      </c>
      <c r="M17" s="130">
        <v>-18.821821797546715</v>
      </c>
      <c r="N17" s="130">
        <v>2.6360711568826702E-33</v>
      </c>
      <c r="O17" s="130">
        <v>-245.89670092552367</v>
      </c>
      <c r="P17" s="130">
        <v>-198.95569461155068</v>
      </c>
      <c r="Q17" s="130">
        <v>-245.89670092552367</v>
      </c>
      <c r="R17" s="130">
        <v>-198.95569461155068</v>
      </c>
    </row>
    <row r="18" spans="2:18" x14ac:dyDescent="0.35">
      <c r="B18" s="8">
        <v>62.8</v>
      </c>
      <c r="C18" s="8">
        <v>130</v>
      </c>
      <c r="D18" s="51">
        <v>119</v>
      </c>
      <c r="J18" s="130" t="s">
        <v>76</v>
      </c>
      <c r="K18" s="130">
        <v>3.6500404966015521</v>
      </c>
      <c r="L18" s="130">
        <v>0.15618021349556055</v>
      </c>
      <c r="M18" s="130">
        <v>23.370697317591418</v>
      </c>
      <c r="N18" s="130">
        <v>1.8132199734321842E-40</v>
      </c>
      <c r="O18" s="130">
        <v>3.3398531115995129</v>
      </c>
      <c r="P18" s="130">
        <v>3.9602278816035912</v>
      </c>
      <c r="Q18" s="130">
        <v>3.3398531115995129</v>
      </c>
      <c r="R18" s="130">
        <v>3.9602278816035912</v>
      </c>
    </row>
    <row r="19" spans="2:18" ht="15" thickBot="1" x14ac:dyDescent="0.4">
      <c r="B19" s="8">
        <v>82.8</v>
      </c>
      <c r="C19" s="8">
        <v>219</v>
      </c>
      <c r="D19" s="51">
        <v>304</v>
      </c>
      <c r="J19" s="131" t="s">
        <v>22</v>
      </c>
      <c r="K19" s="131">
        <v>0.99254422144559151</v>
      </c>
      <c r="L19" s="131">
        <v>1.3705636999396694E-2</v>
      </c>
      <c r="M19" s="131">
        <v>72.418685938441399</v>
      </c>
      <c r="N19" s="131">
        <v>6.355192075965976E-83</v>
      </c>
      <c r="O19" s="131">
        <v>0.96532364333599063</v>
      </c>
      <c r="P19" s="131">
        <v>1.0197647995551924</v>
      </c>
      <c r="Q19" s="131">
        <v>0.96532364333599063</v>
      </c>
      <c r="R19" s="131">
        <v>1.0197647995551924</v>
      </c>
    </row>
    <row r="20" spans="2:18" x14ac:dyDescent="0.35">
      <c r="B20" s="8">
        <v>76</v>
      </c>
      <c r="C20" s="8">
        <v>152</v>
      </c>
      <c r="D20" s="51">
        <v>211</v>
      </c>
    </row>
    <row r="21" spans="2:18" x14ac:dyDescent="0.35">
      <c r="B21" s="8">
        <v>76.900000000000006</v>
      </c>
      <c r="C21" s="8">
        <v>228</v>
      </c>
      <c r="D21" s="51">
        <v>286</v>
      </c>
    </row>
    <row r="22" spans="2:18" x14ac:dyDescent="0.35">
      <c r="B22" s="8">
        <v>75.8</v>
      </c>
      <c r="C22" s="8">
        <v>62</v>
      </c>
      <c r="D22" s="51">
        <v>122</v>
      </c>
    </row>
    <row r="23" spans="2:18" x14ac:dyDescent="0.35">
      <c r="B23" s="8">
        <v>78</v>
      </c>
      <c r="C23" s="8">
        <v>393</v>
      </c>
      <c r="D23" s="51">
        <v>443</v>
      </c>
      <c r="J23" t="s">
        <v>411</v>
      </c>
    </row>
    <row r="24" spans="2:18" ht="15" thickBot="1" x14ac:dyDescent="0.4">
      <c r="B24" s="8">
        <v>82.4</v>
      </c>
      <c r="C24" s="8">
        <v>277</v>
      </c>
      <c r="D24" s="51">
        <v>366</v>
      </c>
    </row>
    <row r="25" spans="2:18" x14ac:dyDescent="0.35">
      <c r="B25" s="8">
        <v>76.2</v>
      </c>
      <c r="C25" s="8">
        <v>206</v>
      </c>
      <c r="D25" s="51">
        <v>244</v>
      </c>
      <c r="J25" s="132" t="s">
        <v>412</v>
      </c>
      <c r="K25" s="132" t="s">
        <v>415</v>
      </c>
      <c r="L25" s="132" t="s">
        <v>414</v>
      </c>
    </row>
    <row r="26" spans="2:18" x14ac:dyDescent="0.35">
      <c r="B26" s="8">
        <v>62.5</v>
      </c>
      <c r="C26" s="8">
        <v>229</v>
      </c>
      <c r="D26" s="51">
        <v>241</v>
      </c>
      <c r="J26" s="130">
        <v>1</v>
      </c>
      <c r="K26" s="130">
        <v>277.35771600329804</v>
      </c>
      <c r="L26" s="130">
        <v>-1.3577160032980373</v>
      </c>
    </row>
    <row r="27" spans="2:18" x14ac:dyDescent="0.35">
      <c r="B27" s="8">
        <v>78</v>
      </c>
      <c r="C27" s="8">
        <v>182</v>
      </c>
      <c r="D27" s="51">
        <v>237</v>
      </c>
      <c r="J27" s="130">
        <v>2</v>
      </c>
      <c r="K27" s="130">
        <v>424.08752274190442</v>
      </c>
      <c r="L27" s="130">
        <v>-14.087522741904422</v>
      </c>
    </row>
    <row r="28" spans="2:18" x14ac:dyDescent="0.35">
      <c r="B28" s="8">
        <v>66.5</v>
      </c>
      <c r="C28" s="8">
        <v>98</v>
      </c>
      <c r="D28" s="51">
        <v>122</v>
      </c>
      <c r="J28" s="130">
        <v>3</v>
      </c>
      <c r="K28" s="130">
        <v>134.05361145889657</v>
      </c>
      <c r="L28" s="130">
        <v>-15.053611458896569</v>
      </c>
    </row>
    <row r="29" spans="2:18" x14ac:dyDescent="0.35">
      <c r="B29" s="8">
        <v>63.5</v>
      </c>
      <c r="C29" s="8">
        <v>125</v>
      </c>
      <c r="D29" s="51">
        <v>129</v>
      </c>
      <c r="J29" s="130">
        <v>4</v>
      </c>
      <c r="K29" s="130">
        <v>337.54457930256973</v>
      </c>
      <c r="L29" s="130">
        <v>-3.5445793025697299</v>
      </c>
    </row>
    <row r="30" spans="2:18" x14ac:dyDescent="0.35">
      <c r="B30" s="8">
        <v>82.6</v>
      </c>
      <c r="C30" s="8">
        <v>164</v>
      </c>
      <c r="D30" s="51">
        <v>236</v>
      </c>
      <c r="J30" s="130">
        <v>5</v>
      </c>
      <c r="K30" s="130">
        <v>246.01223539300403</v>
      </c>
      <c r="L30" s="130">
        <v>5.9877646069959667</v>
      </c>
    </row>
    <row r="31" spans="2:18" x14ac:dyDescent="0.35">
      <c r="B31" s="8">
        <v>79.2</v>
      </c>
      <c r="C31" s="8">
        <v>186</v>
      </c>
      <c r="D31" s="51">
        <v>251</v>
      </c>
      <c r="J31" s="130">
        <v>6</v>
      </c>
      <c r="K31" s="130">
        <v>193.42073133788924</v>
      </c>
      <c r="L31" s="130">
        <v>15.579268662110763</v>
      </c>
    </row>
    <row r="32" spans="2:18" x14ac:dyDescent="0.35">
      <c r="B32" s="8">
        <v>75</v>
      </c>
      <c r="C32" s="8">
        <v>235</v>
      </c>
      <c r="D32" s="51">
        <v>283</v>
      </c>
      <c r="J32" s="130">
        <v>7</v>
      </c>
      <c r="K32" s="130">
        <v>454.44712897150362</v>
      </c>
      <c r="L32" s="130">
        <v>7.5528710284963836</v>
      </c>
    </row>
    <row r="33" spans="2:12" x14ac:dyDescent="0.35">
      <c r="B33" s="8">
        <v>74.400000000000006</v>
      </c>
      <c r="C33" s="8">
        <v>184</v>
      </c>
      <c r="D33" s="51">
        <v>225</v>
      </c>
      <c r="J33" s="130">
        <v>8</v>
      </c>
      <c r="K33" s="130">
        <v>363.92733880563577</v>
      </c>
      <c r="L33" s="130">
        <v>-21.92733880563577</v>
      </c>
    </row>
    <row r="34" spans="2:12" x14ac:dyDescent="0.35">
      <c r="B34" s="8">
        <v>67.900000000000006</v>
      </c>
      <c r="C34" s="8">
        <v>76</v>
      </c>
      <c r="D34" s="51">
        <v>102</v>
      </c>
      <c r="J34" s="130">
        <v>9</v>
      </c>
      <c r="K34" s="130">
        <v>331.21157731765987</v>
      </c>
      <c r="L34" s="130">
        <v>15.788422682340126</v>
      </c>
    </row>
    <row r="35" spans="2:12" x14ac:dyDescent="0.35">
      <c r="B35" s="8">
        <v>76.8</v>
      </c>
      <c r="C35" s="8">
        <v>126</v>
      </c>
      <c r="D35" s="51">
        <v>180</v>
      </c>
      <c r="J35" s="130">
        <v>10</v>
      </c>
      <c r="K35" s="130">
        <v>333.72840784555234</v>
      </c>
      <c r="L35" s="130">
        <v>-20.72840784555234</v>
      </c>
    </row>
    <row r="36" spans="2:12" x14ac:dyDescent="0.35">
      <c r="B36" s="8">
        <v>83</v>
      </c>
      <c r="C36" s="8">
        <v>183</v>
      </c>
      <c r="D36" s="51">
        <v>247</v>
      </c>
      <c r="J36" s="130">
        <v>11</v>
      </c>
      <c r="K36" s="130">
        <v>234.88992017695813</v>
      </c>
      <c r="L36" s="130">
        <v>-2.8899201769581282</v>
      </c>
    </row>
    <row r="37" spans="2:12" x14ac:dyDescent="0.35">
      <c r="B37" s="8">
        <v>88.9</v>
      </c>
      <c r="C37" s="8">
        <v>242</v>
      </c>
      <c r="D37" s="51">
        <v>343</v>
      </c>
      <c r="J37" s="130">
        <v>12</v>
      </c>
      <c r="K37" s="130">
        <v>171.10455388231497</v>
      </c>
      <c r="L37" s="130">
        <v>-8.1045538823149741</v>
      </c>
    </row>
    <row r="38" spans="2:12" x14ac:dyDescent="0.35">
      <c r="B38" s="8">
        <v>76.5</v>
      </c>
      <c r="C38" s="8">
        <v>207</v>
      </c>
      <c r="D38" s="51">
        <v>283</v>
      </c>
      <c r="J38" s="130">
        <v>13</v>
      </c>
      <c r="K38" s="130">
        <v>135.8270942059672</v>
      </c>
      <c r="L38" s="130">
        <v>-16.8270942059672</v>
      </c>
    </row>
    <row r="39" spans="2:12" x14ac:dyDescent="0.35">
      <c r="B39" s="8">
        <v>79.900000000000006</v>
      </c>
      <c r="C39" s="8">
        <v>181</v>
      </c>
      <c r="D39" s="51">
        <v>253</v>
      </c>
      <c r="J39" s="130">
        <v>14</v>
      </c>
      <c r="K39" s="130">
        <v>297.16433984665582</v>
      </c>
      <c r="L39" s="130">
        <v>6.835660153344179</v>
      </c>
    </row>
    <row r="40" spans="2:12" x14ac:dyDescent="0.35">
      <c r="B40" s="8">
        <v>70.400000000000006</v>
      </c>
      <c r="C40" s="8">
        <v>239</v>
      </c>
      <c r="D40" s="51">
        <v>263</v>
      </c>
      <c r="J40" s="130">
        <v>15</v>
      </c>
      <c r="K40" s="130">
        <v>205.84360163291066</v>
      </c>
      <c r="L40" s="130">
        <v>5.1563983670893379</v>
      </c>
    </row>
    <row r="41" spans="2:12" x14ac:dyDescent="0.35">
      <c r="B41" s="8">
        <v>83.4</v>
      </c>
      <c r="C41" s="8">
        <v>216</v>
      </c>
      <c r="D41" s="51">
        <v>291</v>
      </c>
      <c r="J41" s="130">
        <v>16</v>
      </c>
      <c r="K41" s="130">
        <v>284.56199890971709</v>
      </c>
      <c r="L41" s="130">
        <v>1.4380010902829099</v>
      </c>
    </row>
    <row r="42" spans="2:12" x14ac:dyDescent="0.35">
      <c r="B42" s="8">
        <v>79.2</v>
      </c>
      <c r="C42" s="8">
        <v>289</v>
      </c>
      <c r="D42" s="51">
        <v>368</v>
      </c>
      <c r="J42" s="130">
        <v>17</v>
      </c>
      <c r="K42" s="130">
        <v>115.78461360348714</v>
      </c>
      <c r="L42" s="130">
        <v>6.2153863965128551</v>
      </c>
    </row>
    <row r="43" spans="2:12" x14ac:dyDescent="0.35">
      <c r="B43" s="8">
        <v>61.2</v>
      </c>
      <c r="C43" s="8">
        <v>213</v>
      </c>
      <c r="D43" s="51">
        <v>206</v>
      </c>
      <c r="J43" s="130">
        <v>18</v>
      </c>
      <c r="K43" s="130">
        <v>452.34683999450129</v>
      </c>
      <c r="L43" s="130">
        <v>-9.3468399945012948</v>
      </c>
    </row>
    <row r="44" spans="2:12" x14ac:dyDescent="0.35">
      <c r="B44" s="8">
        <v>64</v>
      </c>
      <c r="C44" s="8">
        <v>209</v>
      </c>
      <c r="D44" s="51">
        <v>231</v>
      </c>
      <c r="J44" s="130">
        <v>19</v>
      </c>
      <c r="K44" s="130">
        <v>353.27188849185956</v>
      </c>
      <c r="L44" s="130">
        <v>12.728111508140444</v>
      </c>
    </row>
    <row r="45" spans="2:12" x14ac:dyDescent="0.35">
      <c r="B45" s="8">
        <v>68</v>
      </c>
      <c r="C45" s="8">
        <v>376</v>
      </c>
      <c r="D45" s="51">
        <v>389</v>
      </c>
      <c r="J45" s="130">
        <v>20</v>
      </c>
      <c r="K45" s="130">
        <v>260.17099769029295</v>
      </c>
      <c r="L45" s="130">
        <v>-16.17099769029295</v>
      </c>
    </row>
    <row r="46" spans="2:12" x14ac:dyDescent="0.35">
      <c r="B46" s="8">
        <v>78.5</v>
      </c>
      <c r="C46" s="8">
        <v>332</v>
      </c>
      <c r="D46" s="51">
        <v>396</v>
      </c>
      <c r="J46" s="130">
        <v>21</v>
      </c>
      <c r="K46" s="130">
        <v>232.9939599801003</v>
      </c>
      <c r="L46" s="130">
        <v>8.0060400198997002</v>
      </c>
    </row>
    <row r="47" spans="2:12" x14ac:dyDescent="0.35">
      <c r="B47" s="8">
        <v>83</v>
      </c>
      <c r="C47" s="8">
        <v>249</v>
      </c>
      <c r="D47" s="51">
        <v>339</v>
      </c>
      <c r="J47" s="130">
        <v>22</v>
      </c>
      <c r="K47" s="130">
        <v>242.92000926948151</v>
      </c>
      <c r="L47" s="130">
        <v>-5.9200092694815112</v>
      </c>
    </row>
    <row r="48" spans="2:12" x14ac:dyDescent="0.35">
      <c r="B48" s="8">
        <v>75.2</v>
      </c>
      <c r="C48" s="8">
        <v>228</v>
      </c>
      <c r="D48" s="51">
        <v>286</v>
      </c>
      <c r="J48" s="130">
        <v>23</v>
      </c>
      <c r="K48" s="130">
        <v>117.570828957134</v>
      </c>
      <c r="L48" s="130">
        <v>4.4291710428660025</v>
      </c>
    </row>
    <row r="49" spans="2:12" x14ac:dyDescent="0.35">
      <c r="B49" s="8">
        <v>68.099999999999994</v>
      </c>
      <c r="C49" s="8">
        <v>124</v>
      </c>
      <c r="D49" s="51">
        <v>146</v>
      </c>
      <c r="J49" s="130">
        <v>24</v>
      </c>
      <c r="K49" s="130">
        <v>133.41940144636033</v>
      </c>
      <c r="L49" s="130">
        <v>-4.4194014463603253</v>
      </c>
    </row>
    <row r="50" spans="2:12" x14ac:dyDescent="0.35">
      <c r="B50" s="8">
        <v>93.6</v>
      </c>
      <c r="C50" s="8">
        <v>194</v>
      </c>
      <c r="D50" s="51">
        <v>315</v>
      </c>
      <c r="J50" s="130">
        <v>25</v>
      </c>
      <c r="K50" s="130">
        <v>241.84439956782802</v>
      </c>
      <c r="L50" s="130">
        <v>-5.8443995678280203</v>
      </c>
    </row>
    <row r="51" spans="2:12" x14ac:dyDescent="0.35">
      <c r="B51" s="8">
        <v>75.599999999999994</v>
      </c>
      <c r="C51" s="8">
        <v>157</v>
      </c>
      <c r="D51" s="51">
        <v>183</v>
      </c>
      <c r="J51" s="130">
        <v>26</v>
      </c>
      <c r="K51" s="130">
        <v>251.27023475118577</v>
      </c>
      <c r="L51" s="130">
        <v>-0.27023475118576812</v>
      </c>
    </row>
    <row r="52" spans="2:12" x14ac:dyDescent="0.35">
      <c r="B52" s="8">
        <v>82.3</v>
      </c>
      <c r="C52" s="8">
        <v>402</v>
      </c>
      <c r="D52" s="51">
        <v>481</v>
      </c>
      <c r="J52" s="130">
        <v>27</v>
      </c>
      <c r="K52" s="130">
        <v>284.57473151629324</v>
      </c>
      <c r="L52" s="130">
        <v>-1.5747315162932409</v>
      </c>
    </row>
    <row r="53" spans="2:12" x14ac:dyDescent="0.35">
      <c r="B53" s="8">
        <v>71.400000000000006</v>
      </c>
      <c r="C53" s="8">
        <v>323</v>
      </c>
      <c r="D53" s="51">
        <v>349</v>
      </c>
      <c r="J53" s="130">
        <v>28</v>
      </c>
      <c r="K53" s="130">
        <v>231.76495192460712</v>
      </c>
      <c r="L53" s="130">
        <v>-6.7649519246071179</v>
      </c>
    </row>
    <row r="54" spans="2:12" x14ac:dyDescent="0.35">
      <c r="B54" s="8">
        <v>71.900000000000006</v>
      </c>
      <c r="C54" s="8">
        <v>181</v>
      </c>
      <c r="D54" s="51">
        <v>225</v>
      </c>
      <c r="J54" s="130">
        <v>29</v>
      </c>
      <c r="K54" s="130">
        <v>100.84491278057318</v>
      </c>
      <c r="L54" s="130">
        <v>1.155087219426818</v>
      </c>
    </row>
    <row r="55" spans="2:12" x14ac:dyDescent="0.35">
      <c r="B55" s="8">
        <v>79.099999999999994</v>
      </c>
      <c r="C55" s="8">
        <v>157</v>
      </c>
      <c r="D55" s="51">
        <v>217</v>
      </c>
      <c r="J55" s="130">
        <v>30</v>
      </c>
      <c r="K55" s="130">
        <v>182.95748427260656</v>
      </c>
      <c r="L55" s="130">
        <v>-2.957484272606564</v>
      </c>
    </row>
    <row r="56" spans="2:12" x14ac:dyDescent="0.35">
      <c r="B56" s="8">
        <v>88.7</v>
      </c>
      <c r="C56" s="8">
        <v>266</v>
      </c>
      <c r="D56" s="51">
        <v>353</v>
      </c>
      <c r="J56" s="130">
        <v>31</v>
      </c>
      <c r="K56" s="130">
        <v>262.16275597393491</v>
      </c>
      <c r="L56" s="130">
        <v>-15.162755973934907</v>
      </c>
    </row>
    <row r="57" spans="2:12" x14ac:dyDescent="0.35">
      <c r="B57" s="8">
        <v>69.400000000000006</v>
      </c>
      <c r="C57" s="8">
        <v>268</v>
      </c>
      <c r="D57" s="51">
        <v>314</v>
      </c>
      <c r="J57" s="130">
        <v>32</v>
      </c>
      <c r="K57" s="130">
        <v>342.25810396917393</v>
      </c>
      <c r="L57" s="130">
        <v>0.74189603082606936</v>
      </c>
    </row>
    <row r="58" spans="2:12" x14ac:dyDescent="0.35">
      <c r="B58" s="8">
        <v>80.3</v>
      </c>
      <c r="C58" s="8">
        <v>167</v>
      </c>
      <c r="D58" s="51">
        <v>247</v>
      </c>
      <c r="J58" s="130">
        <v>33</v>
      </c>
      <c r="K58" s="130">
        <v>262.25855406071901</v>
      </c>
      <c r="L58" s="130">
        <v>20.741445939280993</v>
      </c>
    </row>
    <row r="59" spans="2:12" x14ac:dyDescent="0.35">
      <c r="B59" s="8">
        <v>83</v>
      </c>
      <c r="C59" s="8">
        <v>342</v>
      </c>
      <c r="D59" s="51">
        <v>410</v>
      </c>
      <c r="J59" s="130">
        <v>34</v>
      </c>
      <c r="K59" s="130">
        <v>248.86254199157889</v>
      </c>
      <c r="L59" s="130">
        <v>4.1374580084211061</v>
      </c>
    </row>
    <row r="60" spans="2:12" x14ac:dyDescent="0.35">
      <c r="B60" s="8">
        <v>74.099999999999994</v>
      </c>
      <c r="C60" s="8">
        <v>349</v>
      </c>
      <c r="D60" s="51">
        <v>395</v>
      </c>
      <c r="J60" s="130">
        <v>35</v>
      </c>
      <c r="K60" s="130">
        <v>271.75472211770847</v>
      </c>
      <c r="L60" s="130">
        <v>-8.754722117708468</v>
      </c>
    </row>
    <row r="61" spans="2:12" x14ac:dyDescent="0.35">
      <c r="B61" s="8">
        <v>79.400000000000006</v>
      </c>
      <c r="C61" s="8">
        <v>340</v>
      </c>
      <c r="D61" s="51">
        <v>416</v>
      </c>
      <c r="J61" s="130">
        <v>36</v>
      </c>
      <c r="K61" s="130">
        <v>296.37673148028006</v>
      </c>
      <c r="L61" s="130">
        <v>-5.376731480280057</v>
      </c>
    </row>
    <row r="62" spans="2:12" x14ac:dyDescent="0.35">
      <c r="B62" s="8">
        <v>88.1</v>
      </c>
      <c r="C62" s="8">
        <v>227</v>
      </c>
      <c r="D62" s="51">
        <v>342</v>
      </c>
      <c r="J62" s="130">
        <v>37</v>
      </c>
      <c r="K62" s="130">
        <v>353.50228956008169</v>
      </c>
      <c r="L62" s="130">
        <v>14.497710439918308</v>
      </c>
    </row>
    <row r="63" spans="2:12" x14ac:dyDescent="0.35">
      <c r="B63" s="8">
        <v>74.599999999999994</v>
      </c>
      <c r="C63" s="8">
        <v>409</v>
      </c>
      <c r="D63" s="51">
        <v>446</v>
      </c>
      <c r="J63" s="130">
        <v>38</v>
      </c>
      <c r="K63" s="130">
        <v>212.3681997913888</v>
      </c>
      <c r="L63" s="130">
        <v>-6.368199791388804</v>
      </c>
    </row>
    <row r="64" spans="2:12" x14ac:dyDescent="0.35">
      <c r="B64" s="8">
        <v>87.1</v>
      </c>
      <c r="C64" s="8">
        <v>400</v>
      </c>
      <c r="D64" s="51">
        <v>477</v>
      </c>
      <c r="J64" s="130">
        <v>39</v>
      </c>
      <c r="K64" s="130">
        <v>218.61813629609077</v>
      </c>
      <c r="L64" s="130">
        <v>12.381863703909232</v>
      </c>
    </row>
    <row r="65" spans="2:12" x14ac:dyDescent="0.35">
      <c r="B65" s="8">
        <v>79.7</v>
      </c>
      <c r="C65" s="8">
        <v>374</v>
      </c>
      <c r="D65" s="51">
        <v>444</v>
      </c>
      <c r="J65" s="130">
        <v>40</v>
      </c>
      <c r="K65" s="130">
        <v>398.97318326391076</v>
      </c>
      <c r="L65" s="130">
        <v>-9.9731832639107552</v>
      </c>
    </row>
    <row r="66" spans="2:12" x14ac:dyDescent="0.35">
      <c r="B66" s="8">
        <v>82.1</v>
      </c>
      <c r="C66" s="8">
        <v>255</v>
      </c>
      <c r="D66" s="51">
        <v>351</v>
      </c>
      <c r="J66" s="130">
        <v>41</v>
      </c>
      <c r="K66" s="130">
        <v>393.62666273462105</v>
      </c>
      <c r="L66" s="130">
        <v>2.3733372653789502</v>
      </c>
    </row>
    <row r="67" spans="2:12" x14ac:dyDescent="0.35">
      <c r="B67" s="8">
        <v>70.2</v>
      </c>
      <c r="C67" s="8">
        <v>146</v>
      </c>
      <c r="D67" s="51">
        <v>165</v>
      </c>
      <c r="J67" s="130">
        <v>42</v>
      </c>
      <c r="K67" s="130">
        <v>327.67067458934395</v>
      </c>
      <c r="L67" s="130">
        <v>11.329325410656054</v>
      </c>
    </row>
    <row r="68" spans="2:12" x14ac:dyDescent="0.35">
      <c r="B68" s="8">
        <v>81.7</v>
      </c>
      <c r="C68" s="8">
        <v>248</v>
      </c>
      <c r="D68" s="51">
        <v>317</v>
      </c>
      <c r="J68" s="130">
        <v>43</v>
      </c>
      <c r="K68" s="130">
        <v>278.35693006549445</v>
      </c>
      <c r="L68" s="130">
        <v>7.6430699345055473</v>
      </c>
    </row>
    <row r="69" spans="2:12" x14ac:dyDescent="0.35">
      <c r="B69" s="8">
        <v>76.099999999999994</v>
      </c>
      <c r="C69" s="8">
        <v>198</v>
      </c>
      <c r="D69" s="51">
        <v>250</v>
      </c>
      <c r="J69" s="130">
        <v>44</v>
      </c>
      <c r="K69" s="130">
        <v>149.21704350928184</v>
      </c>
      <c r="L69" s="130">
        <v>-3.2170435092818366</v>
      </c>
    </row>
    <row r="70" spans="2:12" x14ac:dyDescent="0.35">
      <c r="B70" s="8">
        <v>65.400000000000006</v>
      </c>
      <c r="C70" s="8">
        <v>210</v>
      </c>
      <c r="D70" s="51">
        <v>217</v>
      </c>
      <c r="J70" s="130">
        <v>45</v>
      </c>
      <c r="K70" s="130">
        <v>311.77117167381277</v>
      </c>
      <c r="L70" s="130">
        <v>3.2288283261872266</v>
      </c>
    </row>
    <row r="71" spans="2:12" x14ac:dyDescent="0.35">
      <c r="B71" s="8">
        <v>70.099999999999994</v>
      </c>
      <c r="C71" s="8">
        <v>107</v>
      </c>
      <c r="D71" s="51">
        <v>138</v>
      </c>
      <c r="J71" s="130">
        <v>46</v>
      </c>
      <c r="K71" s="130">
        <v>209.346306541498</v>
      </c>
      <c r="L71" s="130">
        <v>-26.346306541497995</v>
      </c>
    </row>
    <row r="72" spans="2:12" x14ac:dyDescent="0.35">
      <c r="B72" s="8">
        <v>75.3</v>
      </c>
      <c r="C72" s="8">
        <v>239</v>
      </c>
      <c r="D72" s="51">
        <v>302</v>
      </c>
      <c r="J72" s="130">
        <v>47</v>
      </c>
      <c r="K72" s="130">
        <v>476.97491212289833</v>
      </c>
      <c r="L72" s="130">
        <v>4.0250878771016687</v>
      </c>
    </row>
    <row r="73" spans="2:12" x14ac:dyDescent="0.35">
      <c r="B73" s="8">
        <v>68.7</v>
      </c>
      <c r="C73" s="8">
        <v>287</v>
      </c>
      <c r="D73" s="51">
        <v>311</v>
      </c>
      <c r="J73" s="130">
        <v>48</v>
      </c>
      <c r="K73" s="130">
        <v>358.77847721573971</v>
      </c>
      <c r="L73" s="130">
        <v>-9.7784772157397128</v>
      </c>
    </row>
    <row r="74" spans="2:12" x14ac:dyDescent="0.35">
      <c r="B74" s="8">
        <v>75.7</v>
      </c>
      <c r="C74" s="8">
        <v>340</v>
      </c>
      <c r="D74" s="51">
        <v>373</v>
      </c>
      <c r="J74" s="130">
        <v>49</v>
      </c>
      <c r="K74" s="130">
        <v>219.66221801876651</v>
      </c>
      <c r="L74" s="130">
        <v>5.3377819812334906</v>
      </c>
    </row>
    <row r="75" spans="2:12" x14ac:dyDescent="0.35">
      <c r="B75" s="8">
        <v>68.7</v>
      </c>
      <c r="C75" s="8">
        <v>155</v>
      </c>
      <c r="D75" s="51">
        <v>196</v>
      </c>
      <c r="J75" s="130">
        <v>50</v>
      </c>
      <c r="K75" s="130">
        <v>222.12144827960344</v>
      </c>
      <c r="L75" s="130">
        <v>-5.1214482796034417</v>
      </c>
    </row>
    <row r="76" spans="2:12" x14ac:dyDescent="0.35">
      <c r="B76" s="8">
        <v>70.400000000000006</v>
      </c>
      <c r="C76" s="8">
        <v>263</v>
      </c>
      <c r="D76" s="51">
        <v>306</v>
      </c>
      <c r="J76" s="130">
        <v>51</v>
      </c>
      <c r="K76" s="130">
        <v>365.34915718454783</v>
      </c>
      <c r="L76" s="130">
        <v>-12.349157184547835</v>
      </c>
    </row>
    <row r="77" spans="2:12" x14ac:dyDescent="0.35">
      <c r="B77" s="8">
        <v>68.3</v>
      </c>
      <c r="C77" s="8">
        <v>265</v>
      </c>
      <c r="D77" s="51">
        <v>302</v>
      </c>
      <c r="J77" s="130">
        <v>52</v>
      </c>
      <c r="K77" s="130">
        <v>296.8884640430291</v>
      </c>
      <c r="L77" s="130">
        <v>17.111535956970897</v>
      </c>
    </row>
    <row r="78" spans="2:12" x14ac:dyDescent="0.35">
      <c r="B78" s="8">
        <v>71.7</v>
      </c>
      <c r="C78" s="8">
        <v>249</v>
      </c>
      <c r="D78" s="51">
        <v>278</v>
      </c>
      <c r="J78" s="130">
        <v>53</v>
      </c>
      <c r="K78" s="130">
        <v>236.42693908998126</v>
      </c>
      <c r="L78" s="130">
        <v>10.573060910018739</v>
      </c>
    </row>
    <row r="79" spans="2:12" x14ac:dyDescent="0.35">
      <c r="B79" s="8">
        <v>70.900000000000006</v>
      </c>
      <c r="C79" s="8">
        <v>377</v>
      </c>
      <c r="D79" s="51">
        <v>429</v>
      </c>
      <c r="J79" s="130">
        <v>54</v>
      </c>
      <c r="K79" s="130">
        <v>419.97728718378397</v>
      </c>
      <c r="L79" s="130">
        <v>-9.9772871837839716</v>
      </c>
    </row>
    <row r="80" spans="2:12" x14ac:dyDescent="0.35">
      <c r="B80" s="8">
        <v>66.3</v>
      </c>
      <c r="C80" s="8">
        <v>301</v>
      </c>
      <c r="D80" s="51">
        <v>338</v>
      </c>
      <c r="J80" s="130">
        <v>55</v>
      </c>
      <c r="K80" s="130">
        <v>394.43973631414929</v>
      </c>
      <c r="L80" s="130">
        <v>0.56026368585071396</v>
      </c>
    </row>
    <row r="81" spans="2:12" x14ac:dyDescent="0.35">
      <c r="B81" s="8">
        <v>65.3</v>
      </c>
      <c r="C81" s="8">
        <v>242</v>
      </c>
      <c r="D81" s="51">
        <v>261</v>
      </c>
      <c r="J81" s="130">
        <v>56</v>
      </c>
      <c r="K81" s="130">
        <v>404.85205295312721</v>
      </c>
      <c r="L81" s="130">
        <v>11.147947046872787</v>
      </c>
    </row>
    <row r="82" spans="2:12" x14ac:dyDescent="0.35">
      <c r="B82" s="8">
        <v>75.7</v>
      </c>
      <c r="C82" s="8">
        <v>211</v>
      </c>
      <c r="D82" s="51">
        <v>256</v>
      </c>
      <c r="J82" s="130">
        <v>57</v>
      </c>
      <c r="K82" s="130">
        <v>324.44990825020886</v>
      </c>
      <c r="L82" s="130">
        <v>17.550091749791136</v>
      </c>
    </row>
    <row r="83" spans="2:12" x14ac:dyDescent="0.35">
      <c r="B83" s="8">
        <v>66</v>
      </c>
      <c r="C83" s="8">
        <v>160</v>
      </c>
      <c r="D83" s="51">
        <v>183</v>
      </c>
      <c r="J83" s="130">
        <v>58</v>
      </c>
      <c r="K83" s="130">
        <v>455.81740984918548</v>
      </c>
      <c r="L83" s="130">
        <v>-9.8174098491854807</v>
      </c>
    </row>
    <row r="84" spans="2:12" x14ac:dyDescent="0.35">
      <c r="B84" s="8">
        <v>78.900000000000006</v>
      </c>
      <c r="C84" s="8">
        <v>218</v>
      </c>
      <c r="D84" s="51">
        <v>274</v>
      </c>
      <c r="J84" s="130">
        <v>59</v>
      </c>
      <c r="K84" s="130">
        <v>492.51001806369459</v>
      </c>
      <c r="L84" s="130">
        <v>-15.510018063694588</v>
      </c>
    </row>
    <row r="85" spans="2:12" x14ac:dyDescent="0.35">
      <c r="B85" s="8">
        <v>74</v>
      </c>
      <c r="C85" s="8">
        <v>133</v>
      </c>
      <c r="D85" s="51">
        <v>182</v>
      </c>
      <c r="J85" s="130">
        <v>60</v>
      </c>
      <c r="K85" s="130">
        <v>439.69356863125779</v>
      </c>
      <c r="L85" s="130">
        <v>4.30643136874221</v>
      </c>
    </row>
    <row r="86" spans="2:12" x14ac:dyDescent="0.35">
      <c r="B86" s="8">
        <v>74.599999999999994</v>
      </c>
      <c r="C86" s="8">
        <v>122</v>
      </c>
      <c r="D86" s="51">
        <v>183</v>
      </c>
      <c r="J86" s="130">
        <v>61</v>
      </c>
      <c r="K86" s="130">
        <v>330.34090347107605</v>
      </c>
      <c r="L86" s="130">
        <v>20.659096528923953</v>
      </c>
    </row>
    <row r="87" spans="2:12" x14ac:dyDescent="0.35">
      <c r="B87" s="8">
        <v>79.3</v>
      </c>
      <c r="C87" s="8">
        <v>236</v>
      </c>
      <c r="D87" s="51">
        <v>309</v>
      </c>
      <c r="J87" s="130">
        <v>62</v>
      </c>
      <c r="K87" s="130">
        <v>178.71810142394818</v>
      </c>
      <c r="L87" s="130">
        <v>-13.718101423948184</v>
      </c>
    </row>
    <row r="88" spans="2:12" x14ac:dyDescent="0.35">
      <c r="B88" s="8">
        <v>70.099999999999994</v>
      </c>
      <c r="C88" s="8">
        <v>143</v>
      </c>
      <c r="D88" s="51">
        <v>178</v>
      </c>
      <c r="J88" s="130">
        <v>63</v>
      </c>
      <c r="K88" s="130">
        <v>321.93307772231634</v>
      </c>
      <c r="L88" s="130">
        <v>-4.9330777223163409</v>
      </c>
    </row>
    <row r="89" spans="2:12" x14ac:dyDescent="0.35">
      <c r="B89" s="8">
        <v>88.8</v>
      </c>
      <c r="C89" s="8">
        <v>354</v>
      </c>
      <c r="D89" s="51">
        <v>458</v>
      </c>
      <c r="J89" s="130">
        <v>64</v>
      </c>
      <c r="K89" s="130">
        <v>251.86563986906805</v>
      </c>
      <c r="L89" s="130">
        <v>-1.8656398690680476</v>
      </c>
    </row>
    <row r="90" spans="2:12" x14ac:dyDescent="0.35">
      <c r="B90" s="8">
        <v>66</v>
      </c>
      <c r="C90" s="8">
        <v>214</v>
      </c>
      <c r="D90" s="51">
        <v>234</v>
      </c>
      <c r="J90" s="130">
        <v>65</v>
      </c>
      <c r="K90" s="130">
        <v>224.72073721277857</v>
      </c>
      <c r="L90" s="130">
        <v>-7.7207372127785732</v>
      </c>
    </row>
    <row r="91" spans="2:12" x14ac:dyDescent="0.35">
      <c r="B91" s="8">
        <v>82.9</v>
      </c>
      <c r="C91" s="8">
        <v>225</v>
      </c>
      <c r="D91" s="51">
        <v>306</v>
      </c>
      <c r="J91" s="130">
        <v>66</v>
      </c>
      <c r="K91" s="130">
        <v>139.6438727379099</v>
      </c>
      <c r="L91" s="130">
        <v>-1.6438727379099021</v>
      </c>
    </row>
    <row r="92" spans="2:12" x14ac:dyDescent="0.35">
      <c r="B92" s="8">
        <v>100</v>
      </c>
      <c r="C92" s="8">
        <v>261</v>
      </c>
      <c r="D92" s="51">
        <v>400</v>
      </c>
      <c r="J92" s="130">
        <v>67</v>
      </c>
      <c r="K92" s="130">
        <v>289.63992055105604</v>
      </c>
      <c r="L92" s="130">
        <v>12.360079448943964</v>
      </c>
    </row>
    <row r="93" spans="2:12" x14ac:dyDescent="0.35">
      <c r="B93" s="8">
        <v>75.599999999999994</v>
      </c>
      <c r="C93" s="8">
        <v>277</v>
      </c>
      <c r="D93" s="51">
        <v>337</v>
      </c>
      <c r="J93" s="130">
        <v>68</v>
      </c>
      <c r="K93" s="130">
        <v>313.19177590287421</v>
      </c>
      <c r="L93" s="130">
        <v>-2.1917759028742125</v>
      </c>
    </row>
    <row r="94" spans="2:12" x14ac:dyDescent="0.35">
      <c r="B94" s="8">
        <v>67.5</v>
      </c>
      <c r="C94" s="8">
        <v>282</v>
      </c>
      <c r="D94" s="51">
        <v>325</v>
      </c>
      <c r="J94" s="130">
        <v>69</v>
      </c>
      <c r="K94" s="130">
        <v>391.34690311570142</v>
      </c>
      <c r="L94" s="130">
        <v>-18.346903115701423</v>
      </c>
    </row>
    <row r="95" spans="2:12" x14ac:dyDescent="0.35">
      <c r="B95" s="8">
        <v>68.7</v>
      </c>
      <c r="C95" s="8">
        <v>322</v>
      </c>
      <c r="D95" s="51">
        <v>329</v>
      </c>
      <c r="J95" s="130">
        <v>70</v>
      </c>
      <c r="K95" s="130">
        <v>182.17593867205613</v>
      </c>
      <c r="L95" s="130">
        <v>13.824061327943866</v>
      </c>
    </row>
    <row r="96" spans="2:12" x14ac:dyDescent="0.35">
      <c r="B96" s="8">
        <v>76</v>
      </c>
      <c r="C96" s="8">
        <v>326</v>
      </c>
      <c r="D96" s="51">
        <v>369</v>
      </c>
      <c r="J96" s="130">
        <v>71</v>
      </c>
      <c r="K96" s="130">
        <v>295.57578343240266</v>
      </c>
      <c r="L96" s="130">
        <v>10.424216567597341</v>
      </c>
    </row>
    <row r="97" spans="2:12" x14ac:dyDescent="0.35">
      <c r="B97" s="8">
        <v>67.7</v>
      </c>
      <c r="C97" s="8">
        <v>421</v>
      </c>
      <c r="D97" s="51">
        <v>457</v>
      </c>
      <c r="J97" s="130">
        <v>72</v>
      </c>
      <c r="K97" s="130">
        <v>289.89578683243053</v>
      </c>
      <c r="L97" s="130">
        <v>12.104213167569469</v>
      </c>
    </row>
    <row r="98" spans="2:12" x14ac:dyDescent="0.35">
      <c r="B98" s="8">
        <v>75.3</v>
      </c>
      <c r="C98" s="8">
        <v>368</v>
      </c>
      <c r="D98" s="51">
        <v>421</v>
      </c>
      <c r="J98" s="130">
        <v>73</v>
      </c>
      <c r="K98" s="130">
        <v>286.4252169777464</v>
      </c>
      <c r="L98" s="130">
        <v>-8.4252169777464019</v>
      </c>
    </row>
    <row r="99" spans="2:12" x14ac:dyDescent="0.35">
      <c r="B99" s="8">
        <v>68.099999999999994</v>
      </c>
      <c r="C99" s="8">
        <v>279</v>
      </c>
      <c r="D99" s="51">
        <v>282</v>
      </c>
      <c r="J99" s="130">
        <v>74</v>
      </c>
      <c r="K99" s="130">
        <v>410.55084492550088</v>
      </c>
      <c r="L99" s="130">
        <v>18.449155074499117</v>
      </c>
    </row>
    <row r="100" spans="2:12" x14ac:dyDescent="0.35">
      <c r="B100" s="8">
        <v>63.3</v>
      </c>
      <c r="C100" s="8">
        <v>268</v>
      </c>
      <c r="D100" s="51">
        <v>256</v>
      </c>
      <c r="J100" s="130">
        <v>75</v>
      </c>
      <c r="K100" s="130">
        <v>318.32729781126875</v>
      </c>
      <c r="L100" s="130">
        <v>19.67270218873125</v>
      </c>
    </row>
    <row r="101" spans="2:12" x14ac:dyDescent="0.35">
      <c r="J101" s="130">
        <v>76</v>
      </c>
      <c r="K101" s="130">
        <v>256.11714824937729</v>
      </c>
      <c r="L101" s="130">
        <v>4.8828517506227058</v>
      </c>
    </row>
    <row r="102" spans="2:12" x14ac:dyDescent="0.35">
      <c r="J102" s="130">
        <v>77</v>
      </c>
      <c r="K102" s="130">
        <v>263.30869854922014</v>
      </c>
      <c r="L102" s="130">
        <v>-7.3086985492201393</v>
      </c>
    </row>
    <row r="103" spans="2:12" x14ac:dyDescent="0.35">
      <c r="J103" s="130">
        <v>78</v>
      </c>
      <c r="K103" s="130">
        <v>177.28355043845988</v>
      </c>
      <c r="L103" s="130">
        <v>5.7164495615401165</v>
      </c>
    </row>
    <row r="104" spans="2:12" x14ac:dyDescent="0.35">
      <c r="J104" s="130">
        <v>79</v>
      </c>
      <c r="K104" s="130">
        <v>281.9366376884642</v>
      </c>
      <c r="L104" s="130">
        <v>-7.9366376884642023</v>
      </c>
    </row>
    <row r="105" spans="2:12" x14ac:dyDescent="0.35">
      <c r="J105" s="130">
        <v>80</v>
      </c>
      <c r="K105" s="130">
        <v>179.68518043224134</v>
      </c>
      <c r="L105" s="130">
        <v>2.3148195677586614</v>
      </c>
    </row>
    <row r="106" spans="2:12" x14ac:dyDescent="0.35">
      <c r="J106" s="130">
        <v>81</v>
      </c>
      <c r="K106" s="130">
        <v>170.95721829430073</v>
      </c>
      <c r="L106" s="130">
        <v>12.042781705699269</v>
      </c>
    </row>
    <row r="107" spans="2:12" x14ac:dyDescent="0.35">
      <c r="J107" s="130">
        <v>82</v>
      </c>
      <c r="K107" s="130">
        <v>301.26244987312543</v>
      </c>
      <c r="L107" s="130">
        <v>7.7375501268745666</v>
      </c>
    </row>
    <row r="108" spans="2:12" x14ac:dyDescent="0.35">
      <c r="J108" s="130">
        <v>83</v>
      </c>
      <c r="K108" s="130">
        <v>175.37546470995119</v>
      </c>
      <c r="L108" s="130">
        <v>2.6245352900488115</v>
      </c>
    </row>
    <row r="109" spans="2:12" x14ac:dyDescent="0.35">
      <c r="J109" s="130">
        <v>84</v>
      </c>
      <c r="K109" s="130">
        <v>453.05805272142004</v>
      </c>
      <c r="L109" s="130">
        <v>4.9419472785799599</v>
      </c>
    </row>
    <row r="110" spans="2:12" x14ac:dyDescent="0.35">
      <c r="J110" s="130">
        <v>85</v>
      </c>
      <c r="K110" s="130">
        <v>230.88093839652183</v>
      </c>
      <c r="L110" s="130">
        <v>3.1190616034781726</v>
      </c>
    </row>
    <row r="111" spans="2:12" x14ac:dyDescent="0.35">
      <c r="J111" s="130">
        <v>86</v>
      </c>
      <c r="K111" s="130">
        <v>303.48460922498958</v>
      </c>
      <c r="L111" s="130">
        <v>2.5153907750104167</v>
      </c>
    </row>
    <row r="112" spans="2:12" x14ac:dyDescent="0.35">
      <c r="J112" s="130">
        <v>87</v>
      </c>
      <c r="K112" s="130">
        <v>401.63189368891739</v>
      </c>
      <c r="L112" s="130">
        <v>-1.631893688917387</v>
      </c>
    </row>
    <row r="113" spans="10:12" x14ac:dyDescent="0.35">
      <c r="J113" s="130">
        <v>88</v>
      </c>
      <c r="K113" s="130">
        <v>328.45161311496895</v>
      </c>
      <c r="L113" s="130">
        <v>8.54838688503105</v>
      </c>
    </row>
    <row r="114" spans="10:12" x14ac:dyDescent="0.35">
      <c r="J114" s="130">
        <v>89</v>
      </c>
      <c r="K114" s="130">
        <v>303.84900619972439</v>
      </c>
      <c r="L114" s="130">
        <v>21.150993800275614</v>
      </c>
    </row>
    <row r="115" spans="10:12" x14ac:dyDescent="0.35">
      <c r="J115" s="130">
        <v>90</v>
      </c>
      <c r="K115" s="130">
        <v>347.93082365346993</v>
      </c>
      <c r="L115" s="130">
        <v>-18.930823653469929</v>
      </c>
    </row>
    <row r="116" spans="10:12" x14ac:dyDescent="0.35">
      <c r="J116" s="130">
        <v>91</v>
      </c>
      <c r="K116" s="130">
        <v>378.54629616444362</v>
      </c>
      <c r="L116" s="130">
        <v>-9.5462961644436177</v>
      </c>
    </row>
    <row r="117" spans="10:12" x14ac:dyDescent="0.35">
      <c r="J117" s="130">
        <v>92</v>
      </c>
      <c r="K117" s="130">
        <v>442.54266107998194</v>
      </c>
      <c r="L117" s="130">
        <v>14.45733892001806</v>
      </c>
    </row>
    <row r="118" spans="10:12" x14ac:dyDescent="0.35">
      <c r="J118" s="130">
        <v>93</v>
      </c>
      <c r="K118" s="130">
        <v>417.67812511753732</v>
      </c>
      <c r="L118" s="130">
        <v>3.32187488246268</v>
      </c>
    </row>
    <row r="119" spans="10:12" x14ac:dyDescent="0.35">
      <c r="J119" s="130">
        <v>94</v>
      </c>
      <c r="K119" s="130">
        <v>303.06139783334851</v>
      </c>
      <c r="L119" s="130">
        <v>-21.061397833348508</v>
      </c>
    </row>
    <row r="120" spans="10:12" ht="15" thickBot="1" x14ac:dyDescent="0.4">
      <c r="J120" s="131">
        <v>95</v>
      </c>
      <c r="K120" s="131">
        <v>274.62321701375959</v>
      </c>
      <c r="L120" s="131">
        <v>-18.623217013759586</v>
      </c>
    </row>
  </sheetData>
  <mergeCells count="1">
    <mergeCell ref="G6:H6"/>
  </mergeCells>
  <pageMargins left="0.7" right="0.7" top="0.75" bottom="0.75" header="0.3" footer="0.3"/>
  <pageSetup orientation="portrait" r:id="rId1"/>
  <headerFooter>
    <oddFooter>&amp;L3/20/2023&amp;CAXP Internal&amp;R60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Nidhi Gupta</cp:lastModifiedBy>
  <dcterms:created xsi:type="dcterms:W3CDTF">2022-08-25T18:47:42Z</dcterms:created>
  <dcterms:modified xsi:type="dcterms:W3CDTF">2023-03-24T18:39:59Z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Nidhi Gupta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