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Trading\"/>
    </mc:Choice>
  </mc:AlternateContent>
  <xr:revisionPtr revIDLastSave="0" documentId="13_ncr:1_{52F39098-825C-4488-89E0-237AE63C0B4B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Waluty z GBP" sheetId="5" r:id="rId1"/>
    <sheet name="Inwestor A" sheetId="6" r:id="rId2"/>
    <sheet name="Inwestor B" sheetId="2" r:id="rId3"/>
    <sheet name="Kalkulacje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2" l="1"/>
  <c r="O34" i="2"/>
  <c r="O35" i="2"/>
  <c r="O36" i="2"/>
  <c r="O37" i="2"/>
  <c r="O38" i="2"/>
  <c r="O7" i="2"/>
  <c r="H47" i="2"/>
  <c r="N15" i="8"/>
  <c r="N16" i="8"/>
  <c r="N17" i="8"/>
  <c r="N18" i="8"/>
  <c r="N19" i="8"/>
  <c r="N14" i="8"/>
  <c r="K15" i="8"/>
  <c r="K16" i="8"/>
  <c r="K17" i="8"/>
  <c r="K18" i="8"/>
  <c r="D18" i="8" s="1"/>
  <c r="K19" i="8"/>
  <c r="K14" i="8"/>
  <c r="D14" i="8" s="1"/>
  <c r="N22" i="8"/>
  <c r="G16" i="8"/>
  <c r="J16" i="8" s="1"/>
  <c r="D16" i="8"/>
  <c r="G17" i="8"/>
  <c r="J17" i="8" s="1"/>
  <c r="D17" i="8"/>
  <c r="G18" i="8"/>
  <c r="J18" i="8" s="1"/>
  <c r="G19" i="8"/>
  <c r="J19" i="8" s="1"/>
  <c r="D19" i="8"/>
  <c r="G20" i="8"/>
  <c r="J20" i="8" s="1"/>
  <c r="K20" i="8"/>
  <c r="D20" i="8" s="1"/>
  <c r="G21" i="8"/>
  <c r="J21" i="8" s="1"/>
  <c r="K21" i="8"/>
  <c r="D21" i="8" s="1"/>
  <c r="G22" i="8"/>
  <c r="J22" i="8" s="1"/>
  <c r="K22" i="8"/>
  <c r="D22" i="8" s="1"/>
  <c r="D15" i="8"/>
  <c r="M15" i="8"/>
  <c r="M14" i="8"/>
  <c r="G15" i="8"/>
  <c r="J15" i="8" s="1"/>
  <c r="G14" i="8"/>
  <c r="J14" i="8" s="1"/>
  <c r="F7" i="8"/>
  <c r="F8" i="8" s="1"/>
  <c r="E8" i="8" s="1"/>
  <c r="E6" i="8"/>
  <c r="F6" i="8" s="1"/>
  <c r="R8" i="8"/>
  <c r="R4" i="8"/>
  <c r="O8" i="8"/>
  <c r="O4" i="8"/>
  <c r="AN38" i="2"/>
  <c r="AE38" i="2"/>
  <c r="V38" i="2"/>
  <c r="AN37" i="2"/>
  <c r="AE37" i="2"/>
  <c r="V37" i="2"/>
  <c r="AN36" i="2"/>
  <c r="AE36" i="2"/>
  <c r="V36" i="2"/>
  <c r="AN35" i="2"/>
  <c r="AE35" i="2"/>
  <c r="V35" i="2"/>
  <c r="AN34" i="2"/>
  <c r="AE34" i="2"/>
  <c r="V34" i="2"/>
  <c r="AN33" i="2"/>
  <c r="AE33" i="2"/>
  <c r="V33" i="2"/>
  <c r="AN32" i="2"/>
  <c r="AE32" i="2"/>
  <c r="AN31" i="2"/>
  <c r="AE31" i="2"/>
  <c r="AN30" i="2"/>
  <c r="AN29" i="2"/>
  <c r="AE29" i="2"/>
  <c r="AN28" i="2"/>
  <c r="AN27" i="2"/>
  <c r="AN26" i="2"/>
  <c r="AN25" i="2"/>
  <c r="AN24" i="2"/>
  <c r="AN23" i="2"/>
  <c r="AN22" i="2"/>
  <c r="AE22" i="2"/>
  <c r="AN21" i="2"/>
  <c r="AN20" i="2"/>
  <c r="AN19" i="2"/>
  <c r="AN18" i="2"/>
  <c r="AE18" i="2"/>
  <c r="AN17" i="2"/>
  <c r="AE17" i="2"/>
  <c r="V17" i="2"/>
  <c r="AN16" i="2"/>
  <c r="AN15" i="2"/>
  <c r="AN14" i="2"/>
  <c r="AN13" i="2"/>
  <c r="AE13" i="2"/>
  <c r="AN12" i="2"/>
  <c r="AN11" i="2"/>
  <c r="AE11" i="2"/>
  <c r="AN10" i="2"/>
  <c r="AN9" i="2"/>
  <c r="AN7" i="2"/>
  <c r="AN6" i="2"/>
  <c r="AN38" i="6"/>
  <c r="AE38" i="6"/>
  <c r="V38" i="6"/>
  <c r="AN37" i="6"/>
  <c r="AE37" i="6"/>
  <c r="V37" i="6"/>
  <c r="AN36" i="6"/>
  <c r="AE36" i="6"/>
  <c r="V36" i="6"/>
  <c r="AN35" i="6"/>
  <c r="AE35" i="6"/>
  <c r="V35" i="6"/>
  <c r="AN34" i="6"/>
  <c r="AE34" i="6"/>
  <c r="V34" i="6"/>
  <c r="AN33" i="6"/>
  <c r="AE33" i="6"/>
  <c r="V33" i="6"/>
  <c r="AN32" i="6"/>
  <c r="AE32" i="6"/>
  <c r="V32" i="6"/>
  <c r="AN31" i="6"/>
  <c r="AE31" i="6"/>
  <c r="V31" i="6"/>
  <c r="AN30" i="6"/>
  <c r="AE30" i="6"/>
  <c r="V30" i="6"/>
  <c r="AN29" i="6"/>
  <c r="AE29" i="6"/>
  <c r="V29" i="6"/>
  <c r="AN28" i="6"/>
  <c r="AE28" i="6"/>
  <c r="V28" i="6"/>
  <c r="AN27" i="6"/>
  <c r="AE27" i="6"/>
  <c r="V27" i="6"/>
  <c r="AN26" i="6"/>
  <c r="AE26" i="6"/>
  <c r="V26" i="6"/>
  <c r="AN25" i="6"/>
  <c r="AE25" i="6"/>
  <c r="V25" i="6"/>
  <c r="AN24" i="6"/>
  <c r="AE24" i="6"/>
  <c r="V24" i="6"/>
  <c r="AN23" i="6"/>
  <c r="AE23" i="6"/>
  <c r="V23" i="6"/>
  <c r="AN22" i="6"/>
  <c r="AE22" i="6"/>
  <c r="V22" i="6"/>
  <c r="AN21" i="6"/>
  <c r="AE21" i="6"/>
  <c r="V21" i="6"/>
  <c r="AN20" i="6"/>
  <c r="AE20" i="6"/>
  <c r="V20" i="6"/>
  <c r="AN19" i="6"/>
  <c r="AE19" i="6"/>
  <c r="V19" i="6"/>
  <c r="AN18" i="6"/>
  <c r="AE18" i="6"/>
  <c r="V18" i="6"/>
  <c r="AN17" i="6"/>
  <c r="AE17" i="6"/>
  <c r="V17" i="6"/>
  <c r="AN16" i="6"/>
  <c r="AE16" i="6"/>
  <c r="V16" i="6"/>
  <c r="AN15" i="6"/>
  <c r="AE15" i="6"/>
  <c r="V15" i="6"/>
  <c r="AN14" i="6"/>
  <c r="AE14" i="6"/>
  <c r="V14" i="6"/>
  <c r="AN13" i="6"/>
  <c r="AE13" i="6"/>
  <c r="V13" i="6"/>
  <c r="AN12" i="6"/>
  <c r="AE12" i="6"/>
  <c r="V12" i="6"/>
  <c r="AN11" i="6"/>
  <c r="AE11" i="6"/>
  <c r="V11" i="6"/>
  <c r="AN10" i="6"/>
  <c r="AE10" i="6"/>
  <c r="V10" i="6"/>
  <c r="AN9" i="6"/>
  <c r="AE9" i="6"/>
  <c r="V9" i="6"/>
  <c r="AN8" i="6"/>
  <c r="AE8" i="6"/>
  <c r="V8" i="6"/>
  <c r="AN7" i="6"/>
  <c r="AE7" i="6"/>
  <c r="V7" i="6"/>
  <c r="AN6" i="6"/>
  <c r="AE6" i="6"/>
  <c r="V6" i="6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7" i="2"/>
  <c r="AF6" i="2"/>
  <c r="W34" i="2"/>
  <c r="W35" i="2"/>
  <c r="W36" i="2"/>
  <c r="W37" i="2"/>
  <c r="W38" i="2"/>
  <c r="N33" i="2"/>
  <c r="N34" i="2"/>
  <c r="N35" i="2"/>
  <c r="N36" i="2"/>
  <c r="N37" i="2"/>
  <c r="N38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6" i="6"/>
  <c r="N7" i="6"/>
  <c r="N8" i="6"/>
  <c r="N9" i="6"/>
  <c r="N10" i="6"/>
  <c r="N11" i="6"/>
  <c r="P11" i="6" s="1"/>
  <c r="N12" i="6"/>
  <c r="P12" i="6" s="1"/>
  <c r="N13" i="6"/>
  <c r="N14" i="6"/>
  <c r="N15" i="6"/>
  <c r="N16" i="6"/>
  <c r="N17" i="6"/>
  <c r="P17" i="6" s="1"/>
  <c r="N18" i="6"/>
  <c r="P18" i="6" s="1"/>
  <c r="N19" i="6"/>
  <c r="N20" i="6"/>
  <c r="N21" i="6"/>
  <c r="N22" i="6"/>
  <c r="N23" i="6"/>
  <c r="P23" i="6" s="1"/>
  <c r="N24" i="6"/>
  <c r="P24" i="6" s="1"/>
  <c r="N25" i="6"/>
  <c r="N26" i="6"/>
  <c r="N27" i="6"/>
  <c r="N28" i="6"/>
  <c r="N29" i="6"/>
  <c r="P29" i="6" s="1"/>
  <c r="N30" i="6"/>
  <c r="P30" i="6" s="1"/>
  <c r="N31" i="6"/>
  <c r="N32" i="6"/>
  <c r="N33" i="6"/>
  <c r="N34" i="6"/>
  <c r="N35" i="6"/>
  <c r="N36" i="6"/>
  <c r="N37" i="6"/>
  <c r="N38" i="6"/>
  <c r="N6" i="6"/>
  <c r="P6" i="6"/>
  <c r="P7" i="6"/>
  <c r="P8" i="6"/>
  <c r="P9" i="6"/>
  <c r="P10" i="6"/>
  <c r="P13" i="6"/>
  <c r="P14" i="6"/>
  <c r="P15" i="6"/>
  <c r="P16" i="6"/>
  <c r="P19" i="6"/>
  <c r="P20" i="6"/>
  <c r="P21" i="6"/>
  <c r="P22" i="6"/>
  <c r="P25" i="6"/>
  <c r="P26" i="6"/>
  <c r="P27" i="6"/>
  <c r="P28" i="6"/>
  <c r="P31" i="6"/>
  <c r="P32" i="6"/>
  <c r="P33" i="6"/>
  <c r="P34" i="6"/>
  <c r="P35" i="6"/>
  <c r="P36" i="6"/>
  <c r="P37" i="6"/>
  <c r="P38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6" i="6"/>
  <c r="F38" i="2"/>
  <c r="F37" i="2"/>
  <c r="F36" i="2"/>
  <c r="F35" i="2"/>
  <c r="F34" i="2"/>
  <c r="F33" i="2"/>
  <c r="F33" i="6"/>
  <c r="F34" i="6"/>
  <c r="F35" i="6"/>
  <c r="F36" i="6"/>
  <c r="F37" i="6"/>
  <c r="F38" i="6"/>
  <c r="D48" i="6"/>
  <c r="K42" i="6"/>
  <c r="K41" i="6"/>
  <c r="L41" i="6" s="1"/>
  <c r="K40" i="6"/>
  <c r="AM38" i="6"/>
  <c r="AJ38" i="6"/>
  <c r="AI38" i="6"/>
  <c r="AH38" i="6"/>
  <c r="AG38" i="6"/>
  <c r="AD38" i="6"/>
  <c r="AA38" i="6"/>
  <c r="Z38" i="6"/>
  <c r="Y38" i="6"/>
  <c r="X38" i="6"/>
  <c r="U38" i="6"/>
  <c r="R38" i="6"/>
  <c r="Q38" i="6"/>
  <c r="O38" i="6"/>
  <c r="J38" i="6"/>
  <c r="AM37" i="6"/>
  <c r="AJ37" i="6"/>
  <c r="AI37" i="6"/>
  <c r="AH37" i="6"/>
  <c r="AG37" i="6"/>
  <c r="AD37" i="6"/>
  <c r="AA37" i="6"/>
  <c r="Z37" i="6"/>
  <c r="Y37" i="6"/>
  <c r="X37" i="6"/>
  <c r="U37" i="6"/>
  <c r="R37" i="6"/>
  <c r="Q37" i="6"/>
  <c r="O37" i="6"/>
  <c r="J37" i="6"/>
  <c r="AM36" i="6"/>
  <c r="AJ36" i="6"/>
  <c r="AI36" i="6"/>
  <c r="AH36" i="6"/>
  <c r="AG36" i="6"/>
  <c r="AD36" i="6"/>
  <c r="AA36" i="6"/>
  <c r="Z36" i="6"/>
  <c r="Y36" i="6"/>
  <c r="X36" i="6"/>
  <c r="U36" i="6"/>
  <c r="R36" i="6"/>
  <c r="Q36" i="6"/>
  <c r="O36" i="6"/>
  <c r="J36" i="6"/>
  <c r="AM35" i="6"/>
  <c r="AJ35" i="6"/>
  <c r="AI35" i="6"/>
  <c r="AH35" i="6"/>
  <c r="AG35" i="6"/>
  <c r="AD35" i="6"/>
  <c r="AA35" i="6"/>
  <c r="Z35" i="6"/>
  <c r="Y35" i="6"/>
  <c r="X35" i="6"/>
  <c r="U35" i="6"/>
  <c r="R35" i="6"/>
  <c r="Q35" i="6"/>
  <c r="O35" i="6"/>
  <c r="J35" i="6"/>
  <c r="AM34" i="6"/>
  <c r="AJ34" i="6"/>
  <c r="AI34" i="6"/>
  <c r="AH34" i="6"/>
  <c r="AG34" i="6"/>
  <c r="AD34" i="6"/>
  <c r="AA34" i="6"/>
  <c r="Z34" i="6"/>
  <c r="Y34" i="6"/>
  <c r="X34" i="6"/>
  <c r="U34" i="6"/>
  <c r="R34" i="6"/>
  <c r="Q34" i="6"/>
  <c r="O34" i="6"/>
  <c r="J34" i="6"/>
  <c r="AM33" i="6"/>
  <c r="AJ33" i="6"/>
  <c r="AI33" i="6"/>
  <c r="AH33" i="6"/>
  <c r="AG33" i="6"/>
  <c r="AD33" i="6"/>
  <c r="AA33" i="6"/>
  <c r="Z33" i="6"/>
  <c r="Y33" i="6"/>
  <c r="X33" i="6"/>
  <c r="U33" i="6"/>
  <c r="R33" i="6"/>
  <c r="Q33" i="6"/>
  <c r="O33" i="6"/>
  <c r="J33" i="6"/>
  <c r="AM32" i="6"/>
  <c r="AJ32" i="6"/>
  <c r="AI32" i="6"/>
  <c r="AH32" i="6"/>
  <c r="AG32" i="6"/>
  <c r="AD32" i="6"/>
  <c r="AA32" i="6"/>
  <c r="Z32" i="6"/>
  <c r="Y32" i="6"/>
  <c r="X32" i="6"/>
  <c r="J32" i="6"/>
  <c r="AM31" i="6"/>
  <c r="AJ31" i="6"/>
  <c r="AI31" i="6"/>
  <c r="AH31" i="6"/>
  <c r="AG31" i="6"/>
  <c r="AD31" i="6"/>
  <c r="AA31" i="6"/>
  <c r="Z31" i="6"/>
  <c r="Y31" i="6"/>
  <c r="X31" i="6"/>
  <c r="J31" i="6"/>
  <c r="AM30" i="6"/>
  <c r="AJ30" i="6"/>
  <c r="AI30" i="6"/>
  <c r="AH30" i="6"/>
  <c r="AG30" i="6"/>
  <c r="J30" i="6"/>
  <c r="AM29" i="6"/>
  <c r="AJ29" i="6"/>
  <c r="AI29" i="6"/>
  <c r="AH29" i="6"/>
  <c r="AG29" i="6"/>
  <c r="AD29" i="6"/>
  <c r="AA29" i="6"/>
  <c r="Z29" i="6"/>
  <c r="Y29" i="6"/>
  <c r="X29" i="6"/>
  <c r="J29" i="6"/>
  <c r="AM28" i="6"/>
  <c r="AJ28" i="6"/>
  <c r="AI28" i="6"/>
  <c r="AH28" i="6"/>
  <c r="AG28" i="6"/>
  <c r="J28" i="6"/>
  <c r="Q28" i="6" s="1"/>
  <c r="AM27" i="6"/>
  <c r="AJ27" i="6"/>
  <c r="AI27" i="6"/>
  <c r="AH27" i="6"/>
  <c r="AG27" i="6"/>
  <c r="J27" i="6"/>
  <c r="AM26" i="6"/>
  <c r="AJ26" i="6"/>
  <c r="AI26" i="6"/>
  <c r="AH26" i="6"/>
  <c r="AG26" i="6"/>
  <c r="J26" i="6"/>
  <c r="AM25" i="6"/>
  <c r="AJ25" i="6"/>
  <c r="AI25" i="6"/>
  <c r="AH25" i="6"/>
  <c r="AG25" i="6"/>
  <c r="J25" i="6"/>
  <c r="AM24" i="6"/>
  <c r="AJ24" i="6"/>
  <c r="AI24" i="6"/>
  <c r="AH24" i="6"/>
  <c r="AG24" i="6"/>
  <c r="J24" i="6"/>
  <c r="AM23" i="6"/>
  <c r="AJ23" i="6"/>
  <c r="AI23" i="6"/>
  <c r="AH23" i="6"/>
  <c r="AG23" i="6"/>
  <c r="J23" i="6"/>
  <c r="AM22" i="6"/>
  <c r="AJ22" i="6"/>
  <c r="AI22" i="6"/>
  <c r="AH22" i="6"/>
  <c r="AG22" i="6"/>
  <c r="AD22" i="6"/>
  <c r="AA22" i="6"/>
  <c r="Z22" i="6"/>
  <c r="Y22" i="6"/>
  <c r="X22" i="6"/>
  <c r="J22" i="6"/>
  <c r="AM21" i="6"/>
  <c r="AJ21" i="6"/>
  <c r="AI21" i="6"/>
  <c r="AH21" i="6"/>
  <c r="AG21" i="6"/>
  <c r="J21" i="6"/>
  <c r="AM20" i="6"/>
  <c r="AJ20" i="6"/>
  <c r="AI20" i="6"/>
  <c r="AH20" i="6"/>
  <c r="AG20" i="6"/>
  <c r="U20" i="6"/>
  <c r="J20" i="6"/>
  <c r="AM19" i="6"/>
  <c r="AJ19" i="6"/>
  <c r="AI19" i="6"/>
  <c r="AH19" i="6"/>
  <c r="AG19" i="6"/>
  <c r="J19" i="6"/>
  <c r="AM18" i="6"/>
  <c r="AJ18" i="6"/>
  <c r="AI18" i="6"/>
  <c r="AH18" i="6"/>
  <c r="AG18" i="6"/>
  <c r="AD18" i="6"/>
  <c r="AA18" i="6"/>
  <c r="Z18" i="6"/>
  <c r="Y18" i="6"/>
  <c r="X18" i="6"/>
  <c r="J18" i="6"/>
  <c r="AM17" i="6"/>
  <c r="AJ17" i="6"/>
  <c r="AI17" i="6"/>
  <c r="AH17" i="6"/>
  <c r="AG17" i="6"/>
  <c r="AD17" i="6"/>
  <c r="Z17" i="6"/>
  <c r="U17" i="6"/>
  <c r="J17" i="6"/>
  <c r="AM16" i="6"/>
  <c r="AJ16" i="6"/>
  <c r="AI16" i="6"/>
  <c r="AH16" i="6"/>
  <c r="AG16" i="6"/>
  <c r="AD16" i="6"/>
  <c r="J16" i="6"/>
  <c r="AM15" i="6"/>
  <c r="AJ15" i="6"/>
  <c r="AI15" i="6"/>
  <c r="AH15" i="6"/>
  <c r="AG15" i="6"/>
  <c r="AD15" i="6"/>
  <c r="J15" i="6"/>
  <c r="AM14" i="6"/>
  <c r="AJ14" i="6"/>
  <c r="AI14" i="6"/>
  <c r="AH14" i="6"/>
  <c r="AG14" i="6"/>
  <c r="J14" i="6"/>
  <c r="U14" i="6" s="1"/>
  <c r="AM13" i="6"/>
  <c r="AJ13" i="6"/>
  <c r="AI13" i="6"/>
  <c r="AH13" i="6"/>
  <c r="AG13" i="6"/>
  <c r="AD13" i="6"/>
  <c r="AA13" i="6"/>
  <c r="Z13" i="6"/>
  <c r="Y13" i="6"/>
  <c r="X13" i="6"/>
  <c r="J13" i="6"/>
  <c r="AM12" i="6"/>
  <c r="AJ12" i="6"/>
  <c r="AI12" i="6"/>
  <c r="AH12" i="6"/>
  <c r="AG12" i="6"/>
  <c r="J12" i="6"/>
  <c r="AM11" i="6"/>
  <c r="AJ11" i="6"/>
  <c r="AI11" i="6"/>
  <c r="AH11" i="6"/>
  <c r="AG11" i="6"/>
  <c r="AD11" i="6"/>
  <c r="AA11" i="6"/>
  <c r="Z11" i="6"/>
  <c r="Y11" i="6"/>
  <c r="X11" i="6"/>
  <c r="J11" i="6"/>
  <c r="AM10" i="6"/>
  <c r="AJ10" i="6"/>
  <c r="AI10" i="6"/>
  <c r="AH10" i="6"/>
  <c r="AG10" i="6"/>
  <c r="J10" i="6"/>
  <c r="AM9" i="6"/>
  <c r="AJ9" i="6"/>
  <c r="AI9" i="6"/>
  <c r="AH9" i="6"/>
  <c r="AG9" i="6"/>
  <c r="J9" i="6"/>
  <c r="J8" i="6"/>
  <c r="AM7" i="6"/>
  <c r="AJ7" i="6"/>
  <c r="AI7" i="6"/>
  <c r="AH7" i="6"/>
  <c r="AG7" i="6"/>
  <c r="J7" i="6"/>
  <c r="AM6" i="6"/>
  <c r="AJ6" i="6"/>
  <c r="AI6" i="6"/>
  <c r="AH6" i="6"/>
  <c r="AG6" i="6"/>
  <c r="J6" i="6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7" i="2"/>
  <c r="AM9" i="2"/>
  <c r="AM10" i="2"/>
  <c r="AM11" i="2"/>
  <c r="AM12" i="2"/>
  <c r="AM13" i="2"/>
  <c r="AM14" i="2"/>
  <c r="AM15" i="2"/>
  <c r="AM16" i="2"/>
  <c r="AM17" i="2"/>
  <c r="AM6" i="2"/>
  <c r="AG7" i="2"/>
  <c r="AH7" i="2"/>
  <c r="AI7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H15" i="2"/>
  <c r="AI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H26" i="2"/>
  <c r="AI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G33" i="2"/>
  <c r="AH33" i="2"/>
  <c r="AI33" i="2"/>
  <c r="AG34" i="2"/>
  <c r="AH34" i="2"/>
  <c r="AI34" i="2"/>
  <c r="AG35" i="2"/>
  <c r="AH35" i="2"/>
  <c r="AI35" i="2"/>
  <c r="AG36" i="2"/>
  <c r="AH36" i="2"/>
  <c r="AI36" i="2"/>
  <c r="AG37" i="2"/>
  <c r="AH37" i="2"/>
  <c r="AI37" i="2"/>
  <c r="AF38" i="2"/>
  <c r="AG38" i="2"/>
  <c r="AH38" i="2"/>
  <c r="AI38" i="2"/>
  <c r="AI6" i="2"/>
  <c r="AH6" i="2"/>
  <c r="AG6" i="2"/>
  <c r="AD38" i="2"/>
  <c r="X34" i="2"/>
  <c r="X35" i="2"/>
  <c r="X36" i="2"/>
  <c r="X37" i="2"/>
  <c r="X38" i="2"/>
  <c r="Y38" i="2"/>
  <c r="Z3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6" i="2"/>
  <c r="M20" i="8" l="1"/>
  <c r="N20" i="8" s="1"/>
  <c r="M17" i="8"/>
  <c r="M21" i="8"/>
  <c r="N21" i="8" s="1"/>
  <c r="M18" i="8"/>
  <c r="M22" i="8"/>
  <c r="M19" i="8"/>
  <c r="M16" i="8"/>
  <c r="P3" i="8"/>
  <c r="P4" i="8" s="1"/>
  <c r="C8" i="8"/>
  <c r="V6" i="2"/>
  <c r="AD9" i="6"/>
  <c r="AD21" i="6"/>
  <c r="AD26" i="6"/>
  <c r="AD27" i="6"/>
  <c r="L40" i="6"/>
  <c r="V24" i="2"/>
  <c r="L42" i="6"/>
  <c r="U21" i="6"/>
  <c r="O21" i="6"/>
  <c r="U26" i="6"/>
  <c r="O26" i="6"/>
  <c r="U9" i="6"/>
  <c r="O9" i="6"/>
  <c r="U15" i="6"/>
  <c r="O15" i="6"/>
  <c r="U27" i="6"/>
  <c r="O27" i="6"/>
  <c r="U32" i="6"/>
  <c r="O32" i="6"/>
  <c r="U8" i="6"/>
  <c r="O8" i="6"/>
  <c r="Y16" i="6"/>
  <c r="O14" i="6"/>
  <c r="O20" i="6"/>
  <c r="X15" i="6"/>
  <c r="X21" i="6"/>
  <c r="X16" i="6"/>
  <c r="X9" i="6"/>
  <c r="X10" i="6"/>
  <c r="V29" i="2"/>
  <c r="AE23" i="2"/>
  <c r="V11" i="2"/>
  <c r="AE28" i="2"/>
  <c r="V22" i="2"/>
  <c r="V16" i="2"/>
  <c r="V10" i="2"/>
  <c r="AE21" i="2"/>
  <c r="V32" i="2"/>
  <c r="V20" i="2"/>
  <c r="AE14" i="2"/>
  <c r="AE19" i="2"/>
  <c r="V26" i="2"/>
  <c r="AE30" i="2"/>
  <c r="AE6" i="2"/>
  <c r="O16" i="6"/>
  <c r="U16" i="6"/>
  <c r="Y23" i="6"/>
  <c r="X23" i="6"/>
  <c r="AD23" i="6"/>
  <c r="U31" i="6"/>
  <c r="Q31" i="6"/>
  <c r="O31" i="6"/>
  <c r="AE15" i="2"/>
  <c r="AE9" i="2"/>
  <c r="V15" i="2"/>
  <c r="U13" i="6"/>
  <c r="Q13" i="6"/>
  <c r="O13" i="6"/>
  <c r="Q16" i="6"/>
  <c r="Y17" i="6"/>
  <c r="AA17" i="6" s="1"/>
  <c r="X17" i="6"/>
  <c r="O22" i="6"/>
  <c r="U22" i="6"/>
  <c r="AE25" i="2"/>
  <c r="AD8" i="6"/>
  <c r="Z8" i="6"/>
  <c r="Y8" i="6"/>
  <c r="X8" i="6"/>
  <c r="AN8" i="2"/>
  <c r="AD14" i="6"/>
  <c r="Z14" i="6"/>
  <c r="Y14" i="6"/>
  <c r="X14" i="6"/>
  <c r="U19" i="6"/>
  <c r="Q19" i="6"/>
  <c r="O19" i="6"/>
  <c r="Q22" i="6"/>
  <c r="Z23" i="6"/>
  <c r="R28" i="6"/>
  <c r="O28" i="6"/>
  <c r="U28" i="6"/>
  <c r="AE7" i="2"/>
  <c r="P2" i="6"/>
  <c r="V9" i="2"/>
  <c r="AE27" i="2"/>
  <c r="AE12" i="2"/>
  <c r="O10" i="6"/>
  <c r="U10" i="6"/>
  <c r="AD20" i="6"/>
  <c r="Z20" i="6"/>
  <c r="Y20" i="6"/>
  <c r="X20" i="6"/>
  <c r="U25" i="6"/>
  <c r="Q25" i="6"/>
  <c r="O25" i="6"/>
  <c r="Q29" i="6"/>
  <c r="O29" i="6"/>
  <c r="U29" i="6"/>
  <c r="AE24" i="2"/>
  <c r="V18" i="2"/>
  <c r="U7" i="6"/>
  <c r="Q7" i="6"/>
  <c r="O7" i="6"/>
  <c r="Q10" i="6"/>
  <c r="Q11" i="6"/>
  <c r="O11" i="6"/>
  <c r="U11" i="6"/>
  <c r="Z26" i="6"/>
  <c r="Q9" i="6"/>
  <c r="R9" i="6" s="1"/>
  <c r="Y9" i="6"/>
  <c r="Z10" i="6"/>
  <c r="Q15" i="6"/>
  <c r="R15" i="6" s="1"/>
  <c r="Y15" i="6"/>
  <c r="Z16" i="6"/>
  <c r="AA16" i="6" s="1"/>
  <c r="Q21" i="6"/>
  <c r="R21" i="6" s="1"/>
  <c r="Y21" i="6"/>
  <c r="R26" i="6"/>
  <c r="Q27" i="6"/>
  <c r="R27" i="6" s="1"/>
  <c r="Z28" i="6"/>
  <c r="Q8" i="6"/>
  <c r="Z9" i="6"/>
  <c r="Q14" i="6"/>
  <c r="Z15" i="6"/>
  <c r="Q20" i="6"/>
  <c r="Z21" i="6"/>
  <c r="Q26" i="6"/>
  <c r="Q32" i="6"/>
  <c r="V31" i="2"/>
  <c r="V25" i="2"/>
  <c r="V19" i="2"/>
  <c r="V13" i="2"/>
  <c r="V7" i="2"/>
  <c r="AE26" i="2" l="1"/>
  <c r="V21" i="2"/>
  <c r="AA20" i="6"/>
  <c r="Z27" i="6"/>
  <c r="Y27" i="6"/>
  <c r="AA27" i="6" s="1"/>
  <c r="X26" i="6"/>
  <c r="X27" i="6"/>
  <c r="AD10" i="6"/>
  <c r="Y10" i="6"/>
  <c r="AA10" i="6" s="1"/>
  <c r="Y26" i="6"/>
  <c r="AA26" i="6" s="1"/>
  <c r="R29" i="6"/>
  <c r="F29" i="6" s="1"/>
  <c r="R13" i="6"/>
  <c r="F13" i="6" s="1"/>
  <c r="F26" i="6"/>
  <c r="AE20" i="2"/>
  <c r="V30" i="2"/>
  <c r="V27" i="2"/>
  <c r="V12" i="2"/>
  <c r="AA14" i="6"/>
  <c r="AA8" i="6"/>
  <c r="AD28" i="6"/>
  <c r="X28" i="6"/>
  <c r="Y28" i="6"/>
  <c r="AA28" i="6" s="1"/>
  <c r="AA9" i="6"/>
  <c r="F9" i="6" s="1"/>
  <c r="R22" i="6"/>
  <c r="F22" i="6" s="1"/>
  <c r="AE8" i="2"/>
  <c r="Z6" i="6"/>
  <c r="Y6" i="6"/>
  <c r="X6" i="6"/>
  <c r="AD6" i="6"/>
  <c r="Z24" i="6"/>
  <c r="Y24" i="6"/>
  <c r="X24" i="6"/>
  <c r="AD24" i="6"/>
  <c r="Z12" i="6"/>
  <c r="Y12" i="6"/>
  <c r="X12" i="6"/>
  <c r="AD12" i="6"/>
  <c r="Z30" i="6"/>
  <c r="Y30" i="6"/>
  <c r="X30" i="6"/>
  <c r="AD30" i="6"/>
  <c r="Z25" i="6"/>
  <c r="Y25" i="6"/>
  <c r="X25" i="6"/>
  <c r="AD25" i="6"/>
  <c r="AA15" i="6"/>
  <c r="F15" i="6" s="1"/>
  <c r="V23" i="2"/>
  <c r="R16" i="6"/>
  <c r="F16" i="6" s="1"/>
  <c r="Z19" i="6"/>
  <c r="Y19" i="6"/>
  <c r="X19" i="6"/>
  <c r="AD19" i="6"/>
  <c r="Q17" i="6"/>
  <c r="O17" i="6"/>
  <c r="AI8" i="6"/>
  <c r="AH8" i="6"/>
  <c r="AG8" i="6"/>
  <c r="AM8" i="6"/>
  <c r="Q23" i="6"/>
  <c r="O23" i="6"/>
  <c r="U23" i="6"/>
  <c r="R32" i="6"/>
  <c r="F32" i="6" s="1"/>
  <c r="AA21" i="6"/>
  <c r="F21" i="6" s="1"/>
  <c r="R8" i="6"/>
  <c r="R7" i="6"/>
  <c r="R25" i="6"/>
  <c r="R19" i="6"/>
  <c r="AE10" i="2"/>
  <c r="R31" i="6"/>
  <c r="F31" i="6" s="1"/>
  <c r="AA23" i="6"/>
  <c r="Z7" i="6"/>
  <c r="Y7" i="6"/>
  <c r="X7" i="6"/>
  <c r="AD7" i="6"/>
  <c r="V14" i="2"/>
  <c r="R10" i="6"/>
  <c r="F10" i="6" s="1"/>
  <c r="AE16" i="2"/>
  <c r="R14" i="6"/>
  <c r="R20" i="6"/>
  <c r="F20" i="6" s="1"/>
  <c r="Q24" i="6"/>
  <c r="R24" i="6" s="1"/>
  <c r="O24" i="6"/>
  <c r="U24" i="6"/>
  <c r="R11" i="6"/>
  <c r="F11" i="6" s="1"/>
  <c r="V28" i="2"/>
  <c r="Q18" i="6"/>
  <c r="O18" i="6"/>
  <c r="U18" i="6"/>
  <c r="Q6" i="6"/>
  <c r="O6" i="6"/>
  <c r="U6" i="6"/>
  <c r="Q12" i="6"/>
  <c r="O12" i="6"/>
  <c r="U12" i="6"/>
  <c r="V8" i="2"/>
  <c r="Q30" i="6"/>
  <c r="O30" i="6"/>
  <c r="U30" i="6"/>
  <c r="F27" i="6" l="1"/>
  <c r="AA24" i="6"/>
  <c r="F24" i="6" s="1"/>
  <c r="F14" i="6"/>
  <c r="F19" i="6"/>
  <c r="AJ8" i="6"/>
  <c r="AI40" i="6" s="1"/>
  <c r="F28" i="6"/>
  <c r="R12" i="6"/>
  <c r="F12" i="6" s="1"/>
  <c r="AA19" i="6"/>
  <c r="AA30" i="6"/>
  <c r="AA6" i="6"/>
  <c r="T40" i="6"/>
  <c r="T42" i="6"/>
  <c r="T41" i="6"/>
  <c r="R18" i="6"/>
  <c r="F18" i="6" s="1"/>
  <c r="R23" i="6"/>
  <c r="F23" i="6" s="1"/>
  <c r="N40" i="6"/>
  <c r="AA7" i="6"/>
  <c r="F7" i="6" s="1"/>
  <c r="AA12" i="6"/>
  <c r="R30" i="6"/>
  <c r="F30" i="6" s="1"/>
  <c r="R6" i="6"/>
  <c r="AL42" i="6"/>
  <c r="AL41" i="6"/>
  <c r="AL40" i="6"/>
  <c r="R17" i="6"/>
  <c r="F17" i="6" s="1"/>
  <c r="AA25" i="6"/>
  <c r="F25" i="6" s="1"/>
  <c r="AC40" i="6"/>
  <c r="AC42" i="6"/>
  <c r="AC41" i="6"/>
  <c r="F8" i="6" l="1"/>
  <c r="F6" i="6"/>
  <c r="H41" i="6"/>
  <c r="H42" i="6"/>
  <c r="H45" i="6"/>
  <c r="Q40" i="6"/>
  <c r="H40" i="6"/>
  <c r="Z40" i="6"/>
  <c r="E40" i="6" l="1"/>
  <c r="D40" i="6"/>
  <c r="C40" i="6"/>
  <c r="E41" i="6" l="1"/>
  <c r="D41" i="6"/>
  <c r="C41" i="6"/>
  <c r="K42" i="2"/>
  <c r="K41" i="2"/>
  <c r="K40" i="2"/>
  <c r="AJ38" i="2"/>
  <c r="AA38" i="2"/>
  <c r="R38" i="2"/>
  <c r="AJ37" i="2"/>
  <c r="AA37" i="2"/>
  <c r="R37" i="2"/>
  <c r="AJ36" i="2"/>
  <c r="AA36" i="2"/>
  <c r="R36" i="2"/>
  <c r="AJ35" i="2"/>
  <c r="AA35" i="2"/>
  <c r="R35" i="2"/>
  <c r="AJ34" i="2"/>
  <c r="AA34" i="2"/>
  <c r="R34" i="2"/>
  <c r="AJ33" i="2"/>
  <c r="AA33" i="2"/>
  <c r="R33" i="2"/>
  <c r="AJ32" i="2"/>
  <c r="AA32" i="2"/>
  <c r="AJ31" i="2"/>
  <c r="AA31" i="2"/>
  <c r="AJ30" i="2"/>
  <c r="AJ29" i="2"/>
  <c r="AA29" i="2"/>
  <c r="AJ28" i="2"/>
  <c r="AJ27" i="2"/>
  <c r="AJ26" i="2"/>
  <c r="AJ25" i="2"/>
  <c r="AJ24" i="2"/>
  <c r="AJ23" i="2"/>
  <c r="AJ22" i="2"/>
  <c r="AA22" i="2"/>
  <c r="AJ21" i="2"/>
  <c r="AJ20" i="2"/>
  <c r="AJ19" i="2"/>
  <c r="AJ18" i="2"/>
  <c r="AA18" i="2"/>
  <c r="AJ17" i="2"/>
  <c r="AJ16" i="2"/>
  <c r="AJ15" i="2"/>
  <c r="AJ14" i="2"/>
  <c r="AJ13" i="2"/>
  <c r="AA13" i="2"/>
  <c r="AJ12" i="2"/>
  <c r="AJ11" i="2"/>
  <c r="AA11" i="2"/>
  <c r="AJ10" i="2"/>
  <c r="AJ9" i="2"/>
  <c r="AJ7" i="2"/>
  <c r="AJ6" i="2"/>
  <c r="AA17" i="2" l="1"/>
  <c r="L40" i="2"/>
  <c r="AA8" i="2"/>
  <c r="AA9" i="2"/>
  <c r="AA20" i="2"/>
  <c r="R23" i="2"/>
  <c r="AA26" i="2"/>
  <c r="R17" i="2"/>
  <c r="AA21" i="2"/>
  <c r="R22" i="2"/>
  <c r="F22" i="2" s="1"/>
  <c r="R21" i="2"/>
  <c r="R11" i="2"/>
  <c r="F11" i="2" s="1"/>
  <c r="AA23" i="2"/>
  <c r="AA15" i="2"/>
  <c r="AL41" i="2"/>
  <c r="AJ8" i="2"/>
  <c r="AI40" i="2" s="1"/>
  <c r="AA10" i="2"/>
  <c r="AA27" i="2"/>
  <c r="AA28" i="2"/>
  <c r="R27" i="2"/>
  <c r="R15" i="2"/>
  <c r="L41" i="2"/>
  <c r="L42" i="2"/>
  <c r="AA6" i="2"/>
  <c r="R14" i="2"/>
  <c r="AA30" i="2"/>
  <c r="R32" i="2"/>
  <c r="F32" i="2" s="1"/>
  <c r="R6" i="2"/>
  <c r="R18" i="2"/>
  <c r="F18" i="2" s="1"/>
  <c r="R24" i="2"/>
  <c r="R30" i="2"/>
  <c r="F17" i="2" l="1"/>
  <c r="F15" i="2"/>
  <c r="F21" i="2"/>
  <c r="F30" i="2"/>
  <c r="F6" i="2"/>
  <c r="F27" i="2"/>
  <c r="F23" i="2"/>
  <c r="R28" i="2"/>
  <c r="F28" i="2" s="1"/>
  <c r="R16" i="2"/>
  <c r="AA14" i="2"/>
  <c r="F14" i="2" s="1"/>
  <c r="R29" i="2"/>
  <c r="F29" i="2" s="1"/>
  <c r="AC42" i="2"/>
  <c r="R26" i="2"/>
  <c r="F26" i="2" s="1"/>
  <c r="R8" i="2"/>
  <c r="F8" i="2" s="1"/>
  <c r="AL42" i="2"/>
  <c r="AC40" i="2"/>
  <c r="AC41" i="2"/>
  <c r="R7" i="2"/>
  <c r="R10" i="2"/>
  <c r="F10" i="2" s="1"/>
  <c r="AA7" i="2"/>
  <c r="AA19" i="2"/>
  <c r="T40" i="2"/>
  <c r="AA16" i="2"/>
  <c r="T41" i="2"/>
  <c r="AL40" i="2"/>
  <c r="AA24" i="2"/>
  <c r="F24" i="2" s="1"/>
  <c r="AA25" i="2"/>
  <c r="T42" i="2"/>
  <c r="R12" i="2"/>
  <c r="R20" i="2"/>
  <c r="F20" i="2" s="1"/>
  <c r="R9" i="2"/>
  <c r="F9" i="2" s="1"/>
  <c r="R13" i="2"/>
  <c r="F13" i="2" s="1"/>
  <c r="R31" i="2"/>
  <c r="F31" i="2" s="1"/>
  <c r="R25" i="2"/>
  <c r="F25" i="2" s="1"/>
  <c r="R19" i="2"/>
  <c r="O40" i="2"/>
  <c r="AA12" i="2"/>
  <c r="F16" i="2" l="1"/>
  <c r="F7" i="2"/>
  <c r="F19" i="2"/>
  <c r="F12" i="2"/>
  <c r="H42" i="2"/>
  <c r="J47" i="2" s="1"/>
  <c r="H41" i="2"/>
  <c r="H40" i="2"/>
  <c r="Z40" i="2"/>
  <c r="H45" i="2"/>
  <c r="Q40" i="2"/>
  <c r="I40" i="2" l="1"/>
  <c r="I41" i="2"/>
  <c r="C40" i="2"/>
  <c r="D40" i="2"/>
  <c r="E40" i="2"/>
  <c r="C44" i="2" l="1"/>
  <c r="J48" i="2"/>
  <c r="C41" i="2"/>
  <c r="E42" i="2"/>
  <c r="E41" i="2"/>
  <c r="D41" i="2"/>
  <c r="D44" i="2"/>
  <c r="C42" i="2"/>
</calcChain>
</file>

<file path=xl/sharedStrings.xml><?xml version="1.0" encoding="utf-8"?>
<sst xmlns="http://schemas.openxmlformats.org/spreadsheetml/2006/main" count="439" uniqueCount="96">
  <si>
    <t>Data</t>
  </si>
  <si>
    <t>Symbol</t>
  </si>
  <si>
    <t>SL</t>
  </si>
  <si>
    <t>TP1</t>
  </si>
  <si>
    <t>TP2</t>
  </si>
  <si>
    <t>Cena Wejścia</t>
  </si>
  <si>
    <t>Ilość</t>
  </si>
  <si>
    <t>Analiza</t>
  </si>
  <si>
    <t>Zysk / Strata</t>
  </si>
  <si>
    <t>Suma</t>
  </si>
  <si>
    <t>ETHUSD</t>
  </si>
  <si>
    <t>Long / Short</t>
  </si>
  <si>
    <t>Short</t>
  </si>
  <si>
    <t>Nr</t>
  </si>
  <si>
    <t>USOIL</t>
  </si>
  <si>
    <t>Long</t>
  </si>
  <si>
    <t>NAS100</t>
  </si>
  <si>
    <t>TP3</t>
  </si>
  <si>
    <t>Osiągniety?</t>
  </si>
  <si>
    <t>Przesuniety SL</t>
  </si>
  <si>
    <t>2b</t>
  </si>
  <si>
    <t>USDPLN</t>
  </si>
  <si>
    <t>UK100</t>
  </si>
  <si>
    <t>AUDCHF</t>
  </si>
  <si>
    <t>Potencjalna Strata</t>
  </si>
  <si>
    <t>GBPJPY</t>
  </si>
  <si>
    <t>EURUSD</t>
  </si>
  <si>
    <t>CADCHF</t>
  </si>
  <si>
    <t>GER30</t>
  </si>
  <si>
    <t>Zastaw</t>
  </si>
  <si>
    <t>BTCUSD</t>
  </si>
  <si>
    <t>ETHUSDT</t>
  </si>
  <si>
    <t>GBPUSD</t>
  </si>
  <si>
    <t>Wynik potwierdzony na grupie?</t>
  </si>
  <si>
    <t>NIE</t>
  </si>
  <si>
    <t>TAK</t>
  </si>
  <si>
    <t>TRWA</t>
  </si>
  <si>
    <t>%</t>
  </si>
  <si>
    <t>Wartość</t>
  </si>
  <si>
    <t>Potencjalny Zysk</t>
  </si>
  <si>
    <t>Risk Reward Ratio</t>
  </si>
  <si>
    <t>Średni RRR</t>
  </si>
  <si>
    <t>Realizacja</t>
  </si>
  <si>
    <t>Udanych Analiz</t>
  </si>
  <si>
    <t>Analiza Udana?</t>
  </si>
  <si>
    <t>Nieudanych Analiz</t>
  </si>
  <si>
    <t>Na plus</t>
  </si>
  <si>
    <t>Na minus</t>
  </si>
  <si>
    <t>W sumie</t>
  </si>
  <si>
    <t>RRR Ogółem</t>
  </si>
  <si>
    <t>By zyskać £1 ryzykujesz stratę:</t>
  </si>
  <si>
    <t>Analizy Potwierdzone na telegramie</t>
  </si>
  <si>
    <t>Obrócony Kapitał</t>
  </si>
  <si>
    <t>Inwestor Troche myślący wiedział by zamykać TP2 jak tylko wybije TP1 nawet gdy Ambasadorowie zapomnieli wspomnieć :)</t>
  </si>
  <si>
    <t>Zysk SUMA</t>
  </si>
  <si>
    <t>Stała wartość Ryzyka</t>
  </si>
  <si>
    <t>Waluta</t>
  </si>
  <si>
    <t>EUR</t>
  </si>
  <si>
    <t>USD</t>
  </si>
  <si>
    <t>PLN</t>
  </si>
  <si>
    <t>CHF</t>
  </si>
  <si>
    <t>JPY</t>
  </si>
  <si>
    <t>GBP</t>
  </si>
  <si>
    <t>CAD</t>
  </si>
  <si>
    <t>AUD</t>
  </si>
  <si>
    <t>Stosunek do GBP</t>
  </si>
  <si>
    <t>użyty kapitał GBP</t>
  </si>
  <si>
    <t>Neutralnych</t>
  </si>
  <si>
    <t>Inwestor Janusz Nie zamykał TP2 skoro nikt na grupie nie mówił i czekał cierpliwie po czym wpadał na SL</t>
  </si>
  <si>
    <t>Ile TP używam</t>
  </si>
  <si>
    <t>Zarabiasz</t>
  </si>
  <si>
    <t>Z Zaryzykowanych:</t>
  </si>
  <si>
    <t>Zwrot inwestycji</t>
  </si>
  <si>
    <t>Ilość aktywa</t>
  </si>
  <si>
    <t>Para</t>
  </si>
  <si>
    <t>Wielkość</t>
  </si>
  <si>
    <t>Ruch</t>
  </si>
  <si>
    <t>Wejscie</t>
  </si>
  <si>
    <t>Roznica Zysk</t>
  </si>
  <si>
    <t>Roznica Strata</t>
  </si>
  <si>
    <t>Wielkosc straty</t>
  </si>
  <si>
    <t>Wielkosc inwestycji</t>
  </si>
  <si>
    <t>Wielkość Straty GBP</t>
  </si>
  <si>
    <t>Cena wejścia</t>
  </si>
  <si>
    <t>Cena Wyjścia</t>
  </si>
  <si>
    <t>Zrealizowany Zysk/Strata</t>
  </si>
  <si>
    <t>USD/PLN</t>
  </si>
  <si>
    <t>Waluta do zamiany</t>
  </si>
  <si>
    <t>Wielkość Aktywa Po</t>
  </si>
  <si>
    <t>Wielkość Aktywa przed</t>
  </si>
  <si>
    <t>Long/Short</t>
  </si>
  <si>
    <t>Wielkość Potrzebnego Aktywa</t>
  </si>
  <si>
    <t>Wartość Aktywa po drugiej stronie</t>
  </si>
  <si>
    <t>ETH/USD</t>
  </si>
  <si>
    <t>BTC/USD</t>
  </si>
  <si>
    <t xml:space="preserve">Zastawiony Kapitał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</si>
</sst>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740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14" fontId="2" fillId="9" borderId="13" xfId="0" applyNumberFormat="1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2" fillId="6" borderId="14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10" fontId="0" fillId="2" borderId="10" xfId="0" applyNumberFormat="1" applyFill="1" applyBorder="1" applyAlignment="1">
      <alignment horizontal="center" vertical="center" wrapText="1"/>
    </xf>
    <xf numFmtId="10" fontId="0" fillId="2" borderId="12" xfId="0" applyNumberForma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3" borderId="23" xfId="0" applyFill="1" applyBorder="1" applyAlignment="1">
      <alignment horizontal="center" vertical="center" wrapText="1"/>
    </xf>
    <xf numFmtId="0" fontId="0" fillId="12" borderId="24" xfId="0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164" fontId="0" fillId="2" borderId="26" xfId="0" applyNumberFormat="1" applyFill="1" applyBorder="1" applyAlignment="1">
      <alignment horizontal="center" vertical="center" wrapText="1"/>
    </xf>
    <xf numFmtId="164" fontId="0" fillId="2" borderId="25" xfId="0" applyNumberFormat="1" applyFill="1" applyBorder="1" applyAlignment="1">
      <alignment horizontal="center" vertical="center" wrapText="1"/>
    </xf>
    <xf numFmtId="164" fontId="0" fillId="2" borderId="18" xfId="0" applyNumberForma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0" borderId="18" xfId="0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horizontal="left" vertical="center"/>
    </xf>
    <xf numFmtId="0" fontId="2" fillId="6" borderId="2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/>
    <xf numFmtId="164" fontId="2" fillId="6" borderId="20" xfId="0" applyNumberFormat="1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10" fontId="0" fillId="2" borderId="30" xfId="0" applyNumberFormat="1" applyFill="1" applyBorder="1" applyAlignment="1">
      <alignment horizontal="center" vertical="center" wrapText="1"/>
    </xf>
    <xf numFmtId="10" fontId="0" fillId="2" borderId="31" xfId="0" applyNumberFormat="1" applyFill="1" applyBorder="1" applyAlignment="1">
      <alignment horizontal="center" vertical="center" wrapText="1"/>
    </xf>
    <xf numFmtId="10" fontId="0" fillId="2" borderId="32" xfId="0" applyNumberForma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0" fontId="3" fillId="15" borderId="33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10" fontId="5" fillId="2" borderId="0" xfId="0" applyNumberFormat="1" applyFont="1" applyFill="1" applyAlignment="1">
      <alignment horizontal="center" vertical="center" wrapText="1"/>
    </xf>
    <xf numFmtId="14" fontId="0" fillId="14" borderId="5" xfId="0" applyNumberFormat="1" applyFill="1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4" borderId="6" xfId="0" applyFill="1" applyBorder="1" applyAlignment="1">
      <alignment horizontal="center" vertical="center" wrapText="1"/>
    </xf>
    <xf numFmtId="164" fontId="0" fillId="14" borderId="0" xfId="0" applyNumberFormat="1" applyFill="1" applyAlignment="1">
      <alignment horizontal="center" vertical="center" wrapText="1"/>
    </xf>
    <xf numFmtId="14" fontId="0" fillId="14" borderId="2" xfId="0" applyNumberFormat="1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5" borderId="10" xfId="0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0" fillId="5" borderId="11" xfId="0" applyFill="1" applyBorder="1" applyAlignment="1">
      <alignment wrapText="1"/>
    </xf>
    <xf numFmtId="165" fontId="0" fillId="5" borderId="11" xfId="0" applyNumberFormat="1" applyFill="1" applyBorder="1" applyAlignment="1">
      <alignment wrapText="1"/>
    </xf>
    <xf numFmtId="164" fontId="0" fillId="5" borderId="11" xfId="0" applyNumberFormat="1" applyFill="1" applyBorder="1" applyAlignment="1">
      <alignment wrapText="1"/>
    </xf>
    <xf numFmtId="0" fontId="0" fillId="5" borderId="12" xfId="0" applyFill="1" applyBorder="1" applyAlignment="1">
      <alignment wrapText="1"/>
    </xf>
    <xf numFmtId="14" fontId="0" fillId="14" borderId="10" xfId="0" applyNumberFormat="1" applyFill="1" applyBorder="1" applyAlignment="1">
      <alignment horizontal="center" vertical="center" wrapText="1"/>
    </xf>
    <xf numFmtId="14" fontId="0" fillId="14" borderId="12" xfId="0" applyNumberForma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C7404"/>
        </patternFill>
      </fill>
    </dxf>
    <dxf>
      <fill>
        <patternFill>
          <bgColor rgb="FF92D050"/>
        </patternFill>
      </fill>
    </dxf>
    <dxf>
      <fill>
        <patternFill>
          <bgColor rgb="FFFC7404"/>
        </patternFill>
      </fill>
    </dxf>
    <dxf>
      <fill>
        <patternFill>
          <bgColor rgb="FF92D050"/>
        </patternFill>
      </fill>
    </dxf>
    <dxf>
      <fill>
        <patternFill>
          <bgColor rgb="FFFC7404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C7404"/>
        </patternFill>
      </fill>
    </dxf>
    <dxf>
      <fill>
        <patternFill>
          <bgColor rgb="FF92D050"/>
        </patternFill>
      </fill>
    </dxf>
    <dxf>
      <fill>
        <patternFill>
          <bgColor rgb="FFFC7404"/>
        </patternFill>
      </fill>
    </dxf>
    <dxf>
      <fill>
        <patternFill>
          <bgColor rgb="FF92D050"/>
        </patternFill>
      </fill>
    </dxf>
    <dxf>
      <fill>
        <patternFill>
          <bgColor rgb="FFFC7404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C7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2923-3FA1-452B-9242-C32E00519F85}">
  <dimension ref="A1:L26"/>
  <sheetViews>
    <sheetView workbookViewId="0">
      <selection activeCell="H20" sqref="H20"/>
    </sheetView>
  </sheetViews>
  <sheetFormatPr defaultRowHeight="15" x14ac:dyDescent="0.25"/>
  <cols>
    <col min="1" max="1" width="10.7109375" bestFit="1" customWidth="1"/>
    <col min="2" max="2" width="10.7109375" customWidth="1"/>
    <col min="11" max="11" width="10.85546875" customWidth="1"/>
    <col min="12" max="12" width="10.5703125" customWidth="1"/>
  </cols>
  <sheetData>
    <row r="1" spans="1:12" x14ac:dyDescent="0.25">
      <c r="B1" t="s">
        <v>62</v>
      </c>
      <c r="C1" t="s">
        <v>58</v>
      </c>
      <c r="D1" t="s">
        <v>59</v>
      </c>
      <c r="E1" t="s">
        <v>61</v>
      </c>
      <c r="F1" t="s">
        <v>63</v>
      </c>
      <c r="G1" t="s">
        <v>64</v>
      </c>
      <c r="H1" t="s">
        <v>60</v>
      </c>
      <c r="I1" t="s">
        <v>57</v>
      </c>
    </row>
    <row r="2" spans="1:12" x14ac:dyDescent="0.25">
      <c r="A2" s="54">
        <v>44896</v>
      </c>
      <c r="B2">
        <v>1</v>
      </c>
      <c r="C2">
        <v>1.2205999999999999</v>
      </c>
      <c r="D2">
        <v>5.4687999999999999</v>
      </c>
      <c r="E2">
        <v>166.21</v>
      </c>
      <c r="F2">
        <v>1.6500999999999999</v>
      </c>
      <c r="G2">
        <v>1.2269000000000001</v>
      </c>
      <c r="H2">
        <v>1.1516</v>
      </c>
      <c r="I2">
        <v>1.1667000000000001</v>
      </c>
      <c r="K2" s="54"/>
      <c r="L2" s="54"/>
    </row>
    <row r="3" spans="1:12" x14ac:dyDescent="0.25">
      <c r="A3" s="54">
        <v>44895</v>
      </c>
      <c r="B3">
        <v>1</v>
      </c>
      <c r="C3">
        <v>1.2075</v>
      </c>
      <c r="D3">
        <v>5.4086999999999996</v>
      </c>
      <c r="E3">
        <v>165.87</v>
      </c>
      <c r="F3">
        <v>1.6198999999999999</v>
      </c>
      <c r="G3">
        <v>1.2075</v>
      </c>
      <c r="H3">
        <v>1.1397999999999999</v>
      </c>
      <c r="I3">
        <v>1.1585000000000001</v>
      </c>
      <c r="K3" s="54"/>
      <c r="L3" s="54"/>
    </row>
    <row r="4" spans="1:12" x14ac:dyDescent="0.25">
      <c r="A4" s="54">
        <v>44894</v>
      </c>
      <c r="B4">
        <v>1</v>
      </c>
      <c r="C4">
        <v>1.1947000000000001</v>
      </c>
      <c r="D4">
        <v>5.4116999999999997</v>
      </c>
      <c r="E4">
        <v>165.77</v>
      </c>
      <c r="F4">
        <v>1.6231</v>
      </c>
      <c r="G4">
        <v>1.1947000000000001</v>
      </c>
      <c r="H4">
        <v>1.1405000000000001</v>
      </c>
      <c r="I4">
        <v>1.1572</v>
      </c>
      <c r="K4" s="54"/>
      <c r="L4" s="54"/>
    </row>
    <row r="5" spans="1:12" x14ac:dyDescent="0.25">
      <c r="A5" s="54">
        <v>44893</v>
      </c>
      <c r="B5">
        <v>1</v>
      </c>
      <c r="C5">
        <v>1.196</v>
      </c>
      <c r="D5">
        <v>5.4184999999999999</v>
      </c>
      <c r="E5">
        <v>165.93</v>
      </c>
      <c r="F5">
        <v>1.6134999999999999</v>
      </c>
      <c r="G5">
        <v>1.196</v>
      </c>
      <c r="H5">
        <v>1.1351</v>
      </c>
      <c r="I5">
        <v>1.1561999999999999</v>
      </c>
      <c r="K5" s="54"/>
      <c r="L5" s="54"/>
    </row>
    <row r="6" spans="1:12" x14ac:dyDescent="0.25">
      <c r="A6" s="54">
        <v>44892</v>
      </c>
      <c r="B6">
        <v>1</v>
      </c>
      <c r="C6">
        <v>1.2095</v>
      </c>
      <c r="D6">
        <v>5.4565999999999999</v>
      </c>
      <c r="E6">
        <v>168.26</v>
      </c>
      <c r="F6">
        <v>1.6180000000000001</v>
      </c>
      <c r="G6">
        <v>1.2095</v>
      </c>
      <c r="H6">
        <v>1.1435999999999999</v>
      </c>
      <c r="I6">
        <v>1.1632</v>
      </c>
      <c r="K6" s="54"/>
    </row>
    <row r="7" spans="1:12" x14ac:dyDescent="0.25">
      <c r="A7" s="54">
        <v>44891</v>
      </c>
      <c r="B7">
        <v>1</v>
      </c>
      <c r="C7">
        <v>1.2095</v>
      </c>
      <c r="D7">
        <v>5.4565999999999999</v>
      </c>
      <c r="E7">
        <v>168.26</v>
      </c>
      <c r="F7">
        <v>1.6180000000000001</v>
      </c>
      <c r="G7">
        <v>1.2095</v>
      </c>
      <c r="H7">
        <v>1.1435999999999999</v>
      </c>
      <c r="I7">
        <v>1.1632</v>
      </c>
      <c r="K7" s="54"/>
    </row>
    <row r="8" spans="1:12" x14ac:dyDescent="0.25">
      <c r="A8" s="54">
        <v>44890</v>
      </c>
      <c r="B8">
        <v>1</v>
      </c>
      <c r="C8">
        <v>1.2095</v>
      </c>
      <c r="D8">
        <v>5.4565999999999999</v>
      </c>
      <c r="E8">
        <v>168.26</v>
      </c>
      <c r="F8">
        <v>1.6180000000000001</v>
      </c>
      <c r="G8">
        <v>1.2095</v>
      </c>
      <c r="H8">
        <v>1.1435999999999999</v>
      </c>
      <c r="I8">
        <v>1.1632</v>
      </c>
      <c r="K8" s="54"/>
      <c r="L8" s="54"/>
    </row>
    <row r="9" spans="1:12" x14ac:dyDescent="0.25">
      <c r="A9" s="54">
        <v>44889</v>
      </c>
      <c r="B9">
        <v>1</v>
      </c>
      <c r="C9">
        <v>1.2113</v>
      </c>
      <c r="D9">
        <v>5.4690000000000003</v>
      </c>
      <c r="E9">
        <v>167.9</v>
      </c>
      <c r="F9">
        <v>1.6156999999999999</v>
      </c>
      <c r="G9">
        <v>1.2113</v>
      </c>
      <c r="H9">
        <v>1.143</v>
      </c>
      <c r="I9">
        <v>1.1637999999999999</v>
      </c>
      <c r="K9" s="54"/>
      <c r="L9" s="54"/>
    </row>
    <row r="10" spans="1:12" x14ac:dyDescent="0.25">
      <c r="A10" s="54">
        <v>44888</v>
      </c>
      <c r="B10">
        <v>1</v>
      </c>
      <c r="C10">
        <v>1.2077</v>
      </c>
      <c r="D10">
        <v>5.4523999999999999</v>
      </c>
      <c r="E10">
        <v>168.17</v>
      </c>
      <c r="F10">
        <v>1.611</v>
      </c>
      <c r="G10">
        <v>1.2077</v>
      </c>
      <c r="H10">
        <v>1.1365000000000001</v>
      </c>
      <c r="I10">
        <v>1.1593</v>
      </c>
      <c r="K10" s="54"/>
      <c r="L10" s="54"/>
    </row>
    <row r="11" spans="1:12" x14ac:dyDescent="0.25">
      <c r="A11" s="54">
        <v>44887</v>
      </c>
      <c r="B11">
        <v>1</v>
      </c>
      <c r="C11">
        <v>1.1894</v>
      </c>
      <c r="D11">
        <v>5.4301000000000004</v>
      </c>
      <c r="E11">
        <v>167.9</v>
      </c>
      <c r="F11">
        <v>1.5894999999999999</v>
      </c>
      <c r="G11">
        <v>1.1894</v>
      </c>
      <c r="H11">
        <v>1.1313</v>
      </c>
      <c r="I11">
        <v>1.1535</v>
      </c>
      <c r="K11" s="54"/>
      <c r="L11" s="54"/>
    </row>
    <row r="12" spans="1:12" x14ac:dyDescent="0.25">
      <c r="A12" s="54">
        <v>44886</v>
      </c>
      <c r="B12">
        <v>1</v>
      </c>
      <c r="C12">
        <v>1.1826000000000001</v>
      </c>
      <c r="D12">
        <v>5.4263000000000003</v>
      </c>
      <c r="E12">
        <v>168.05</v>
      </c>
      <c r="F12">
        <v>1.5903</v>
      </c>
      <c r="G12">
        <v>1.1826000000000001</v>
      </c>
      <c r="H12">
        <v>1.1335999999999999</v>
      </c>
      <c r="I12">
        <v>1.1544000000000001</v>
      </c>
      <c r="K12" s="54"/>
      <c r="L12" s="54"/>
    </row>
    <row r="13" spans="1:12" x14ac:dyDescent="0.25">
      <c r="A13" s="54">
        <v>44883</v>
      </c>
      <c r="B13">
        <v>1</v>
      </c>
      <c r="C13">
        <v>1.1883999999999999</v>
      </c>
      <c r="D13">
        <v>5.4053000000000004</v>
      </c>
      <c r="E13">
        <v>166.79</v>
      </c>
      <c r="F13">
        <v>1.5906</v>
      </c>
      <c r="G13">
        <v>1.1883999999999999</v>
      </c>
      <c r="H13">
        <v>1.1344000000000001</v>
      </c>
      <c r="I13">
        <v>1.151</v>
      </c>
      <c r="K13" s="54"/>
      <c r="L13" s="54"/>
    </row>
    <row r="14" spans="1:12" x14ac:dyDescent="0.25">
      <c r="A14" s="54">
        <v>44882</v>
      </c>
      <c r="B14">
        <v>1</v>
      </c>
      <c r="C14">
        <v>1.1861999999999999</v>
      </c>
      <c r="D14">
        <v>5.3829000000000002</v>
      </c>
      <c r="E14">
        <v>166.28</v>
      </c>
      <c r="F14">
        <v>1.5807</v>
      </c>
      <c r="G14">
        <v>1.1861999999999999</v>
      </c>
      <c r="H14">
        <v>1.1287</v>
      </c>
      <c r="I14">
        <v>1.1445000000000001</v>
      </c>
      <c r="K14" s="54"/>
      <c r="L14" s="54"/>
    </row>
    <row r="15" spans="1:12" x14ac:dyDescent="0.25">
      <c r="A15" s="54">
        <v>44881</v>
      </c>
      <c r="B15">
        <v>1</v>
      </c>
      <c r="C15">
        <v>1.1908000000000001</v>
      </c>
      <c r="D15">
        <v>5.3765000000000001</v>
      </c>
      <c r="E15">
        <v>166.18</v>
      </c>
      <c r="F15">
        <v>1.587</v>
      </c>
      <c r="G15">
        <v>1.1908000000000001</v>
      </c>
      <c r="H15">
        <v>1.1245000000000001</v>
      </c>
      <c r="I15">
        <v>1.1454</v>
      </c>
      <c r="K15" s="54"/>
      <c r="L15" s="54"/>
    </row>
    <row r="16" spans="1:12" x14ac:dyDescent="0.25">
      <c r="A16" s="54">
        <v>44880</v>
      </c>
      <c r="B16">
        <v>1</v>
      </c>
      <c r="C16">
        <v>1.1858</v>
      </c>
      <c r="D16">
        <v>5.4222999999999999</v>
      </c>
      <c r="E16">
        <v>165.15</v>
      </c>
      <c r="F16">
        <v>1.5744</v>
      </c>
      <c r="G16">
        <v>1.1858</v>
      </c>
      <c r="H16">
        <v>1.1194999999999999</v>
      </c>
      <c r="I16">
        <v>1.1456</v>
      </c>
      <c r="K16" s="54"/>
      <c r="L16" s="54"/>
    </row>
    <row r="17" spans="1:12" x14ac:dyDescent="0.25">
      <c r="A17" s="54">
        <v>44879</v>
      </c>
      <c r="B17">
        <v>1</v>
      </c>
      <c r="C17">
        <v>1.1752</v>
      </c>
      <c r="D17">
        <v>5.3583999999999996</v>
      </c>
      <c r="E17">
        <v>164.39</v>
      </c>
      <c r="F17">
        <v>1.5643</v>
      </c>
      <c r="G17">
        <v>1.1752</v>
      </c>
      <c r="H17">
        <v>1.1081000000000001</v>
      </c>
      <c r="I17">
        <v>1.1377999999999999</v>
      </c>
      <c r="K17" s="54"/>
      <c r="L17" s="54"/>
    </row>
    <row r="18" spans="1:12" x14ac:dyDescent="0.25">
      <c r="A18" s="54">
        <v>44876</v>
      </c>
      <c r="B18">
        <v>1</v>
      </c>
      <c r="C18">
        <v>1.1835</v>
      </c>
      <c r="D18">
        <v>5.3449999999999998</v>
      </c>
      <c r="E18">
        <v>164.26</v>
      </c>
      <c r="F18">
        <v>1.5686</v>
      </c>
      <c r="G18">
        <v>1.1835</v>
      </c>
      <c r="H18">
        <v>1.1145</v>
      </c>
      <c r="I18">
        <v>1.1428</v>
      </c>
      <c r="K18" s="54"/>
      <c r="L18" s="54"/>
    </row>
    <row r="19" spans="1:12" x14ac:dyDescent="0.25">
      <c r="A19" s="54">
        <v>44875</v>
      </c>
      <c r="B19">
        <v>1</v>
      </c>
      <c r="C19">
        <v>1.1713</v>
      </c>
      <c r="D19">
        <v>5.3738999999999999</v>
      </c>
      <c r="E19">
        <v>165.09</v>
      </c>
      <c r="F19">
        <v>1.5599000000000001</v>
      </c>
      <c r="G19">
        <v>1.1713</v>
      </c>
      <c r="H19">
        <v>1.1287</v>
      </c>
      <c r="I19">
        <v>1.1472</v>
      </c>
      <c r="K19" s="54"/>
      <c r="L19" s="54"/>
    </row>
    <row r="20" spans="1:12" x14ac:dyDescent="0.25">
      <c r="A20" s="54">
        <v>44874</v>
      </c>
      <c r="B20">
        <v>1</v>
      </c>
      <c r="C20">
        <v>1.1355999999999999</v>
      </c>
      <c r="D20">
        <v>5.3441999999999998</v>
      </c>
      <c r="E20">
        <v>166.3</v>
      </c>
      <c r="F20">
        <v>1.536</v>
      </c>
      <c r="G20">
        <v>1.1355999999999999</v>
      </c>
      <c r="H20">
        <v>1.1173999999999999</v>
      </c>
      <c r="I20">
        <v>1.1337999999999999</v>
      </c>
      <c r="K20" s="54"/>
      <c r="L20" s="54"/>
    </row>
    <row r="21" spans="1:12" x14ac:dyDescent="0.25">
      <c r="A21" s="54">
        <v>44873</v>
      </c>
      <c r="B21">
        <v>1</v>
      </c>
      <c r="C21">
        <v>1.1536</v>
      </c>
      <c r="D21">
        <v>5.3642000000000003</v>
      </c>
      <c r="E21">
        <v>168.03</v>
      </c>
      <c r="F21">
        <v>1.5488</v>
      </c>
      <c r="G21">
        <v>1.1536</v>
      </c>
      <c r="H21">
        <v>1.1371</v>
      </c>
      <c r="I21">
        <v>1.1449</v>
      </c>
      <c r="K21" s="54"/>
      <c r="L21" s="54"/>
    </row>
    <row r="22" spans="1:12" x14ac:dyDescent="0.25">
      <c r="A22" s="54">
        <v>44872</v>
      </c>
      <c r="B22">
        <v>1</v>
      </c>
      <c r="C22">
        <v>1.1511</v>
      </c>
      <c r="D22">
        <v>5.3617999999999997</v>
      </c>
      <c r="E22">
        <v>168.77</v>
      </c>
      <c r="F22">
        <v>1.5535000000000001</v>
      </c>
      <c r="G22">
        <v>1.1511</v>
      </c>
      <c r="H22">
        <v>1.1373</v>
      </c>
      <c r="I22">
        <v>1.1485000000000001</v>
      </c>
      <c r="K22" s="54"/>
      <c r="L22" s="54"/>
    </row>
    <row r="23" spans="1:12" x14ac:dyDescent="0.25">
      <c r="A23" s="54">
        <v>44869</v>
      </c>
      <c r="B23">
        <v>1</v>
      </c>
      <c r="C23">
        <v>1.1375</v>
      </c>
      <c r="D23">
        <v>5.3479999999999999</v>
      </c>
      <c r="E23">
        <v>166.75</v>
      </c>
      <c r="F23">
        <v>1.5330999999999999</v>
      </c>
      <c r="G23">
        <v>1.1375</v>
      </c>
      <c r="H23">
        <v>1.1304000000000001</v>
      </c>
      <c r="I23">
        <v>1.1415999999999999</v>
      </c>
      <c r="K23" s="54"/>
      <c r="L23" s="54"/>
    </row>
    <row r="24" spans="1:12" x14ac:dyDescent="0.25">
      <c r="A24" s="54">
        <v>44868</v>
      </c>
      <c r="B24">
        <v>1</v>
      </c>
      <c r="C24">
        <v>1.1165</v>
      </c>
      <c r="D24">
        <v>5.3743999999999996</v>
      </c>
      <c r="E24">
        <v>165.54</v>
      </c>
      <c r="F24">
        <v>1.5346</v>
      </c>
      <c r="G24">
        <v>1.1165</v>
      </c>
      <c r="H24">
        <v>1.131</v>
      </c>
      <c r="I24">
        <v>1.1445000000000001</v>
      </c>
      <c r="K24" s="54"/>
      <c r="L24" s="54"/>
    </row>
    <row r="25" spans="1:12" x14ac:dyDescent="0.25">
      <c r="A25" s="54">
        <v>44867</v>
      </c>
      <c r="B25">
        <v>1</v>
      </c>
      <c r="C25">
        <v>1.1389</v>
      </c>
      <c r="D25">
        <v>5.4560000000000004</v>
      </c>
      <c r="E25">
        <v>168.44</v>
      </c>
      <c r="F25">
        <v>1.5613999999999999</v>
      </c>
      <c r="G25">
        <v>1.1389</v>
      </c>
      <c r="H25">
        <v>1.1420999999999999</v>
      </c>
      <c r="I25">
        <v>1.1597</v>
      </c>
      <c r="K25" s="54"/>
      <c r="L25" s="54"/>
    </row>
    <row r="26" spans="1:12" x14ac:dyDescent="0.25">
      <c r="A26" s="54">
        <v>44866</v>
      </c>
      <c r="B26">
        <v>1</v>
      </c>
      <c r="C26">
        <v>1.1483000000000001</v>
      </c>
      <c r="D26">
        <v>5.4659000000000004</v>
      </c>
      <c r="E26">
        <v>170.24</v>
      </c>
      <c r="F26">
        <v>1.5649</v>
      </c>
      <c r="G26">
        <v>1.1483000000000001</v>
      </c>
      <c r="H26">
        <v>1.1479999999999999</v>
      </c>
      <c r="I26">
        <v>1.1628000000000001</v>
      </c>
      <c r="K26" s="54"/>
      <c r="L26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0ABF-E7E4-4741-B83A-A37C765869D6}">
  <dimension ref="B2:AO48"/>
  <sheetViews>
    <sheetView zoomScaleNormal="100" workbookViewId="0">
      <pane ySplit="5" topLeftCell="A6" activePane="bottomLeft" state="frozen"/>
      <selection pane="bottomLeft" activeCell="N10" sqref="N10"/>
    </sheetView>
  </sheetViews>
  <sheetFormatPr defaultColWidth="12.7109375" defaultRowHeight="15" x14ac:dyDescent="0.25"/>
  <cols>
    <col min="1" max="1" width="3.140625" style="1" customWidth="1"/>
    <col min="2" max="2" width="11.42578125" style="9" customWidth="1"/>
    <col min="3" max="3" width="11" style="1" customWidth="1"/>
    <col min="4" max="5" width="9.5703125" style="1" customWidth="1"/>
    <col min="6" max="6" width="12" style="1" customWidth="1"/>
    <col min="7" max="7" width="9.42578125" style="1" customWidth="1"/>
    <col min="8" max="8" width="12.7109375" style="1"/>
    <col min="9" max="9" width="16.140625" style="1" customWidth="1"/>
    <col min="10" max="14" width="12.7109375" style="1"/>
    <col min="15" max="16" width="13" style="24" customWidth="1"/>
    <col min="17" max="17" width="15.7109375" style="1" customWidth="1"/>
    <col min="18" max="16384" width="12.7109375" style="1"/>
  </cols>
  <sheetData>
    <row r="2" spans="2:41" ht="19.5" thickBot="1" x14ac:dyDescent="0.3">
      <c r="B2" s="51" t="s">
        <v>68</v>
      </c>
      <c r="P2" s="24">
        <f>D3/J6</f>
        <v>17.018379850238258</v>
      </c>
    </row>
    <row r="3" spans="2:41" ht="15.75" thickBot="1" x14ac:dyDescent="0.3">
      <c r="B3" s="94" t="s">
        <v>55</v>
      </c>
      <c r="C3" s="95"/>
      <c r="D3" s="21">
        <v>20</v>
      </c>
    </row>
    <row r="4" spans="2:41" ht="15.75" thickBot="1" x14ac:dyDescent="0.3">
      <c r="G4" s="96" t="s">
        <v>7</v>
      </c>
      <c r="H4" s="97"/>
      <c r="I4" s="97"/>
      <c r="J4" s="97"/>
      <c r="K4" s="97"/>
      <c r="L4" s="97"/>
      <c r="M4" s="98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8"/>
      <c r="AG4" s="98"/>
      <c r="AH4" s="98"/>
      <c r="AI4" s="98"/>
      <c r="AJ4" s="98"/>
      <c r="AK4" s="98"/>
      <c r="AL4" s="98"/>
      <c r="AM4" s="98"/>
      <c r="AN4" s="99"/>
    </row>
    <row r="5" spans="2:41" ht="57" thickBot="1" x14ac:dyDescent="0.3">
      <c r="B5" s="12" t="s">
        <v>0</v>
      </c>
      <c r="C5" s="13" t="s">
        <v>13</v>
      </c>
      <c r="D5" s="17" t="s">
        <v>1</v>
      </c>
      <c r="E5" s="32" t="s">
        <v>56</v>
      </c>
      <c r="F5" s="32" t="s">
        <v>44</v>
      </c>
      <c r="G5" s="33" t="s">
        <v>5</v>
      </c>
      <c r="H5" s="34" t="s">
        <v>11</v>
      </c>
      <c r="I5" s="34" t="s">
        <v>2</v>
      </c>
      <c r="J5" s="35" t="s">
        <v>65</v>
      </c>
      <c r="K5" s="35" t="s">
        <v>19</v>
      </c>
      <c r="L5" s="36" t="s">
        <v>33</v>
      </c>
      <c r="M5" s="71" t="s">
        <v>69</v>
      </c>
      <c r="N5" s="50" t="s">
        <v>6</v>
      </c>
      <c r="O5" s="50" t="s">
        <v>66</v>
      </c>
      <c r="P5" s="55" t="s">
        <v>24</v>
      </c>
      <c r="Q5" s="55" t="s">
        <v>39</v>
      </c>
      <c r="R5" s="11" t="s">
        <v>40</v>
      </c>
      <c r="S5" s="11" t="s">
        <v>3</v>
      </c>
      <c r="T5" s="11" t="s">
        <v>18</v>
      </c>
      <c r="U5" s="52" t="s">
        <v>38</v>
      </c>
      <c r="V5" s="14" t="s">
        <v>8</v>
      </c>
      <c r="W5" s="8" t="s">
        <v>6</v>
      </c>
      <c r="X5" s="72" t="s">
        <v>66</v>
      </c>
      <c r="Y5" s="2" t="s">
        <v>24</v>
      </c>
      <c r="Z5" s="2" t="s">
        <v>39</v>
      </c>
      <c r="AA5" s="2" t="s">
        <v>40</v>
      </c>
      <c r="AB5" s="2" t="s">
        <v>4</v>
      </c>
      <c r="AC5" s="2" t="s">
        <v>18</v>
      </c>
      <c r="AD5" s="15" t="s">
        <v>38</v>
      </c>
      <c r="AE5" s="15" t="s">
        <v>8</v>
      </c>
      <c r="AF5" s="18" t="s">
        <v>6</v>
      </c>
      <c r="AG5" s="19" t="s">
        <v>29</v>
      </c>
      <c r="AH5" s="19" t="s">
        <v>24</v>
      </c>
      <c r="AI5" s="19" t="s">
        <v>39</v>
      </c>
      <c r="AJ5" s="19" t="s">
        <v>40</v>
      </c>
      <c r="AK5" s="19" t="s">
        <v>17</v>
      </c>
      <c r="AL5" s="19" t="s">
        <v>18</v>
      </c>
      <c r="AM5" s="23" t="s">
        <v>38</v>
      </c>
      <c r="AN5" s="20" t="s">
        <v>8</v>
      </c>
      <c r="AO5" s="16" t="s">
        <v>9</v>
      </c>
    </row>
    <row r="6" spans="2:41" s="77" customFormat="1" x14ac:dyDescent="0.25">
      <c r="B6" s="80">
        <v>44879</v>
      </c>
      <c r="C6" s="81">
        <v>1</v>
      </c>
      <c r="D6" s="81" t="s">
        <v>10</v>
      </c>
      <c r="E6" s="77" t="s">
        <v>58</v>
      </c>
      <c r="F6" s="78" t="str">
        <f>IF(H6="","",IF(COUNTIF(G6:AN6,"Strata")&gt;0,"NIE",IF(COUNTIF(G6:AN6,"Neutralna")&gt;0,"NEUTRALNA","TAK")))</f>
        <v>NEUTRALNA</v>
      </c>
      <c r="G6" s="81">
        <v>1260.9000000000001</v>
      </c>
      <c r="H6" s="81" t="s">
        <v>12</v>
      </c>
      <c r="I6" s="81">
        <v>1434.42</v>
      </c>
      <c r="J6" s="77">
        <f>IF(H6="","",INDEX('Waluty z GBP'!$A$1:$I$26,MATCH(B6,'Waluty z GBP'!$A$1:$A$26,0),MATCH(E6,'Waluty z GBP'!$A$1:$I$1,0)))</f>
        <v>1.1752</v>
      </c>
      <c r="K6" s="81">
        <v>1258.18</v>
      </c>
      <c r="L6" s="77" t="s">
        <v>35</v>
      </c>
      <c r="M6" s="77">
        <f>COUNTA(S6,AB6,AK6)</f>
        <v>2</v>
      </c>
      <c r="N6" s="77">
        <f>IF(S6="","",IF($H6="Short",($D$3*$J6/($G6-$I6))*-1,(($D$3*$J6)/($I6-$G6))*-1)/$M6)</f>
        <v>6.7727063162747819E-2</v>
      </c>
      <c r="O6" s="79">
        <f>IF(S6="","",N6*$G6/$J6)</f>
        <v>72.665975103734453</v>
      </c>
      <c r="P6" s="79">
        <f>IF(S6="","",IF($H6="Short",($G6*N6-N6*$I6)/$J6,(N6*$I6-$G6*N6)/$J6))</f>
        <v>-9.9999999999999964</v>
      </c>
      <c r="Q6" s="79">
        <f>IF(S6="","",IF($H6="Short",($G6*N6-N6*S6)/$J6,(N6*S6-$G6*N6)/$J6))</f>
        <v>3.8191562932226844</v>
      </c>
      <c r="R6" s="81">
        <f t="shared" ref="R6:R38" si="0">IF($G6="","",(P6*-1)/Q6)</f>
        <v>2.6183793571751908</v>
      </c>
      <c r="S6" s="81">
        <v>1194.6300000000001</v>
      </c>
      <c r="T6" s="81">
        <v>1194.6300000000001</v>
      </c>
      <c r="U6" s="79">
        <f>IF(T6="","",IF($H6="Short",($G6*N6-N6*T6)/$J6,(N6*T6-$G6*N6)/$J6))</f>
        <v>3.8191562932226844</v>
      </c>
      <c r="V6" s="77" t="str">
        <f t="shared" ref="V6:V38" si="1">IF(T6="","",IF(U6&gt;1,"Zysk",IF(U6&lt;-1,"Strata","Neutralna")))</f>
        <v>Zysk</v>
      </c>
      <c r="W6" s="77">
        <f>IF(AB6="","",IF($H6="Short",($D$3*$J6/($G6-$I6))*-1,(($D$3*$J6)/($I6-$G6))*-1)/$M6)</f>
        <v>6.7727063162747819E-2</v>
      </c>
      <c r="X6" s="79">
        <f>IF(AB6="","",W6*$G6/$J6)</f>
        <v>72.665975103734453</v>
      </c>
      <c r="Y6" s="79">
        <f>IF(AB6="","",IF($H6="Short",($G6*W6-W6*$I6)/$J6,(W6*$I6-$G6*W6)/$J6))</f>
        <v>-9.9999999999999964</v>
      </c>
      <c r="Z6" s="79">
        <f>IF(AB6="","",IF($H6="Short",($G6*W6-W6*AB6)/$J6,(W6*AB6-$G6*W6)/$J6))</f>
        <v>12.975449515905956</v>
      </c>
      <c r="AA6" s="81">
        <f>IF(AB6="","",(Y6*-1)/Z6)</f>
        <v>0.77068620919386999</v>
      </c>
      <c r="AB6" s="81">
        <v>1035.75</v>
      </c>
      <c r="AC6" s="81">
        <v>1258.18</v>
      </c>
      <c r="AD6" s="79">
        <f>IF(AC6="","",IF($H6="Short",($G6*W6-W6*AC6)/$J6,(W6*AC6-$G6*W6)/$J6))</f>
        <v>0.15675426463808706</v>
      </c>
      <c r="AE6" s="77" t="str">
        <f t="shared" ref="AE6:AE38" si="2">IF(AC6="","",IF(AD6&gt;1,"Zysk",IF(AD6&lt;-1,"Strata","Neutralna")))</f>
        <v>Neutralna</v>
      </c>
      <c r="AF6" s="77" t="str">
        <f>IF(AK6="","",IF($H6="Short",($D$3*$J6/($G6-$I6))*-1,(($D$3*$J6)/($I6-$G6))*-1)/$M6)</f>
        <v/>
      </c>
      <c r="AG6" s="79" t="str">
        <f>IF(AK6="","",AF6*$G6/$J6)</f>
        <v/>
      </c>
      <c r="AH6" s="79" t="str">
        <f>IF(AK6="","",IF($H6="Short",($G6*AF6-AF6*$I6)/$J6,(AF6*$I6-$G6*AF6)/$J6))</f>
        <v/>
      </c>
      <c r="AI6" s="79" t="str">
        <f>IF(AK6="","",IF($H6="Short",($G6*AF6-AF6*AK6)/$J6,(AF6*AK6-$G6*AF6)/$J6))</f>
        <v/>
      </c>
      <c r="AJ6" s="81" t="str">
        <f>IF(AK6="","",(AH6*-1)/AI6)</f>
        <v/>
      </c>
      <c r="AK6" s="81"/>
      <c r="AL6" s="81"/>
      <c r="AM6" s="79" t="str">
        <f>IF(AL6="","",IF($H6="Short",($G6*AF6-AF6*AL6)/$J6,(AF6*AL6-$G6*AF6)/$J6))</f>
        <v/>
      </c>
      <c r="AN6" s="77" t="str">
        <f t="shared" ref="AN6:AN38" si="3">IF(AL6="","",IF(AM6&gt;1,"Zysk",IF(AM6&lt;-1,"Strata","Neutralna")))</f>
        <v/>
      </c>
      <c r="AO6" s="82"/>
    </row>
    <row r="7" spans="2:41" x14ac:dyDescent="0.25">
      <c r="B7" s="7">
        <v>44879</v>
      </c>
      <c r="C7" s="3">
        <v>2</v>
      </c>
      <c r="D7" s="3" t="s">
        <v>14</v>
      </c>
      <c r="E7" s="3" t="s">
        <v>58</v>
      </c>
      <c r="F7" s="4" t="str">
        <f t="shared" ref="F7:F38" si="4">IF(H7="","",IF(COUNTIF(G7:AN7,"Strata")&gt;0,"NIE",IF(COUNTIF(G7:AN7,"Neutralna")&gt;0,"NEUTRALNA","TAK")))</f>
        <v>NIE</v>
      </c>
      <c r="G7" s="3">
        <v>86.49</v>
      </c>
      <c r="H7" s="3" t="s">
        <v>15</v>
      </c>
      <c r="I7" s="3">
        <v>84.01</v>
      </c>
      <c r="J7" s="3">
        <f>IF(H7="","",INDEX('Waluty z GBP'!$A$1:$I$26,MATCH(B7,'Waluty z GBP'!$A$1:$A$26,0),MATCH(E7,'Waluty z GBP'!$A$1:$I$1,0)))</f>
        <v>1.1752</v>
      </c>
      <c r="K7" s="3"/>
      <c r="L7" s="3" t="s">
        <v>35</v>
      </c>
      <c r="M7" s="3">
        <f t="shared" ref="M7:M38" si="5">COUNTA(S7,AB7,AK7)</f>
        <v>2</v>
      </c>
      <c r="N7" s="3">
        <f t="shared" ref="N7:N38" si="6">IF(S7="","",IF($H7="Short",($D$3*$J7/($G7-$I7))*-1,(($D$3*$J7)/($I7-$G7))*-1)/$M7)</f>
        <v>4.7387096774193749</v>
      </c>
      <c r="O7" s="53">
        <f t="shared" ref="O7:O38" si="7">IF(S7="","",N7*$G7/$J7)</f>
        <v>348.75000000000142</v>
      </c>
      <c r="P7" s="53">
        <f t="shared" ref="P7:P38" si="8">IF(S7="","",IF($H7="Short",($G7*N7-N7*$I7)/$J7,(N7*$I7-$G7*N7)/$J7))</f>
        <v>-10.000000000000007</v>
      </c>
      <c r="Q7" s="53">
        <f t="shared" ref="Q7:Q38" si="9">IF(S7="","",IF($H7="Short",($G7*N7-N7*S7)/$J7,(N7*S7-$G7*N7)/$J7))</f>
        <v>4.3548387096774341</v>
      </c>
      <c r="R7" s="3">
        <f t="shared" si="0"/>
        <v>2.2962962962962901</v>
      </c>
      <c r="S7" s="3">
        <v>87.57</v>
      </c>
      <c r="T7" s="3">
        <v>84.01</v>
      </c>
      <c r="U7" s="53">
        <f t="shared" ref="U7:U38" si="10">IF(T7="","",IF($H7="Short",($G7*N7-N7*T7)/$J7,(N7*T7-$G7*N7)/$J7))</f>
        <v>-10.000000000000007</v>
      </c>
      <c r="V7" s="3" t="str">
        <f t="shared" si="1"/>
        <v>Strata</v>
      </c>
      <c r="W7" s="3">
        <f t="shared" ref="W7:W38" si="11">IF(AB7="","",IF($H7="Short",($D$3*$J7/($G7-$I7))*-1,(($D$3*$J7)/($I7-$G7))*-1)/$M7)</f>
        <v>4.7387096774193749</v>
      </c>
      <c r="X7" s="53">
        <f t="shared" ref="X7:X38" si="12">IF(AB7="","",W7*$G7/$J7)</f>
        <v>348.75000000000142</v>
      </c>
      <c r="Y7" s="53">
        <f t="shared" ref="Y7:Y38" si="13">IF(AB7="","",IF($H7="Short",($G7*W7-W7*$I7)/$J7,(W7*$I7-$G7*W7)/$J7))</f>
        <v>-10.000000000000007</v>
      </c>
      <c r="Z7" s="53">
        <f t="shared" ref="Z7:Z38" si="14">IF(AB7="","",IF($H7="Short",($G7*W7-W7*AB7)/$J7,(W7*AB7-$G7*W7)/$J7))</f>
        <v>9.3145161290323184</v>
      </c>
      <c r="AA7" s="3">
        <f t="shared" ref="AA7:AA38" si="15">IF(AB7="","",(Y7*-1)/Z7)</f>
        <v>1.0735930735930674</v>
      </c>
      <c r="AB7" s="3">
        <v>88.8</v>
      </c>
      <c r="AC7" s="3">
        <v>84.01</v>
      </c>
      <c r="AD7" s="53">
        <f t="shared" ref="AD7:AD38" si="16">IF(AC7="","",IF($H7="Short",($G7*W7-W7*AC7)/$J7,(W7*AC7-$G7*W7)/$J7))</f>
        <v>-10.000000000000007</v>
      </c>
      <c r="AE7" s="3" t="str">
        <f t="shared" si="2"/>
        <v>Strata</v>
      </c>
      <c r="AF7" s="3" t="str">
        <f t="shared" ref="AF7:AF38" si="17">IF(AK7="","",IF($H7="Short",($D$3*$J7/($G7-$I7))*-1,(($D$3*$J7)/($I7-$G7))*-1)/$M7)</f>
        <v/>
      </c>
      <c r="AG7" s="53" t="str">
        <f t="shared" ref="AG7:AG38" si="18">IF(AK7="","",AF7*$G7/$J7)</f>
        <v/>
      </c>
      <c r="AH7" s="53" t="str">
        <f t="shared" ref="AH7:AH38" si="19">IF(AK7="","",IF($H7="Short",($G7*AF7-AF7*$I7)/$J7,(AF7*$I7-$G7*AF7)/$J7))</f>
        <v/>
      </c>
      <c r="AI7" s="53" t="str">
        <f t="shared" ref="AI7:AI38" si="20">IF(AK7="","",IF($H7="Short",($G7*AF7-AF7*AK7)/$J7,(AF7*AK7-$G7*AF7)/$J7))</f>
        <v/>
      </c>
      <c r="AJ7" s="3" t="str">
        <f t="shared" ref="AJ7:AJ38" si="21">IF(AK7="","",(AH7*-1)/AI7)</f>
        <v/>
      </c>
      <c r="AK7" s="3"/>
      <c r="AL7" s="3"/>
      <c r="AM7" s="53" t="str">
        <f t="shared" ref="AM7:AM38" si="22">IF(AL7="","",IF($H7="Short",($G7*AF7-AF7*AL7)/$J7,(AF7*AL7-$G7*AF7)/$J7))</f>
        <v/>
      </c>
      <c r="AN7" s="3" t="str">
        <f t="shared" si="3"/>
        <v/>
      </c>
      <c r="AO7" s="4"/>
    </row>
    <row r="8" spans="2:41" x14ac:dyDescent="0.25">
      <c r="B8" s="7">
        <v>44879</v>
      </c>
      <c r="C8" s="3">
        <v>3</v>
      </c>
      <c r="D8" s="3" t="s">
        <v>16</v>
      </c>
      <c r="E8" s="3" t="s">
        <v>58</v>
      </c>
      <c r="F8" s="4" t="str">
        <f t="shared" si="4"/>
        <v>TAK</v>
      </c>
      <c r="G8" s="3">
        <v>11808.2</v>
      </c>
      <c r="H8" s="3" t="s">
        <v>15</v>
      </c>
      <c r="I8" s="3">
        <v>11685</v>
      </c>
      <c r="J8" s="3">
        <f>IF(H8="","",INDEX('Waluty z GBP'!$A$1:$I$26,MATCH(B8,'Waluty z GBP'!$A$1:$A$26,0),MATCH(E8,'Waluty z GBP'!$A$1:$I$1,0)))</f>
        <v>1.1752</v>
      </c>
      <c r="K8" s="3">
        <v>11850</v>
      </c>
      <c r="L8" s="3" t="s">
        <v>35</v>
      </c>
      <c r="M8" s="3">
        <f t="shared" si="5"/>
        <v>3</v>
      </c>
      <c r="N8" s="3">
        <f t="shared" si="6"/>
        <v>6.3593073593073215E-2</v>
      </c>
      <c r="O8" s="53">
        <f t="shared" si="7"/>
        <v>638.97186147185778</v>
      </c>
      <c r="P8" s="53">
        <f t="shared" si="8"/>
        <v>-6.6666666666667362</v>
      </c>
      <c r="Q8" s="53">
        <f t="shared" si="9"/>
        <v>1.4502164502163639</v>
      </c>
      <c r="R8" s="3">
        <f t="shared" si="0"/>
        <v>4.5970149253734558</v>
      </c>
      <c r="S8" s="3">
        <v>11835</v>
      </c>
      <c r="T8" s="3">
        <v>11835</v>
      </c>
      <c r="U8" s="53">
        <f t="shared" si="10"/>
        <v>1.4502164502163639</v>
      </c>
      <c r="V8" s="3" t="str">
        <f t="shared" si="1"/>
        <v>Zysk</v>
      </c>
      <c r="W8" s="3">
        <f t="shared" si="11"/>
        <v>6.3593073593073215E-2</v>
      </c>
      <c r="X8" s="53">
        <f t="shared" si="12"/>
        <v>638.97186147185778</v>
      </c>
      <c r="Y8" s="53">
        <f t="shared" si="13"/>
        <v>-6.6666666666667362</v>
      </c>
      <c r="Z8" s="53">
        <f t="shared" si="14"/>
        <v>4.6969696969696431</v>
      </c>
      <c r="AA8" s="3">
        <f t="shared" si="15"/>
        <v>1.4193548387097086</v>
      </c>
      <c r="AB8" s="3">
        <v>11895</v>
      </c>
      <c r="AC8" s="3">
        <v>11850</v>
      </c>
      <c r="AD8" s="53">
        <f t="shared" si="16"/>
        <v>2.2619047619046837</v>
      </c>
      <c r="AE8" s="3" t="str">
        <f t="shared" si="2"/>
        <v>Zysk</v>
      </c>
      <c r="AF8" s="3">
        <f t="shared" si="17"/>
        <v>6.3593073593073215E-2</v>
      </c>
      <c r="AG8" s="53">
        <f t="shared" si="18"/>
        <v>638.97186147185778</v>
      </c>
      <c r="AH8" s="53">
        <f t="shared" si="19"/>
        <v>-6.6666666666667362</v>
      </c>
      <c r="AI8" s="53">
        <f t="shared" si="20"/>
        <v>7.7813852813851998</v>
      </c>
      <c r="AJ8" s="3">
        <f t="shared" si="21"/>
        <v>0.85674547983311944</v>
      </c>
      <c r="AK8" s="3">
        <v>11952</v>
      </c>
      <c r="AL8" s="3">
        <v>11850</v>
      </c>
      <c r="AM8" s="53">
        <f t="shared" si="22"/>
        <v>2.2619047619046837</v>
      </c>
      <c r="AN8" s="3" t="str">
        <f t="shared" si="3"/>
        <v>Zysk</v>
      </c>
      <c r="AO8" s="4"/>
    </row>
    <row r="9" spans="2:41" x14ac:dyDescent="0.25">
      <c r="B9" s="7">
        <v>44880</v>
      </c>
      <c r="C9" s="3" t="s">
        <v>20</v>
      </c>
      <c r="D9" s="3" t="s">
        <v>14</v>
      </c>
      <c r="E9" s="3" t="s">
        <v>58</v>
      </c>
      <c r="F9" s="4" t="str">
        <f t="shared" si="4"/>
        <v>NEUTRALNA</v>
      </c>
      <c r="G9" s="3">
        <v>85.28</v>
      </c>
      <c r="H9" s="3" t="s">
        <v>15</v>
      </c>
      <c r="I9" s="3">
        <v>83.32</v>
      </c>
      <c r="J9" s="3">
        <f>IF(H9="","",INDEX('Waluty z GBP'!$A$1:$I$26,MATCH(B9,'Waluty z GBP'!$A$1:$A$26,0),MATCH(E9,'Waluty z GBP'!$A$1:$I$1,0)))</f>
        <v>1.1858</v>
      </c>
      <c r="K9" s="3">
        <v>85.33</v>
      </c>
      <c r="L9" s="3" t="s">
        <v>35</v>
      </c>
      <c r="M9" s="3">
        <f t="shared" si="5"/>
        <v>2</v>
      </c>
      <c r="N9" s="3">
        <f t="shared" si="6"/>
        <v>6.0499999999999758</v>
      </c>
      <c r="O9" s="53">
        <f t="shared" si="7"/>
        <v>435.1020408163248</v>
      </c>
      <c r="P9" s="53">
        <f t="shared" si="8"/>
        <v>-9.9999999999999556</v>
      </c>
      <c r="Q9" s="53">
        <f t="shared" si="9"/>
        <v>11.683673469387685</v>
      </c>
      <c r="R9" s="3">
        <f t="shared" si="0"/>
        <v>0.85589519650655155</v>
      </c>
      <c r="S9" s="3">
        <v>87.57</v>
      </c>
      <c r="T9" s="3">
        <v>87.57</v>
      </c>
      <c r="U9" s="53">
        <f t="shared" si="10"/>
        <v>11.683673469387685</v>
      </c>
      <c r="V9" s="3" t="str">
        <f t="shared" si="1"/>
        <v>Zysk</v>
      </c>
      <c r="W9" s="3">
        <f t="shared" si="11"/>
        <v>6.0499999999999758</v>
      </c>
      <c r="X9" s="53">
        <f t="shared" si="12"/>
        <v>435.1020408163248</v>
      </c>
      <c r="Y9" s="53">
        <f t="shared" si="13"/>
        <v>-9.9999999999999556</v>
      </c>
      <c r="Z9" s="53">
        <f t="shared" si="14"/>
        <v>17.959183673469333</v>
      </c>
      <c r="AA9" s="3">
        <f t="shared" si="15"/>
        <v>0.55681818181818099</v>
      </c>
      <c r="AB9" s="3">
        <v>88.8</v>
      </c>
      <c r="AC9" s="3">
        <v>85.33</v>
      </c>
      <c r="AD9" s="53">
        <f t="shared" si="16"/>
        <v>0.2551020408163342</v>
      </c>
      <c r="AE9" s="3" t="str">
        <f t="shared" si="2"/>
        <v>Neutralna</v>
      </c>
      <c r="AF9" s="3" t="str">
        <f t="shared" si="17"/>
        <v/>
      </c>
      <c r="AG9" s="53" t="str">
        <f t="shared" si="18"/>
        <v/>
      </c>
      <c r="AH9" s="53" t="str">
        <f t="shared" si="19"/>
        <v/>
      </c>
      <c r="AI9" s="53" t="str">
        <f t="shared" si="20"/>
        <v/>
      </c>
      <c r="AJ9" s="3" t="str">
        <f t="shared" si="21"/>
        <v/>
      </c>
      <c r="AK9" s="3"/>
      <c r="AL9" s="3"/>
      <c r="AM9" s="53" t="str">
        <f t="shared" si="22"/>
        <v/>
      </c>
      <c r="AN9" s="3" t="str">
        <f t="shared" si="3"/>
        <v/>
      </c>
      <c r="AO9" s="4"/>
    </row>
    <row r="10" spans="2:41" x14ac:dyDescent="0.25">
      <c r="B10" s="7">
        <v>44880</v>
      </c>
      <c r="C10" s="3">
        <v>4</v>
      </c>
      <c r="D10" s="3" t="s">
        <v>21</v>
      </c>
      <c r="E10" s="3" t="s">
        <v>58</v>
      </c>
      <c r="F10" s="4" t="str">
        <f t="shared" si="4"/>
        <v>TAK</v>
      </c>
      <c r="G10" s="3">
        <v>4.5774999999999997</v>
      </c>
      <c r="H10" s="3" t="s">
        <v>12</v>
      </c>
      <c r="I10" s="3">
        <v>4.6592399999999996</v>
      </c>
      <c r="J10" s="3">
        <f>IF(H10="","",INDEX('Waluty z GBP'!$A$1:$I$26,MATCH(B10,'Waluty z GBP'!$A$1:$A$26,0),MATCH(E10,'Waluty z GBP'!$A$1:$I$1,0)))</f>
        <v>1.1858</v>
      </c>
      <c r="K10" s="3"/>
      <c r="L10" s="3" t="s">
        <v>35</v>
      </c>
      <c r="M10" s="3">
        <f t="shared" si="5"/>
        <v>2</v>
      </c>
      <c r="N10" s="3">
        <f t="shared" si="6"/>
        <v>145.06973330070971</v>
      </c>
      <c r="O10" s="53">
        <f t="shared" si="7"/>
        <v>560.00734034744369</v>
      </c>
      <c r="P10" s="53">
        <f t="shared" si="8"/>
        <v>-9.9999999999999556</v>
      </c>
      <c r="Q10" s="53">
        <f t="shared" si="9"/>
        <v>6.813065818448659</v>
      </c>
      <c r="R10" s="3">
        <f t="shared" si="0"/>
        <v>1.4677680014365346</v>
      </c>
      <c r="S10" s="3">
        <v>4.5218100000000003</v>
      </c>
      <c r="T10" s="3">
        <v>4.5207899999999999</v>
      </c>
      <c r="U10" s="53">
        <f t="shared" si="10"/>
        <v>6.9378517249816314</v>
      </c>
      <c r="V10" s="3" t="str">
        <f t="shared" si="1"/>
        <v>Zysk</v>
      </c>
      <c r="W10" s="3">
        <f t="shared" si="11"/>
        <v>145.06973330070971</v>
      </c>
      <c r="X10" s="53">
        <f t="shared" si="12"/>
        <v>560.00734034744369</v>
      </c>
      <c r="Y10" s="53">
        <f t="shared" si="13"/>
        <v>-9.9999999999999556</v>
      </c>
      <c r="Z10" s="53">
        <f t="shared" si="14"/>
        <v>12.417421091265023</v>
      </c>
      <c r="AA10" s="3">
        <f t="shared" si="15"/>
        <v>0.805320197044329</v>
      </c>
      <c r="AB10" s="3">
        <v>4.476</v>
      </c>
      <c r="AC10" s="3">
        <v>4.5207899999999999</v>
      </c>
      <c r="AD10" s="53">
        <f t="shared" si="16"/>
        <v>6.9378517249816314</v>
      </c>
      <c r="AE10" s="3" t="str">
        <f t="shared" si="2"/>
        <v>Zysk</v>
      </c>
      <c r="AF10" s="3" t="str">
        <f t="shared" si="17"/>
        <v/>
      </c>
      <c r="AG10" s="53" t="str">
        <f t="shared" si="18"/>
        <v/>
      </c>
      <c r="AH10" s="53" t="str">
        <f t="shared" si="19"/>
        <v/>
      </c>
      <c r="AI10" s="53" t="str">
        <f t="shared" si="20"/>
        <v/>
      </c>
      <c r="AJ10" s="3" t="str">
        <f t="shared" si="21"/>
        <v/>
      </c>
      <c r="AK10" s="3"/>
      <c r="AL10" s="3"/>
      <c r="AM10" s="53" t="str">
        <f t="shared" si="22"/>
        <v/>
      </c>
      <c r="AN10" s="3" t="str">
        <f t="shared" si="3"/>
        <v/>
      </c>
      <c r="AO10" s="4"/>
    </row>
    <row r="11" spans="2:41" x14ac:dyDescent="0.25">
      <c r="B11" s="7">
        <v>44881</v>
      </c>
      <c r="C11" s="3">
        <v>5</v>
      </c>
      <c r="D11" s="3" t="s">
        <v>22</v>
      </c>
      <c r="E11" s="3" t="s">
        <v>62</v>
      </c>
      <c r="F11" s="4" t="str">
        <f t="shared" si="4"/>
        <v>NIE</v>
      </c>
      <c r="G11" s="3">
        <v>7363.7</v>
      </c>
      <c r="H11" s="3" t="s">
        <v>15</v>
      </c>
      <c r="I11" s="3">
        <v>7299.2</v>
      </c>
      <c r="J11" s="3">
        <f>IF(H11="","",INDEX('Waluty z GBP'!$A$1:$I$26,MATCH(B11,'Waluty z GBP'!$A$1:$A$26,0),MATCH(E11,'Waluty z GBP'!$A$1:$I$1,0)))</f>
        <v>1</v>
      </c>
      <c r="K11" s="3"/>
      <c r="L11" s="3" t="s">
        <v>35</v>
      </c>
      <c r="M11" s="3">
        <f t="shared" si="5"/>
        <v>1</v>
      </c>
      <c r="N11" s="3">
        <f t="shared" si="6"/>
        <v>0.31007751937984496</v>
      </c>
      <c r="O11" s="53">
        <f t="shared" si="7"/>
        <v>2283.317829457364</v>
      </c>
      <c r="P11" s="53">
        <f t="shared" si="8"/>
        <v>-20</v>
      </c>
      <c r="Q11" s="53">
        <f t="shared" si="9"/>
        <v>19.906976744186068</v>
      </c>
      <c r="R11" s="3">
        <f t="shared" si="0"/>
        <v>1.0046728971962606</v>
      </c>
      <c r="S11" s="3">
        <v>7427.9</v>
      </c>
      <c r="T11" s="3">
        <v>7299.2</v>
      </c>
      <c r="U11" s="53">
        <f t="shared" si="10"/>
        <v>-20</v>
      </c>
      <c r="V11" s="3" t="str">
        <f t="shared" si="1"/>
        <v>Strata</v>
      </c>
      <c r="W11" s="3" t="str">
        <f t="shared" si="11"/>
        <v/>
      </c>
      <c r="X11" s="53" t="str">
        <f t="shared" si="12"/>
        <v/>
      </c>
      <c r="Y11" s="53" t="str">
        <f t="shared" si="13"/>
        <v/>
      </c>
      <c r="Z11" s="53" t="str">
        <f t="shared" si="14"/>
        <v/>
      </c>
      <c r="AA11" s="3" t="str">
        <f t="shared" si="15"/>
        <v/>
      </c>
      <c r="AB11" s="3"/>
      <c r="AC11" s="3"/>
      <c r="AD11" s="53" t="str">
        <f t="shared" si="16"/>
        <v/>
      </c>
      <c r="AE11" s="3" t="str">
        <f t="shared" si="2"/>
        <v/>
      </c>
      <c r="AF11" s="3" t="str">
        <f t="shared" si="17"/>
        <v/>
      </c>
      <c r="AG11" s="53" t="str">
        <f t="shared" si="18"/>
        <v/>
      </c>
      <c r="AH11" s="53" t="str">
        <f t="shared" si="19"/>
        <v/>
      </c>
      <c r="AI11" s="53" t="str">
        <f t="shared" si="20"/>
        <v/>
      </c>
      <c r="AJ11" s="3" t="str">
        <f t="shared" si="21"/>
        <v/>
      </c>
      <c r="AK11" s="3"/>
      <c r="AL11" s="3"/>
      <c r="AM11" s="53" t="str">
        <f t="shared" si="22"/>
        <v/>
      </c>
      <c r="AN11" s="3" t="str">
        <f t="shared" si="3"/>
        <v/>
      </c>
      <c r="AO11" s="4"/>
    </row>
    <row r="12" spans="2:41" x14ac:dyDescent="0.25">
      <c r="B12" s="7">
        <v>44881</v>
      </c>
      <c r="C12" s="3">
        <v>6</v>
      </c>
      <c r="D12" s="3" t="s">
        <v>21</v>
      </c>
      <c r="E12" s="3" t="s">
        <v>58</v>
      </c>
      <c r="F12" s="4" t="str">
        <f t="shared" si="4"/>
        <v>TAK</v>
      </c>
      <c r="G12" s="3">
        <v>4.5202799999999996</v>
      </c>
      <c r="H12" s="3" t="s">
        <v>15</v>
      </c>
      <c r="I12" s="3">
        <v>4.4620300000000004</v>
      </c>
      <c r="J12" s="3">
        <f>IF(H12="","",INDEX('Waluty z GBP'!$A$1:$I$26,MATCH(B12,'Waluty z GBP'!$A$1:$A$26,0),MATCH(E12,'Waluty z GBP'!$A$1:$I$1,0)))</f>
        <v>1.1908000000000001</v>
      </c>
      <c r="K12" s="3"/>
      <c r="L12" s="3" t="s">
        <v>35</v>
      </c>
      <c r="M12" s="3">
        <f t="shared" si="5"/>
        <v>2</v>
      </c>
      <c r="N12" s="3">
        <f t="shared" si="6"/>
        <v>204.42918454935889</v>
      </c>
      <c r="O12" s="53">
        <f t="shared" si="7"/>
        <v>776.01373390558945</v>
      </c>
      <c r="P12" s="53">
        <f t="shared" si="8"/>
        <v>-10.000000000000012</v>
      </c>
      <c r="Q12" s="53">
        <f t="shared" si="9"/>
        <v>7.146781115879973</v>
      </c>
      <c r="R12" s="3">
        <f t="shared" si="0"/>
        <v>1.3992313235647105</v>
      </c>
      <c r="S12" s="3">
        <v>4.5619100000000001</v>
      </c>
      <c r="T12" s="3">
        <v>4.5619100000000001</v>
      </c>
      <c r="U12" s="53">
        <f t="shared" si="10"/>
        <v>7.146781115879973</v>
      </c>
      <c r="V12" s="3" t="str">
        <f t="shared" si="1"/>
        <v>Zysk</v>
      </c>
      <c r="W12" s="3">
        <f t="shared" si="11"/>
        <v>204.42918454935889</v>
      </c>
      <c r="X12" s="53">
        <f t="shared" si="12"/>
        <v>776.01373390558945</v>
      </c>
      <c r="Y12" s="53">
        <f t="shared" si="13"/>
        <v>-10.000000000000012</v>
      </c>
      <c r="Z12" s="53">
        <f t="shared" si="14"/>
        <v>13.651502145922938</v>
      </c>
      <c r="AA12" s="3">
        <f t="shared" si="15"/>
        <v>0.7325201207243367</v>
      </c>
      <c r="AB12" s="3">
        <v>4.5998000000000001</v>
      </c>
      <c r="AC12" s="3">
        <v>4.5866699999999998</v>
      </c>
      <c r="AD12" s="53">
        <f t="shared" si="16"/>
        <v>11.397424892704052</v>
      </c>
      <c r="AE12" s="3" t="str">
        <f t="shared" si="2"/>
        <v>Zysk</v>
      </c>
      <c r="AF12" s="3" t="str">
        <f t="shared" si="17"/>
        <v/>
      </c>
      <c r="AG12" s="53" t="str">
        <f t="shared" si="18"/>
        <v/>
      </c>
      <c r="AH12" s="53" t="str">
        <f t="shared" si="19"/>
        <v/>
      </c>
      <c r="AI12" s="53" t="str">
        <f t="shared" si="20"/>
        <v/>
      </c>
      <c r="AJ12" s="3" t="str">
        <f t="shared" si="21"/>
        <v/>
      </c>
      <c r="AK12" s="3"/>
      <c r="AL12" s="3"/>
      <c r="AM12" s="53" t="str">
        <f t="shared" si="22"/>
        <v/>
      </c>
      <c r="AN12" s="3" t="str">
        <f t="shared" si="3"/>
        <v/>
      </c>
      <c r="AO12" s="4"/>
    </row>
    <row r="13" spans="2:41" x14ac:dyDescent="0.25">
      <c r="B13" s="7">
        <v>44881</v>
      </c>
      <c r="C13" s="3">
        <v>7</v>
      </c>
      <c r="D13" s="3" t="s">
        <v>14</v>
      </c>
      <c r="E13" s="3" t="s">
        <v>58</v>
      </c>
      <c r="F13" s="4" t="str">
        <f t="shared" si="4"/>
        <v>TAK</v>
      </c>
      <c r="G13" s="3">
        <v>86.48</v>
      </c>
      <c r="H13" s="3" t="s">
        <v>12</v>
      </c>
      <c r="I13" s="3">
        <v>88.27</v>
      </c>
      <c r="J13" s="3">
        <f>IF(H13="","",INDEX('Waluty z GBP'!$A$1:$I$26,MATCH(B13,'Waluty z GBP'!$A$1:$A$26,0),MATCH(E13,'Waluty z GBP'!$A$1:$I$1,0)))</f>
        <v>1.1908000000000001</v>
      </c>
      <c r="K13" s="3"/>
      <c r="L13" s="3" t="s">
        <v>35</v>
      </c>
      <c r="M13" s="3">
        <f t="shared" si="5"/>
        <v>1</v>
      </c>
      <c r="N13" s="3">
        <f t="shared" si="6"/>
        <v>13.305027932960954</v>
      </c>
      <c r="O13" s="53">
        <f t="shared" si="7"/>
        <v>966.25698324022767</v>
      </c>
      <c r="P13" s="53">
        <f t="shared" si="8"/>
        <v>-20.000000000000025</v>
      </c>
      <c r="Q13" s="53">
        <f t="shared" si="9"/>
        <v>20.670391061452538</v>
      </c>
      <c r="R13" s="3">
        <f t="shared" si="0"/>
        <v>0.96756756756756768</v>
      </c>
      <c r="S13" s="3">
        <v>84.63</v>
      </c>
      <c r="T13" s="3">
        <v>84.93</v>
      </c>
      <c r="U13" s="53">
        <f t="shared" si="10"/>
        <v>17.318435754189967</v>
      </c>
      <c r="V13" s="3" t="str">
        <f t="shared" si="1"/>
        <v>Zysk</v>
      </c>
      <c r="W13" s="3" t="str">
        <f t="shared" si="11"/>
        <v/>
      </c>
      <c r="X13" s="53" t="str">
        <f t="shared" si="12"/>
        <v/>
      </c>
      <c r="Y13" s="53" t="str">
        <f t="shared" si="13"/>
        <v/>
      </c>
      <c r="Z13" s="53" t="str">
        <f t="shared" si="14"/>
        <v/>
      </c>
      <c r="AA13" s="3" t="str">
        <f t="shared" si="15"/>
        <v/>
      </c>
      <c r="AB13" s="3"/>
      <c r="AC13" s="3"/>
      <c r="AD13" s="53" t="str">
        <f t="shared" si="16"/>
        <v/>
      </c>
      <c r="AE13" s="3" t="str">
        <f t="shared" si="2"/>
        <v/>
      </c>
      <c r="AF13" s="3" t="str">
        <f t="shared" si="17"/>
        <v/>
      </c>
      <c r="AG13" s="53" t="str">
        <f t="shared" si="18"/>
        <v/>
      </c>
      <c r="AH13" s="53" t="str">
        <f t="shared" si="19"/>
        <v/>
      </c>
      <c r="AI13" s="53" t="str">
        <f t="shared" si="20"/>
        <v/>
      </c>
      <c r="AJ13" s="3" t="str">
        <f t="shared" si="21"/>
        <v/>
      </c>
      <c r="AK13" s="3"/>
      <c r="AL13" s="3"/>
      <c r="AM13" s="53" t="str">
        <f t="shared" si="22"/>
        <v/>
      </c>
      <c r="AN13" s="3" t="str">
        <f t="shared" si="3"/>
        <v/>
      </c>
      <c r="AO13" s="4"/>
    </row>
    <row r="14" spans="2:41" s="77" customFormat="1" x14ac:dyDescent="0.25">
      <c r="B14" s="76">
        <v>44881</v>
      </c>
      <c r="C14" s="77">
        <v>8</v>
      </c>
      <c r="D14" s="77" t="s">
        <v>23</v>
      </c>
      <c r="E14" s="77" t="s">
        <v>64</v>
      </c>
      <c r="F14" s="78" t="str">
        <f t="shared" si="4"/>
        <v>NIE</v>
      </c>
      <c r="G14" s="77">
        <v>0.63617000000000001</v>
      </c>
      <c r="H14" s="77" t="s">
        <v>15</v>
      </c>
      <c r="I14" s="77">
        <v>0.63024999999999998</v>
      </c>
      <c r="J14" s="77">
        <f>IF(H14="","",INDEX('Waluty z GBP'!$A$1:$I$26,MATCH(B14,'Waluty z GBP'!$A$1:$A$26,0),MATCH(E14,'Waluty z GBP'!$A$1:$I$1,0)))</f>
        <v>1.1908000000000001</v>
      </c>
      <c r="L14" s="77" t="s">
        <v>35</v>
      </c>
      <c r="M14" s="77">
        <f t="shared" si="5"/>
        <v>2</v>
      </c>
      <c r="N14" s="77">
        <f t="shared" si="6"/>
        <v>2011.4864864864744</v>
      </c>
      <c r="O14" s="79">
        <f t="shared" si="7"/>
        <v>1074.6114864864799</v>
      </c>
      <c r="P14" s="79">
        <f t="shared" si="8"/>
        <v>-9.9999999999999165</v>
      </c>
      <c r="Q14" s="79">
        <f t="shared" si="9"/>
        <v>6.4189189189189193</v>
      </c>
      <c r="R14" s="77">
        <f t="shared" si="0"/>
        <v>1.5578947368420921</v>
      </c>
      <c r="S14" s="77">
        <v>0.63997000000000004</v>
      </c>
      <c r="T14" s="77">
        <v>0.63997000000000004</v>
      </c>
      <c r="U14" s="79">
        <f t="shared" si="10"/>
        <v>6.4189189189189193</v>
      </c>
      <c r="V14" s="77" t="str">
        <f t="shared" si="1"/>
        <v>Zysk</v>
      </c>
      <c r="W14" s="77">
        <f t="shared" si="11"/>
        <v>2011.4864864864744</v>
      </c>
      <c r="X14" s="79">
        <f t="shared" si="12"/>
        <v>1074.6114864864799</v>
      </c>
      <c r="Y14" s="79">
        <f t="shared" si="13"/>
        <v>-9.9999999999999165</v>
      </c>
      <c r="Z14" s="79">
        <f t="shared" si="14"/>
        <v>11.891891891891675</v>
      </c>
      <c r="AA14" s="77">
        <f t="shared" si="15"/>
        <v>0.84090909090909927</v>
      </c>
      <c r="AB14" s="77">
        <v>0.64320999999999995</v>
      </c>
      <c r="AC14" s="77">
        <v>0.63024999999999998</v>
      </c>
      <c r="AD14" s="79">
        <f t="shared" si="16"/>
        <v>-9.9999999999999165</v>
      </c>
      <c r="AE14" s="77" t="str">
        <f t="shared" si="2"/>
        <v>Strata</v>
      </c>
      <c r="AF14" s="77" t="str">
        <f t="shared" si="17"/>
        <v/>
      </c>
      <c r="AG14" s="79" t="str">
        <f t="shared" si="18"/>
        <v/>
      </c>
      <c r="AH14" s="79" t="str">
        <f t="shared" si="19"/>
        <v/>
      </c>
      <c r="AI14" s="79" t="str">
        <f t="shared" si="20"/>
        <v/>
      </c>
      <c r="AJ14" s="77" t="str">
        <f t="shared" si="21"/>
        <v/>
      </c>
      <c r="AM14" s="79" t="str">
        <f t="shared" si="22"/>
        <v/>
      </c>
      <c r="AN14" s="77" t="str">
        <f t="shared" si="3"/>
        <v/>
      </c>
      <c r="AO14" s="78"/>
    </row>
    <row r="15" spans="2:41" x14ac:dyDescent="0.25">
      <c r="B15" s="7">
        <v>44881</v>
      </c>
      <c r="C15" s="3">
        <v>9</v>
      </c>
      <c r="D15" s="3" t="s">
        <v>14</v>
      </c>
      <c r="E15" s="3" t="s">
        <v>58</v>
      </c>
      <c r="F15" s="4" t="str">
        <f t="shared" si="4"/>
        <v>TAK</v>
      </c>
      <c r="G15" s="3">
        <v>83.99</v>
      </c>
      <c r="H15" s="3" t="s">
        <v>12</v>
      </c>
      <c r="I15" s="3">
        <v>89.46</v>
      </c>
      <c r="J15" s="3">
        <f>IF(H15="","",INDEX('Waluty z GBP'!$A$1:$I$26,MATCH(B15,'Waluty z GBP'!$A$1:$A$26,0),MATCH(E15,'Waluty z GBP'!$A$1:$I$1,0)))</f>
        <v>1.1908000000000001</v>
      </c>
      <c r="K15" s="3"/>
      <c r="L15" s="3" t="s">
        <v>35</v>
      </c>
      <c r="M15" s="3">
        <f t="shared" si="5"/>
        <v>2</v>
      </c>
      <c r="N15" s="3">
        <f t="shared" si="6"/>
        <v>2.1769652650822677</v>
      </c>
      <c r="O15" s="53">
        <f t="shared" si="7"/>
        <v>153.54661791590496</v>
      </c>
      <c r="P15" s="53">
        <f t="shared" si="8"/>
        <v>-10.000000000000012</v>
      </c>
      <c r="Q15" s="53">
        <f t="shared" si="9"/>
        <v>4.4424131627056438</v>
      </c>
      <c r="R15" s="3">
        <f t="shared" si="0"/>
        <v>2.2510288065843769</v>
      </c>
      <c r="S15" s="3">
        <v>81.56</v>
      </c>
      <c r="T15" s="3">
        <v>81.56</v>
      </c>
      <c r="U15" s="53">
        <f t="shared" si="10"/>
        <v>4.4424131627056438</v>
      </c>
      <c r="V15" s="3" t="str">
        <f t="shared" si="1"/>
        <v>Zysk</v>
      </c>
      <c r="W15" s="3">
        <f t="shared" si="11"/>
        <v>2.1769652650822677</v>
      </c>
      <c r="X15" s="53">
        <f t="shared" si="12"/>
        <v>153.54661791590496</v>
      </c>
      <c r="Y15" s="53">
        <f t="shared" si="13"/>
        <v>-10.000000000000012</v>
      </c>
      <c r="Z15" s="53">
        <f t="shared" si="14"/>
        <v>9.1773308957952295</v>
      </c>
      <c r="AA15" s="3">
        <f t="shared" si="15"/>
        <v>1.0896414342629517</v>
      </c>
      <c r="AB15" s="3">
        <v>78.97</v>
      </c>
      <c r="AC15" s="3">
        <v>81.56</v>
      </c>
      <c r="AD15" s="53">
        <f t="shared" si="16"/>
        <v>4.4424131627056438</v>
      </c>
      <c r="AE15" s="3" t="str">
        <f t="shared" si="2"/>
        <v>Zysk</v>
      </c>
      <c r="AF15" s="3" t="str">
        <f t="shared" si="17"/>
        <v/>
      </c>
      <c r="AG15" s="53" t="str">
        <f t="shared" si="18"/>
        <v/>
      </c>
      <c r="AH15" s="53" t="str">
        <f t="shared" si="19"/>
        <v/>
      </c>
      <c r="AI15" s="53" t="str">
        <f t="shared" si="20"/>
        <v/>
      </c>
      <c r="AJ15" s="3" t="str">
        <f t="shared" si="21"/>
        <v/>
      </c>
      <c r="AK15" s="3"/>
      <c r="AL15" s="3"/>
      <c r="AM15" s="53" t="str">
        <f t="shared" si="22"/>
        <v/>
      </c>
      <c r="AN15" s="3" t="str">
        <f t="shared" si="3"/>
        <v/>
      </c>
      <c r="AO15" s="4"/>
    </row>
    <row r="16" spans="2:41" x14ac:dyDescent="0.25">
      <c r="B16" s="7">
        <v>44886</v>
      </c>
      <c r="C16" s="3">
        <v>10</v>
      </c>
      <c r="D16" s="3" t="s">
        <v>14</v>
      </c>
      <c r="E16" s="3" t="s">
        <v>58</v>
      </c>
      <c r="F16" s="4" t="str">
        <f t="shared" si="4"/>
        <v>NIE</v>
      </c>
      <c r="G16" s="3">
        <v>79.61</v>
      </c>
      <c r="H16" s="3" t="s">
        <v>15</v>
      </c>
      <c r="I16" s="3">
        <v>77.34</v>
      </c>
      <c r="J16" s="3">
        <f>IF(H16="","",INDEX('Waluty z GBP'!$A$1:$I$26,MATCH(B16,'Waluty z GBP'!$A$1:$A$26,0),MATCH(E16,'Waluty z GBP'!$A$1:$I$1,0)))</f>
        <v>1.1826000000000001</v>
      </c>
      <c r="K16" s="3"/>
      <c r="L16" s="3" t="s">
        <v>35</v>
      </c>
      <c r="M16" s="3">
        <f t="shared" si="5"/>
        <v>2</v>
      </c>
      <c r="N16" s="3">
        <f t="shared" si="6"/>
        <v>5.2096916299559561</v>
      </c>
      <c r="O16" s="53">
        <f t="shared" si="7"/>
        <v>350.70484581497857</v>
      </c>
      <c r="P16" s="53">
        <f t="shared" si="8"/>
        <v>-10.000000000000018</v>
      </c>
      <c r="Q16" s="53">
        <f t="shared" si="9"/>
        <v>10.04405286343613</v>
      </c>
      <c r="R16" s="3">
        <f t="shared" si="0"/>
        <v>0.99561403508772039</v>
      </c>
      <c r="S16" s="3">
        <v>81.89</v>
      </c>
      <c r="T16" s="3">
        <v>77.34</v>
      </c>
      <c r="U16" s="53">
        <f t="shared" si="10"/>
        <v>-10.000000000000018</v>
      </c>
      <c r="V16" s="3" t="str">
        <f t="shared" si="1"/>
        <v>Strata</v>
      </c>
      <c r="W16" s="3">
        <f t="shared" si="11"/>
        <v>5.2096916299559561</v>
      </c>
      <c r="X16" s="53">
        <f t="shared" si="12"/>
        <v>350.70484581497857</v>
      </c>
      <c r="Y16" s="53">
        <f t="shared" si="13"/>
        <v>-10.000000000000018</v>
      </c>
      <c r="Z16" s="53">
        <f t="shared" si="14"/>
        <v>19.603524229074925</v>
      </c>
      <c r="AA16" s="3">
        <f t="shared" si="15"/>
        <v>0.51011235955056178</v>
      </c>
      <c r="AB16" s="3">
        <v>84.06</v>
      </c>
      <c r="AC16" s="3">
        <v>77.34</v>
      </c>
      <c r="AD16" s="53">
        <f t="shared" si="16"/>
        <v>-10.000000000000018</v>
      </c>
      <c r="AE16" s="3" t="str">
        <f t="shared" si="2"/>
        <v>Strata</v>
      </c>
      <c r="AF16" s="3" t="str">
        <f t="shared" si="17"/>
        <v/>
      </c>
      <c r="AG16" s="53" t="str">
        <f t="shared" si="18"/>
        <v/>
      </c>
      <c r="AH16" s="53" t="str">
        <f t="shared" si="19"/>
        <v/>
      </c>
      <c r="AI16" s="53" t="str">
        <f t="shared" si="20"/>
        <v/>
      </c>
      <c r="AJ16" s="3" t="str">
        <f t="shared" si="21"/>
        <v/>
      </c>
      <c r="AK16" s="3"/>
      <c r="AL16" s="3"/>
      <c r="AM16" s="53" t="str">
        <f t="shared" si="22"/>
        <v/>
      </c>
      <c r="AN16" s="3" t="str">
        <f t="shared" si="3"/>
        <v/>
      </c>
      <c r="AO16" s="4"/>
    </row>
    <row r="17" spans="2:41" x14ac:dyDescent="0.25">
      <c r="B17" s="7">
        <v>44886</v>
      </c>
      <c r="C17" s="3">
        <v>11</v>
      </c>
      <c r="D17" s="3" t="s">
        <v>25</v>
      </c>
      <c r="E17" s="3" t="s">
        <v>62</v>
      </c>
      <c r="F17" s="4" t="str">
        <f t="shared" si="4"/>
        <v>TAK</v>
      </c>
      <c r="G17" s="3">
        <v>166.29900000000001</v>
      </c>
      <c r="H17" s="3" t="s">
        <v>12</v>
      </c>
      <c r="I17" s="3">
        <v>170.13200000000001</v>
      </c>
      <c r="J17" s="3">
        <f>IF(H17="","",INDEX('Waluty z GBP'!$A$1:$I$26,MATCH(B17,'Waluty z GBP'!$A$1:$A$26,0),MATCH(E17,'Waluty z GBP'!$A$1:$I$1,0)))</f>
        <v>1</v>
      </c>
      <c r="K17" s="3"/>
      <c r="L17" s="3" t="s">
        <v>36</v>
      </c>
      <c r="M17" s="3">
        <f t="shared" si="5"/>
        <v>2</v>
      </c>
      <c r="N17" s="3">
        <f t="shared" si="6"/>
        <v>2.6089225150013053</v>
      </c>
      <c r="O17" s="53">
        <f t="shared" si="7"/>
        <v>433.86120532220207</v>
      </c>
      <c r="P17" s="53">
        <f t="shared" si="8"/>
        <v>-10</v>
      </c>
      <c r="Q17" s="53">
        <f t="shared" si="9"/>
        <v>7.4849986955387067</v>
      </c>
      <c r="R17" s="3">
        <f t="shared" si="0"/>
        <v>1.3360055768560537</v>
      </c>
      <c r="S17" s="3">
        <v>163.43</v>
      </c>
      <c r="T17" s="3"/>
      <c r="U17" s="53" t="str">
        <f t="shared" si="10"/>
        <v/>
      </c>
      <c r="V17" s="3" t="str">
        <f t="shared" si="1"/>
        <v/>
      </c>
      <c r="W17" s="3">
        <f t="shared" si="11"/>
        <v>2.6089225150013053</v>
      </c>
      <c r="X17" s="53">
        <f t="shared" si="12"/>
        <v>433.86120532220207</v>
      </c>
      <c r="Y17" s="53">
        <f t="shared" si="13"/>
        <v>-10</v>
      </c>
      <c r="Z17" s="53">
        <f t="shared" si="14"/>
        <v>11.685363944690835</v>
      </c>
      <c r="AA17" s="3">
        <f t="shared" si="15"/>
        <v>0.85577137753962995</v>
      </c>
      <c r="AB17" s="3">
        <v>161.82</v>
      </c>
      <c r="AC17" s="3"/>
      <c r="AD17" s="53" t="str">
        <f t="shared" si="16"/>
        <v/>
      </c>
      <c r="AE17" s="3" t="str">
        <f t="shared" si="2"/>
        <v/>
      </c>
      <c r="AF17" s="3" t="str">
        <f t="shared" si="17"/>
        <v/>
      </c>
      <c r="AG17" s="53" t="str">
        <f t="shared" si="18"/>
        <v/>
      </c>
      <c r="AH17" s="53" t="str">
        <f t="shared" si="19"/>
        <v/>
      </c>
      <c r="AI17" s="53" t="str">
        <f t="shared" si="20"/>
        <v/>
      </c>
      <c r="AJ17" s="3" t="str">
        <f t="shared" si="21"/>
        <v/>
      </c>
      <c r="AK17" s="3"/>
      <c r="AL17" s="3"/>
      <c r="AM17" s="53" t="str">
        <f t="shared" si="22"/>
        <v/>
      </c>
      <c r="AN17" s="3" t="str">
        <f t="shared" si="3"/>
        <v/>
      </c>
      <c r="AO17" s="4"/>
    </row>
    <row r="18" spans="2:41" x14ac:dyDescent="0.25">
      <c r="B18" s="7">
        <v>44886</v>
      </c>
      <c r="C18" s="3">
        <v>12</v>
      </c>
      <c r="D18" s="3" t="s">
        <v>21</v>
      </c>
      <c r="E18" s="3" t="s">
        <v>58</v>
      </c>
      <c r="F18" s="4" t="str">
        <f t="shared" si="4"/>
        <v>TAK</v>
      </c>
      <c r="G18" s="3">
        <v>4.5885499999999997</v>
      </c>
      <c r="H18" s="3" t="s">
        <v>12</v>
      </c>
      <c r="I18" s="3">
        <v>4.6579800000000002</v>
      </c>
      <c r="J18" s="3">
        <f>IF(H18="","",INDEX('Waluty z GBP'!$A$1:$I$26,MATCH(B18,'Waluty z GBP'!$A$1:$A$26,0),MATCH(E18,'Waluty z GBP'!$A$1:$I$1,0)))</f>
        <v>1.1826000000000001</v>
      </c>
      <c r="K18" s="3">
        <v>4.58636</v>
      </c>
      <c r="L18" s="3" t="s">
        <v>35</v>
      </c>
      <c r="M18" s="3">
        <f t="shared" si="5"/>
        <v>1</v>
      </c>
      <c r="N18" s="3">
        <f t="shared" si="6"/>
        <v>340.65965720869673</v>
      </c>
      <c r="O18" s="53">
        <f t="shared" si="7"/>
        <v>1321.7773296845639</v>
      </c>
      <c r="P18" s="53">
        <f t="shared" si="8"/>
        <v>-19.999999999999844</v>
      </c>
      <c r="Q18" s="53">
        <f t="shared" si="9"/>
        <v>18.153535935474515</v>
      </c>
      <c r="R18" s="3">
        <f t="shared" si="0"/>
        <v>1.1017137416693066</v>
      </c>
      <c r="S18" s="3">
        <v>4.5255299999999998</v>
      </c>
      <c r="T18" s="3">
        <v>4.5616000000000003</v>
      </c>
      <c r="U18" s="53">
        <f t="shared" si="10"/>
        <v>7.7632147486674707</v>
      </c>
      <c r="V18" s="3" t="str">
        <f t="shared" si="1"/>
        <v>Zysk</v>
      </c>
      <c r="W18" s="3" t="str">
        <f t="shared" si="11"/>
        <v/>
      </c>
      <c r="X18" s="53" t="str">
        <f t="shared" si="12"/>
        <v/>
      </c>
      <c r="Y18" s="53" t="str">
        <f t="shared" si="13"/>
        <v/>
      </c>
      <c r="Z18" s="53" t="str">
        <f t="shared" si="14"/>
        <v/>
      </c>
      <c r="AA18" s="3" t="str">
        <f t="shared" si="15"/>
        <v/>
      </c>
      <c r="AB18" s="3"/>
      <c r="AC18" s="3"/>
      <c r="AD18" s="53" t="str">
        <f t="shared" si="16"/>
        <v/>
      </c>
      <c r="AE18" s="3" t="str">
        <f t="shared" si="2"/>
        <v/>
      </c>
      <c r="AF18" s="3" t="str">
        <f t="shared" si="17"/>
        <v/>
      </c>
      <c r="AG18" s="53" t="str">
        <f t="shared" si="18"/>
        <v/>
      </c>
      <c r="AH18" s="53" t="str">
        <f t="shared" si="19"/>
        <v/>
      </c>
      <c r="AI18" s="53" t="str">
        <f t="shared" si="20"/>
        <v/>
      </c>
      <c r="AJ18" s="3" t="str">
        <f t="shared" si="21"/>
        <v/>
      </c>
      <c r="AK18" s="3"/>
      <c r="AL18" s="3"/>
      <c r="AM18" s="53" t="str">
        <f t="shared" si="22"/>
        <v/>
      </c>
      <c r="AN18" s="3" t="str">
        <f t="shared" si="3"/>
        <v/>
      </c>
      <c r="AO18" s="4"/>
    </row>
    <row r="19" spans="2:41" x14ac:dyDescent="0.25">
      <c r="B19" s="7">
        <v>44886</v>
      </c>
      <c r="C19" s="3">
        <v>13</v>
      </c>
      <c r="D19" s="3" t="s">
        <v>14</v>
      </c>
      <c r="E19" s="3" t="s">
        <v>58</v>
      </c>
      <c r="F19" s="4" t="str">
        <f t="shared" si="4"/>
        <v>NEUTRALNA</v>
      </c>
      <c r="G19" s="3">
        <v>79.5</v>
      </c>
      <c r="H19" s="3" t="s">
        <v>15</v>
      </c>
      <c r="I19" s="3">
        <v>75.97</v>
      </c>
      <c r="J19" s="3">
        <f>IF(H19="","",INDEX('Waluty z GBP'!$A$1:$I$26,MATCH(B19,'Waluty z GBP'!$A$1:$A$26,0),MATCH(E19,'Waluty z GBP'!$A$1:$I$1,0)))</f>
        <v>1.1826000000000001</v>
      </c>
      <c r="K19" s="3">
        <v>79.73</v>
      </c>
      <c r="L19" s="3" t="s">
        <v>34</v>
      </c>
      <c r="M19" s="3">
        <f t="shared" si="5"/>
        <v>2</v>
      </c>
      <c r="N19" s="3">
        <f t="shared" si="6"/>
        <v>3.350141643059489</v>
      </c>
      <c r="O19" s="53">
        <f t="shared" si="7"/>
        <v>225.21246458923503</v>
      </c>
      <c r="P19" s="53">
        <f t="shared" si="8"/>
        <v>-9.9999999999999698</v>
      </c>
      <c r="Q19" s="53">
        <f t="shared" si="9"/>
        <v>10.169971671388126</v>
      </c>
      <c r="R19" s="3">
        <f t="shared" si="0"/>
        <v>0.98328690807798913</v>
      </c>
      <c r="S19" s="3">
        <v>83.09</v>
      </c>
      <c r="T19" s="3">
        <v>79.73</v>
      </c>
      <c r="U19" s="53">
        <f t="shared" si="10"/>
        <v>0.65155807365443652</v>
      </c>
      <c r="V19" s="3" t="str">
        <f t="shared" si="1"/>
        <v>Neutralna</v>
      </c>
      <c r="W19" s="3">
        <f t="shared" si="11"/>
        <v>3.350141643059489</v>
      </c>
      <c r="X19" s="53">
        <f t="shared" si="12"/>
        <v>225.21246458923503</v>
      </c>
      <c r="Y19" s="53">
        <f t="shared" si="13"/>
        <v>-9.9999999999999698</v>
      </c>
      <c r="Z19" s="53">
        <f t="shared" si="14"/>
        <v>14.702549575070851</v>
      </c>
      <c r="AA19" s="3">
        <f t="shared" si="15"/>
        <v>0.68015414258188489</v>
      </c>
      <c r="AB19" s="3">
        <v>84.69</v>
      </c>
      <c r="AC19" s="3">
        <v>79.73</v>
      </c>
      <c r="AD19" s="53">
        <f t="shared" si="16"/>
        <v>0.65155807365443652</v>
      </c>
      <c r="AE19" s="3" t="str">
        <f t="shared" si="2"/>
        <v>Neutralna</v>
      </c>
      <c r="AF19" s="3" t="str">
        <f t="shared" si="17"/>
        <v/>
      </c>
      <c r="AG19" s="53" t="str">
        <f t="shared" si="18"/>
        <v/>
      </c>
      <c r="AH19" s="53" t="str">
        <f t="shared" si="19"/>
        <v/>
      </c>
      <c r="AI19" s="53" t="str">
        <f t="shared" si="20"/>
        <v/>
      </c>
      <c r="AJ19" s="3" t="str">
        <f t="shared" si="21"/>
        <v/>
      </c>
      <c r="AK19" s="3"/>
      <c r="AL19" s="3"/>
      <c r="AM19" s="53" t="str">
        <f t="shared" si="22"/>
        <v/>
      </c>
      <c r="AN19" s="3" t="str">
        <f t="shared" si="3"/>
        <v/>
      </c>
      <c r="AO19" s="4"/>
    </row>
    <row r="20" spans="2:41" x14ac:dyDescent="0.25">
      <c r="B20" s="7">
        <v>44888</v>
      </c>
      <c r="C20" s="3">
        <v>14</v>
      </c>
      <c r="D20" s="3" t="s">
        <v>14</v>
      </c>
      <c r="E20" s="3" t="s">
        <v>58</v>
      </c>
      <c r="F20" s="4" t="str">
        <f t="shared" si="4"/>
        <v>TAK</v>
      </c>
      <c r="G20" s="3">
        <v>78.97</v>
      </c>
      <c r="H20" s="3" t="s">
        <v>15</v>
      </c>
      <c r="I20" s="3">
        <v>75.13</v>
      </c>
      <c r="J20" s="3">
        <f>IF(H20="","",INDEX('Waluty z GBP'!$A$1:$I$26,MATCH(B20,'Waluty z GBP'!$A$1:$A$26,0),MATCH(E20,'Waluty z GBP'!$A$1:$I$1,0)))</f>
        <v>1.2077</v>
      </c>
      <c r="K20" s="3"/>
      <c r="L20" s="3" t="s">
        <v>35</v>
      </c>
      <c r="M20" s="3">
        <f t="shared" si="5"/>
        <v>2</v>
      </c>
      <c r="N20" s="3">
        <f t="shared" si="6"/>
        <v>3.1450520833333306</v>
      </c>
      <c r="O20" s="53">
        <f t="shared" si="7"/>
        <v>205.65104166666649</v>
      </c>
      <c r="P20" s="53">
        <f t="shared" si="8"/>
        <v>-9.9999999999999982</v>
      </c>
      <c r="Q20" s="53">
        <f t="shared" si="9"/>
        <v>6.7968749999999796</v>
      </c>
      <c r="R20" s="3">
        <f t="shared" si="0"/>
        <v>1.4712643678160962</v>
      </c>
      <c r="S20" s="3">
        <v>81.58</v>
      </c>
      <c r="T20" s="3">
        <v>79.56</v>
      </c>
      <c r="U20" s="53">
        <f t="shared" si="10"/>
        <v>1.5364583333333286</v>
      </c>
      <c r="V20" s="3" t="str">
        <f t="shared" si="1"/>
        <v>Zysk</v>
      </c>
      <c r="W20" s="3">
        <f t="shared" si="11"/>
        <v>3.1450520833333306</v>
      </c>
      <c r="X20" s="53">
        <f t="shared" si="12"/>
        <v>205.65104166666649</v>
      </c>
      <c r="Y20" s="53">
        <f t="shared" si="13"/>
        <v>-9.9999999999999982</v>
      </c>
      <c r="Z20" s="53">
        <f t="shared" si="14"/>
        <v>11.848958333333334</v>
      </c>
      <c r="AA20" s="3">
        <f t="shared" si="15"/>
        <v>0.84395604395604373</v>
      </c>
      <c r="AB20" s="3">
        <v>83.52</v>
      </c>
      <c r="AC20" s="3">
        <v>79.56</v>
      </c>
      <c r="AD20" s="53">
        <f t="shared" si="16"/>
        <v>1.5364583333333286</v>
      </c>
      <c r="AE20" s="3" t="str">
        <f t="shared" si="2"/>
        <v>Zysk</v>
      </c>
      <c r="AF20" s="3" t="str">
        <f t="shared" si="17"/>
        <v/>
      </c>
      <c r="AG20" s="53" t="str">
        <f t="shared" si="18"/>
        <v/>
      </c>
      <c r="AH20" s="53" t="str">
        <f t="shared" si="19"/>
        <v/>
      </c>
      <c r="AI20" s="53" t="str">
        <f t="shared" si="20"/>
        <v/>
      </c>
      <c r="AJ20" s="3" t="str">
        <f t="shared" si="21"/>
        <v/>
      </c>
      <c r="AK20" s="3"/>
      <c r="AL20" s="3"/>
      <c r="AM20" s="53" t="str">
        <f t="shared" si="22"/>
        <v/>
      </c>
      <c r="AN20" s="3" t="str">
        <f t="shared" si="3"/>
        <v/>
      </c>
      <c r="AO20" s="4"/>
    </row>
    <row r="21" spans="2:41" x14ac:dyDescent="0.25">
      <c r="B21" s="7">
        <v>44889</v>
      </c>
      <c r="C21" s="3">
        <v>15</v>
      </c>
      <c r="D21" s="3" t="s">
        <v>26</v>
      </c>
      <c r="E21" s="3" t="s">
        <v>57</v>
      </c>
      <c r="F21" s="4" t="str">
        <f t="shared" si="4"/>
        <v>NIE</v>
      </c>
      <c r="G21" s="3">
        <v>1.0414000000000001</v>
      </c>
      <c r="H21" s="3" t="s">
        <v>15</v>
      </c>
      <c r="I21" s="3">
        <v>1.0380799999999999</v>
      </c>
      <c r="J21" s="3">
        <f>IF(H21="","",INDEX('Waluty z GBP'!$A$1:$I$26,MATCH(B21,'Waluty z GBP'!$A$1:$A$26,0),MATCH(E21,'Waluty z GBP'!$A$1:$I$1,0)))</f>
        <v>1.1637999999999999</v>
      </c>
      <c r="K21" s="3">
        <v>1.0405899999999999</v>
      </c>
      <c r="L21" s="3" t="s">
        <v>35</v>
      </c>
      <c r="M21" s="3">
        <f t="shared" si="5"/>
        <v>2</v>
      </c>
      <c r="N21" s="3">
        <f t="shared" si="6"/>
        <v>3505.4216867467644</v>
      </c>
      <c r="O21" s="53">
        <f t="shared" si="7"/>
        <v>3136.7469879516075</v>
      </c>
      <c r="P21" s="53">
        <f t="shared" si="8"/>
        <v>-9.9999999999999325</v>
      </c>
      <c r="Q21" s="53">
        <f t="shared" si="9"/>
        <v>6.9578313253002273</v>
      </c>
      <c r="R21" s="3">
        <f t="shared" si="0"/>
        <v>1.4372294372296295</v>
      </c>
      <c r="S21" s="3">
        <v>1.0437099999999999</v>
      </c>
      <c r="T21" s="3">
        <v>1.0405899999999999</v>
      </c>
      <c r="U21" s="53">
        <f t="shared" si="10"/>
        <v>-2.4397590361449359</v>
      </c>
      <c r="V21" s="3" t="str">
        <f t="shared" si="1"/>
        <v>Strata</v>
      </c>
      <c r="W21" s="3">
        <f t="shared" si="11"/>
        <v>3505.4216867467644</v>
      </c>
      <c r="X21" s="53">
        <f t="shared" si="12"/>
        <v>3136.7469879516075</v>
      </c>
      <c r="Y21" s="53">
        <f t="shared" si="13"/>
        <v>-9.9999999999999325</v>
      </c>
      <c r="Z21" s="53">
        <f t="shared" si="14"/>
        <v>9.4578313253004058</v>
      </c>
      <c r="AA21" s="3">
        <f t="shared" si="15"/>
        <v>1.0573248407644134</v>
      </c>
      <c r="AB21" s="3">
        <v>1.04454</v>
      </c>
      <c r="AC21" s="3">
        <v>1.0405899999999999</v>
      </c>
      <c r="AD21" s="53">
        <f t="shared" si="16"/>
        <v>-2.4397590361449359</v>
      </c>
      <c r="AE21" s="3" t="str">
        <f t="shared" si="2"/>
        <v>Strata</v>
      </c>
      <c r="AF21" s="3" t="str">
        <f t="shared" si="17"/>
        <v/>
      </c>
      <c r="AG21" s="53" t="str">
        <f t="shared" si="18"/>
        <v/>
      </c>
      <c r="AH21" s="53" t="str">
        <f t="shared" si="19"/>
        <v/>
      </c>
      <c r="AI21" s="53" t="str">
        <f t="shared" si="20"/>
        <v/>
      </c>
      <c r="AJ21" s="3" t="str">
        <f t="shared" si="21"/>
        <v/>
      </c>
      <c r="AK21" s="3"/>
      <c r="AL21" s="3"/>
      <c r="AM21" s="53" t="str">
        <f t="shared" si="22"/>
        <v/>
      </c>
      <c r="AN21" s="3" t="str">
        <f t="shared" si="3"/>
        <v/>
      </c>
      <c r="AO21" s="4"/>
    </row>
    <row r="22" spans="2:41" x14ac:dyDescent="0.25">
      <c r="B22" s="7">
        <v>44890</v>
      </c>
      <c r="C22" s="3">
        <v>16</v>
      </c>
      <c r="D22" s="3" t="s">
        <v>27</v>
      </c>
      <c r="E22" s="3" t="s">
        <v>63</v>
      </c>
      <c r="F22" s="4" t="str">
        <f t="shared" si="4"/>
        <v>TAK</v>
      </c>
      <c r="G22" s="3">
        <v>0.70711000000000002</v>
      </c>
      <c r="H22" s="3" t="s">
        <v>12</v>
      </c>
      <c r="I22" s="3">
        <v>0.71223000000000003</v>
      </c>
      <c r="J22" s="3">
        <f>IF(H22="","",INDEX('Waluty z GBP'!$A$1:$I$26,MATCH(B22,'Waluty z GBP'!$A$1:$A$26,0),MATCH(E22,'Waluty z GBP'!$A$1:$I$1,0)))</f>
        <v>1.6180000000000001</v>
      </c>
      <c r="K22" s="3"/>
      <c r="L22" s="3" t="s">
        <v>35</v>
      </c>
      <c r="M22" s="3">
        <f t="shared" si="5"/>
        <v>1</v>
      </c>
      <c r="N22" s="3">
        <f t="shared" si="6"/>
        <v>6320.3124999999836</v>
      </c>
      <c r="O22" s="53">
        <f t="shared" si="7"/>
        <v>2762.1484374999923</v>
      </c>
      <c r="P22" s="53">
        <f t="shared" si="8"/>
        <v>-20.000000000000359</v>
      </c>
      <c r="Q22" s="53">
        <f t="shared" si="9"/>
        <v>19.023437499999797</v>
      </c>
      <c r="R22" s="3">
        <f t="shared" si="0"/>
        <v>1.0513347022587569</v>
      </c>
      <c r="S22" s="3">
        <v>0.70223999999999998</v>
      </c>
      <c r="T22" s="3">
        <v>0.70570999999999995</v>
      </c>
      <c r="U22" s="53">
        <f t="shared" si="10"/>
        <v>5.4687499999998872</v>
      </c>
      <c r="V22" s="3" t="str">
        <f t="shared" si="1"/>
        <v>Zysk</v>
      </c>
      <c r="W22" s="3" t="str">
        <f t="shared" si="11"/>
        <v/>
      </c>
      <c r="X22" s="53" t="str">
        <f t="shared" si="12"/>
        <v/>
      </c>
      <c r="Y22" s="53" t="str">
        <f t="shared" si="13"/>
        <v/>
      </c>
      <c r="Z22" s="53" t="str">
        <f t="shared" si="14"/>
        <v/>
      </c>
      <c r="AA22" s="3" t="str">
        <f t="shared" si="15"/>
        <v/>
      </c>
      <c r="AB22" s="3"/>
      <c r="AC22" s="3"/>
      <c r="AD22" s="53" t="str">
        <f t="shared" si="16"/>
        <v/>
      </c>
      <c r="AE22" s="3" t="str">
        <f t="shared" si="2"/>
        <v/>
      </c>
      <c r="AF22" s="3" t="str">
        <f t="shared" si="17"/>
        <v/>
      </c>
      <c r="AG22" s="53" t="str">
        <f t="shared" si="18"/>
        <v/>
      </c>
      <c r="AH22" s="53" t="str">
        <f t="shared" si="19"/>
        <v/>
      </c>
      <c r="AI22" s="53" t="str">
        <f t="shared" si="20"/>
        <v/>
      </c>
      <c r="AJ22" s="3" t="str">
        <f t="shared" si="21"/>
        <v/>
      </c>
      <c r="AK22" s="3"/>
      <c r="AL22" s="3"/>
      <c r="AM22" s="53" t="str">
        <f t="shared" si="22"/>
        <v/>
      </c>
      <c r="AN22" s="3" t="str">
        <f t="shared" si="3"/>
        <v/>
      </c>
      <c r="AO22" s="4"/>
    </row>
    <row r="23" spans="2:41" x14ac:dyDescent="0.25">
      <c r="B23" s="7">
        <v>44890</v>
      </c>
      <c r="C23" s="3">
        <v>17</v>
      </c>
      <c r="D23" s="3" t="s">
        <v>28</v>
      </c>
      <c r="E23" s="3" t="s">
        <v>57</v>
      </c>
      <c r="F23" s="4" t="str">
        <f t="shared" si="4"/>
        <v>NEUTRALNA</v>
      </c>
      <c r="G23" s="3">
        <v>14517.8</v>
      </c>
      <c r="H23" s="3" t="s">
        <v>15</v>
      </c>
      <c r="I23" s="3">
        <v>14480</v>
      </c>
      <c r="J23" s="3">
        <f>IF(H23="","",INDEX('Waluty z GBP'!$A$1:$I$26,MATCH(B23,'Waluty z GBP'!$A$1:$A$26,0),MATCH(E23,'Waluty z GBP'!$A$1:$I$1,0)))</f>
        <v>1.1632</v>
      </c>
      <c r="K23" s="3">
        <v>14517.8</v>
      </c>
      <c r="L23" s="3" t="s">
        <v>35</v>
      </c>
      <c r="M23" s="3">
        <f t="shared" si="5"/>
        <v>2</v>
      </c>
      <c r="N23" s="3">
        <f t="shared" si="6"/>
        <v>0.30772486772487362</v>
      </c>
      <c r="O23" s="53">
        <f t="shared" si="7"/>
        <v>3840.6878306879039</v>
      </c>
      <c r="P23" s="53">
        <f t="shared" si="8"/>
        <v>-9.9999999999996625</v>
      </c>
      <c r="Q23" s="53">
        <f t="shared" si="9"/>
        <v>7.1957671957675071</v>
      </c>
      <c r="R23" s="3">
        <f t="shared" si="0"/>
        <v>1.3897058823528341</v>
      </c>
      <c r="S23" s="3">
        <v>14545</v>
      </c>
      <c r="T23" s="3">
        <v>14517.8</v>
      </c>
      <c r="U23" s="53">
        <f t="shared" si="10"/>
        <v>0</v>
      </c>
      <c r="V23" s="3" t="str">
        <f t="shared" si="1"/>
        <v>Neutralna</v>
      </c>
      <c r="W23" s="3">
        <f t="shared" si="11"/>
        <v>0.30772486772487362</v>
      </c>
      <c r="X23" s="53">
        <f t="shared" si="12"/>
        <v>3840.6878306879039</v>
      </c>
      <c r="Y23" s="53">
        <f t="shared" si="13"/>
        <v>-9.9999999999996625</v>
      </c>
      <c r="Z23" s="53">
        <f t="shared" si="14"/>
        <v>9.841269841269968</v>
      </c>
      <c r="AA23" s="3">
        <f t="shared" si="15"/>
        <v>1.0161290322580172</v>
      </c>
      <c r="AB23" s="3">
        <v>14555</v>
      </c>
      <c r="AC23" s="3">
        <v>14517.8</v>
      </c>
      <c r="AD23" s="53">
        <f t="shared" si="16"/>
        <v>0</v>
      </c>
      <c r="AE23" s="3" t="str">
        <f t="shared" si="2"/>
        <v>Neutralna</v>
      </c>
      <c r="AF23" s="3" t="str">
        <f t="shared" si="17"/>
        <v/>
      </c>
      <c r="AG23" s="53" t="str">
        <f t="shared" si="18"/>
        <v/>
      </c>
      <c r="AH23" s="53" t="str">
        <f t="shared" si="19"/>
        <v/>
      </c>
      <c r="AI23" s="53" t="str">
        <f t="shared" si="20"/>
        <v/>
      </c>
      <c r="AJ23" s="3" t="str">
        <f t="shared" si="21"/>
        <v/>
      </c>
      <c r="AK23" s="3"/>
      <c r="AL23" s="3"/>
      <c r="AM23" s="53" t="str">
        <f t="shared" si="22"/>
        <v/>
      </c>
      <c r="AN23" s="3" t="str">
        <f t="shared" si="3"/>
        <v/>
      </c>
      <c r="AO23" s="4"/>
    </row>
    <row r="24" spans="2:41" s="77" customFormat="1" x14ac:dyDescent="0.25">
      <c r="B24" s="76">
        <v>44891</v>
      </c>
      <c r="C24" s="77">
        <v>18</v>
      </c>
      <c r="D24" s="77" t="s">
        <v>30</v>
      </c>
      <c r="E24" s="77" t="s">
        <v>58</v>
      </c>
      <c r="F24" s="78" t="str">
        <f t="shared" si="4"/>
        <v>NIE</v>
      </c>
      <c r="G24" s="77">
        <v>16575</v>
      </c>
      <c r="H24" s="77" t="s">
        <v>12</v>
      </c>
      <c r="I24" s="77">
        <v>17012.61</v>
      </c>
      <c r="J24" s="77">
        <f>IF(H24="","",INDEX('Waluty z GBP'!$A$1:$I$26,MATCH(B24,'Waluty z GBP'!$A$1:$A$26,0),MATCH(E24,'Waluty z GBP'!$A$1:$I$1,0)))</f>
        <v>1.2095</v>
      </c>
      <c r="L24" s="77" t="s">
        <v>34</v>
      </c>
      <c r="M24" s="77">
        <f t="shared" si="5"/>
        <v>2</v>
      </c>
      <c r="N24" s="77">
        <f t="shared" si="6"/>
        <v>2.763876511048647E-2</v>
      </c>
      <c r="O24" s="79">
        <f t="shared" si="7"/>
        <v>378.76191129087493</v>
      </c>
      <c r="P24" s="79">
        <f t="shared" si="8"/>
        <v>-10.000000000000023</v>
      </c>
      <c r="Q24" s="79">
        <f t="shared" si="9"/>
        <v>8.7619112908754158</v>
      </c>
      <c r="R24" s="77">
        <f t="shared" si="0"/>
        <v>1.1413034973789273</v>
      </c>
      <c r="S24" s="77">
        <v>16191.57</v>
      </c>
      <c r="T24" s="77">
        <v>16191.57</v>
      </c>
      <c r="U24" s="79">
        <f t="shared" si="10"/>
        <v>8.7619112908754158</v>
      </c>
      <c r="V24" s="77" t="str">
        <f t="shared" si="1"/>
        <v>Zysk</v>
      </c>
      <c r="W24" s="77">
        <f t="shared" si="11"/>
        <v>2.763876511048647E-2</v>
      </c>
      <c r="X24" s="79">
        <f t="shared" si="12"/>
        <v>378.76191129087493</v>
      </c>
      <c r="Y24" s="79">
        <f t="shared" si="13"/>
        <v>-10.000000000000023</v>
      </c>
      <c r="Z24" s="79">
        <f t="shared" si="14"/>
        <v>17.624140216174208</v>
      </c>
      <c r="AA24" s="77">
        <f t="shared" si="15"/>
        <v>0.56740356564019612</v>
      </c>
      <c r="AB24" s="77">
        <v>15803.75</v>
      </c>
      <c r="AC24" s="77">
        <v>17012.61</v>
      </c>
      <c r="AD24" s="79">
        <f t="shared" si="16"/>
        <v>-10.000000000000023</v>
      </c>
      <c r="AE24" s="77" t="str">
        <f t="shared" si="2"/>
        <v>Strata</v>
      </c>
      <c r="AF24" s="77" t="str">
        <f t="shared" si="17"/>
        <v/>
      </c>
      <c r="AG24" s="79" t="str">
        <f t="shared" si="18"/>
        <v/>
      </c>
      <c r="AH24" s="79" t="str">
        <f t="shared" si="19"/>
        <v/>
      </c>
      <c r="AI24" s="79" t="str">
        <f t="shared" si="20"/>
        <v/>
      </c>
      <c r="AJ24" s="77" t="str">
        <f t="shared" si="21"/>
        <v/>
      </c>
      <c r="AM24" s="79" t="str">
        <f t="shared" si="22"/>
        <v/>
      </c>
      <c r="AN24" s="77" t="str">
        <f t="shared" si="3"/>
        <v/>
      </c>
      <c r="AO24" s="78"/>
    </row>
    <row r="25" spans="2:41" x14ac:dyDescent="0.25">
      <c r="B25" s="7">
        <v>44892</v>
      </c>
      <c r="C25" s="3">
        <v>19</v>
      </c>
      <c r="D25" s="3" t="s">
        <v>27</v>
      </c>
      <c r="E25" s="3" t="s">
        <v>63</v>
      </c>
      <c r="F25" s="4" t="str">
        <f t="shared" si="4"/>
        <v>TAK</v>
      </c>
      <c r="G25" s="3">
        <v>0.70577000000000001</v>
      </c>
      <c r="H25" s="3" t="s">
        <v>12</v>
      </c>
      <c r="I25" s="3">
        <v>0.71223000000000003</v>
      </c>
      <c r="J25" s="3">
        <f>IF(H25="","",INDEX('Waluty z GBP'!$A$1:$I$26,MATCH(B25,'Waluty z GBP'!$A$1:$A$26,0),MATCH(E25,'Waluty z GBP'!$A$1:$I$1,0)))</f>
        <v>1.6180000000000001</v>
      </c>
      <c r="K25" s="3">
        <v>0.70579000000000003</v>
      </c>
      <c r="L25" s="3" t="s">
        <v>35</v>
      </c>
      <c r="M25" s="3">
        <f t="shared" si="5"/>
        <v>2</v>
      </c>
      <c r="N25" s="3">
        <f t="shared" si="6"/>
        <v>2504.643962848289</v>
      </c>
      <c r="O25" s="53">
        <f t="shared" si="7"/>
        <v>1092.5232198142378</v>
      </c>
      <c r="P25" s="53">
        <f t="shared" si="8"/>
        <v>-10.000000000000039</v>
      </c>
      <c r="Q25" s="53">
        <f t="shared" si="9"/>
        <v>5.4643962848296992</v>
      </c>
      <c r="R25" s="3">
        <f t="shared" si="0"/>
        <v>1.8300283286119126</v>
      </c>
      <c r="S25" s="3">
        <v>0.70223999999999998</v>
      </c>
      <c r="T25" s="3">
        <v>0.70223999999999998</v>
      </c>
      <c r="U25" s="53">
        <f t="shared" si="10"/>
        <v>5.4643962848296992</v>
      </c>
      <c r="V25" s="3" t="str">
        <f t="shared" si="1"/>
        <v>Zysk</v>
      </c>
      <c r="W25" s="3">
        <f t="shared" si="11"/>
        <v>2504.643962848289</v>
      </c>
      <c r="X25" s="53">
        <f t="shared" si="12"/>
        <v>1092.5232198142378</v>
      </c>
      <c r="Y25" s="53">
        <f t="shared" si="13"/>
        <v>-10.000000000000039</v>
      </c>
      <c r="Z25" s="53">
        <f t="shared" si="14"/>
        <v>9.9845201238388555</v>
      </c>
      <c r="AA25" s="3">
        <f t="shared" si="15"/>
        <v>1.0015503875969185</v>
      </c>
      <c r="AB25" s="3">
        <v>0.69932000000000005</v>
      </c>
      <c r="AC25" s="3">
        <v>0.69972000000000001</v>
      </c>
      <c r="AD25" s="53">
        <f t="shared" si="16"/>
        <v>9.3653250773993761</v>
      </c>
      <c r="AE25" s="3" t="str">
        <f t="shared" si="2"/>
        <v>Zysk</v>
      </c>
      <c r="AF25" s="3" t="str">
        <f t="shared" si="17"/>
        <v/>
      </c>
      <c r="AG25" s="53" t="str">
        <f t="shared" si="18"/>
        <v/>
      </c>
      <c r="AH25" s="53" t="str">
        <f t="shared" si="19"/>
        <v/>
      </c>
      <c r="AI25" s="53" t="str">
        <f t="shared" si="20"/>
        <v/>
      </c>
      <c r="AJ25" s="3" t="str">
        <f t="shared" si="21"/>
        <v/>
      </c>
      <c r="AK25" s="3"/>
      <c r="AL25" s="3"/>
      <c r="AM25" s="53" t="str">
        <f t="shared" si="22"/>
        <v/>
      </c>
      <c r="AN25" s="3" t="str">
        <f t="shared" si="3"/>
        <v/>
      </c>
      <c r="AO25" s="4"/>
    </row>
    <row r="26" spans="2:41" x14ac:dyDescent="0.25">
      <c r="B26" s="7">
        <v>44893</v>
      </c>
      <c r="C26" s="3">
        <v>20</v>
      </c>
      <c r="D26" s="3" t="s">
        <v>21</v>
      </c>
      <c r="E26" s="3" t="s">
        <v>58</v>
      </c>
      <c r="F26" s="4" t="str">
        <f t="shared" si="4"/>
        <v>TAK</v>
      </c>
      <c r="G26" s="3">
        <v>4.5381999999999998</v>
      </c>
      <c r="H26" s="3" t="s">
        <v>12</v>
      </c>
      <c r="I26" s="3">
        <v>4.5617000000000001</v>
      </c>
      <c r="J26" s="3">
        <f>IF(H26="","",INDEX('Waluty z GBP'!$A$1:$I$26,MATCH(B26,'Waluty z GBP'!$A$1:$A$26,0),MATCH(E26,'Waluty z GBP'!$A$1:$I$1,0)))</f>
        <v>1.196</v>
      </c>
      <c r="K26" s="3">
        <v>4.53667</v>
      </c>
      <c r="L26" s="3" t="s">
        <v>35</v>
      </c>
      <c r="M26" s="3">
        <f t="shared" si="5"/>
        <v>2</v>
      </c>
      <c r="N26" s="3">
        <f t="shared" si="6"/>
        <v>508.93617021275946</v>
      </c>
      <c r="O26" s="53">
        <f t="shared" si="7"/>
        <v>1931.1489361701881</v>
      </c>
      <c r="P26" s="53">
        <f t="shared" si="8"/>
        <v>-10.00000000000003</v>
      </c>
      <c r="Q26" s="53">
        <f t="shared" si="9"/>
        <v>15.753191489361628</v>
      </c>
      <c r="R26" s="3">
        <f t="shared" si="0"/>
        <v>0.63479200432199301</v>
      </c>
      <c r="S26" s="3">
        <v>4.5011799999999997</v>
      </c>
      <c r="T26" s="3">
        <v>4.5011799999999997</v>
      </c>
      <c r="U26" s="53">
        <f t="shared" si="10"/>
        <v>15.753191489361628</v>
      </c>
      <c r="V26" s="3" t="str">
        <f t="shared" si="1"/>
        <v>Zysk</v>
      </c>
      <c r="W26" s="3">
        <f t="shared" si="11"/>
        <v>508.93617021275946</v>
      </c>
      <c r="X26" s="53">
        <f t="shared" si="12"/>
        <v>1931.1489361701881</v>
      </c>
      <c r="Y26" s="53">
        <f t="shared" si="13"/>
        <v>-10.00000000000003</v>
      </c>
      <c r="Z26" s="53">
        <f t="shared" si="14"/>
        <v>26.978723404254669</v>
      </c>
      <c r="AA26" s="3">
        <f t="shared" si="15"/>
        <v>0.37066246056783342</v>
      </c>
      <c r="AB26" s="3">
        <v>4.4748000000000001</v>
      </c>
      <c r="AC26" s="3">
        <v>4.5011799999999997</v>
      </c>
      <c r="AD26" s="53">
        <f t="shared" si="16"/>
        <v>15.753191489361628</v>
      </c>
      <c r="AE26" s="3" t="str">
        <f t="shared" si="2"/>
        <v>Zysk</v>
      </c>
      <c r="AF26" s="3" t="str">
        <f t="shared" si="17"/>
        <v/>
      </c>
      <c r="AG26" s="53" t="str">
        <f t="shared" si="18"/>
        <v/>
      </c>
      <c r="AH26" s="53" t="str">
        <f t="shared" si="19"/>
        <v/>
      </c>
      <c r="AI26" s="53" t="str">
        <f t="shared" si="20"/>
        <v/>
      </c>
      <c r="AJ26" s="3" t="str">
        <f t="shared" si="21"/>
        <v/>
      </c>
      <c r="AK26" s="3"/>
      <c r="AL26" s="3"/>
      <c r="AM26" s="53" t="str">
        <f t="shared" si="22"/>
        <v/>
      </c>
      <c r="AN26" s="3" t="str">
        <f t="shared" si="3"/>
        <v/>
      </c>
      <c r="AO26" s="4"/>
    </row>
    <row r="27" spans="2:41" x14ac:dyDescent="0.25">
      <c r="B27" s="7">
        <v>44893</v>
      </c>
      <c r="C27" s="3">
        <v>21</v>
      </c>
      <c r="D27" s="3" t="s">
        <v>16</v>
      </c>
      <c r="E27" s="3" t="s">
        <v>58</v>
      </c>
      <c r="F27" s="4" t="str">
        <f t="shared" si="4"/>
        <v>TAK</v>
      </c>
      <c r="G27" s="3">
        <v>11670.3</v>
      </c>
      <c r="H27" s="3" t="s">
        <v>15</v>
      </c>
      <c r="I27" s="3">
        <v>11606</v>
      </c>
      <c r="J27" s="3">
        <f>IF(H27="","",INDEX('Waluty z GBP'!$A$1:$I$26,MATCH(B27,'Waluty z GBP'!$A$1:$A$26,0),MATCH(E27,'Waluty z GBP'!$A$1:$I$1,0)))</f>
        <v>1.196</v>
      </c>
      <c r="K27" s="3"/>
      <c r="L27" s="3" t="s">
        <v>35</v>
      </c>
      <c r="M27" s="3">
        <f t="shared" si="5"/>
        <v>2</v>
      </c>
      <c r="N27" s="3">
        <f t="shared" si="6"/>
        <v>0.18600311041990877</v>
      </c>
      <c r="O27" s="53">
        <f t="shared" si="7"/>
        <v>1814.9766718507201</v>
      </c>
      <c r="P27" s="53">
        <f t="shared" si="8"/>
        <v>-10.00000000000003</v>
      </c>
      <c r="Q27" s="53">
        <f t="shared" si="9"/>
        <v>5.396578538102708</v>
      </c>
      <c r="R27" s="3">
        <f t="shared" si="0"/>
        <v>1.8530259365994073</v>
      </c>
      <c r="S27" s="3">
        <v>11705</v>
      </c>
      <c r="T27" s="3">
        <v>11699</v>
      </c>
      <c r="U27" s="53">
        <f t="shared" si="10"/>
        <v>4.4634525660965965</v>
      </c>
      <c r="V27" s="3" t="str">
        <f t="shared" si="1"/>
        <v>Zysk</v>
      </c>
      <c r="W27" s="3">
        <f t="shared" si="11"/>
        <v>0.18600311041990877</v>
      </c>
      <c r="X27" s="53">
        <f t="shared" si="12"/>
        <v>1814.9766718507201</v>
      </c>
      <c r="Y27" s="53">
        <f t="shared" si="13"/>
        <v>-10.00000000000003</v>
      </c>
      <c r="Z27" s="53">
        <f t="shared" si="14"/>
        <v>8.506998444790252</v>
      </c>
      <c r="AA27" s="3">
        <f t="shared" si="15"/>
        <v>1.1755027422303226</v>
      </c>
      <c r="AB27" s="3">
        <v>11725</v>
      </c>
      <c r="AC27" s="3">
        <v>11699</v>
      </c>
      <c r="AD27" s="53">
        <f t="shared" si="16"/>
        <v>4.4634525660965965</v>
      </c>
      <c r="AE27" s="3" t="str">
        <f t="shared" si="2"/>
        <v>Zysk</v>
      </c>
      <c r="AF27" s="3" t="str">
        <f t="shared" si="17"/>
        <v/>
      </c>
      <c r="AG27" s="53" t="str">
        <f t="shared" si="18"/>
        <v/>
      </c>
      <c r="AH27" s="53" t="str">
        <f t="shared" si="19"/>
        <v/>
      </c>
      <c r="AI27" s="53" t="str">
        <f t="shared" si="20"/>
        <v/>
      </c>
      <c r="AJ27" s="3" t="str">
        <f t="shared" si="21"/>
        <v/>
      </c>
      <c r="AK27" s="3"/>
      <c r="AL27" s="3"/>
      <c r="AM27" s="53" t="str">
        <f t="shared" si="22"/>
        <v/>
      </c>
      <c r="AN27" s="3" t="str">
        <f t="shared" si="3"/>
        <v/>
      </c>
      <c r="AO27" s="4"/>
    </row>
    <row r="28" spans="2:41" x14ac:dyDescent="0.25">
      <c r="B28" s="7">
        <v>44893</v>
      </c>
      <c r="C28" s="3">
        <v>22</v>
      </c>
      <c r="D28" s="3" t="s">
        <v>16</v>
      </c>
      <c r="E28" s="3" t="s">
        <v>58</v>
      </c>
      <c r="F28" s="4" t="str">
        <f t="shared" si="4"/>
        <v>NIE</v>
      </c>
      <c r="G28" s="3">
        <v>11648</v>
      </c>
      <c r="H28" s="3" t="s">
        <v>15</v>
      </c>
      <c r="I28" s="3">
        <v>11535</v>
      </c>
      <c r="J28" s="3">
        <f>IF(H28="","",INDEX('Waluty z GBP'!$A$1:$I$26,MATCH(B28,'Waluty z GBP'!$A$1:$A$26,0),MATCH(E28,'Waluty z GBP'!$A$1:$I$1,0)))</f>
        <v>1.196</v>
      </c>
      <c r="K28" s="3"/>
      <c r="L28" s="3" t="s">
        <v>35</v>
      </c>
      <c r="M28" s="3">
        <f t="shared" si="5"/>
        <v>2</v>
      </c>
      <c r="N28" s="3">
        <f t="shared" si="6"/>
        <v>0.10584070796460177</v>
      </c>
      <c r="O28" s="53">
        <f t="shared" si="7"/>
        <v>1030.7964601769911</v>
      </c>
      <c r="P28" s="53">
        <f t="shared" si="8"/>
        <v>-10.00000000000003</v>
      </c>
      <c r="Q28" s="53">
        <f t="shared" si="9"/>
        <v>9.026548672566296</v>
      </c>
      <c r="R28" s="3">
        <f t="shared" si="0"/>
        <v>1.1078431372549147</v>
      </c>
      <c r="S28" s="3">
        <v>11750</v>
      </c>
      <c r="T28" s="3">
        <v>11535</v>
      </c>
      <c r="U28" s="53">
        <f t="shared" si="10"/>
        <v>-10.00000000000003</v>
      </c>
      <c r="V28" s="3" t="str">
        <f t="shared" si="1"/>
        <v>Strata</v>
      </c>
      <c r="W28" s="3">
        <f t="shared" si="11"/>
        <v>0.10584070796460177</v>
      </c>
      <c r="X28" s="53">
        <f t="shared" si="12"/>
        <v>1030.7964601769911</v>
      </c>
      <c r="Y28" s="53">
        <f t="shared" si="13"/>
        <v>-10.00000000000003</v>
      </c>
      <c r="Z28" s="53">
        <f t="shared" si="14"/>
        <v>16.991150442477899</v>
      </c>
      <c r="AA28" s="3">
        <f t="shared" si="15"/>
        <v>0.58854166666666763</v>
      </c>
      <c r="AB28" s="3">
        <v>11840</v>
      </c>
      <c r="AC28" s="3">
        <v>11535</v>
      </c>
      <c r="AD28" s="53">
        <f t="shared" si="16"/>
        <v>-10.00000000000003</v>
      </c>
      <c r="AE28" s="3" t="str">
        <f t="shared" si="2"/>
        <v>Strata</v>
      </c>
      <c r="AF28" s="3" t="str">
        <f t="shared" si="17"/>
        <v/>
      </c>
      <c r="AG28" s="53" t="str">
        <f t="shared" si="18"/>
        <v/>
      </c>
      <c r="AH28" s="53" t="str">
        <f t="shared" si="19"/>
        <v/>
      </c>
      <c r="AI28" s="53" t="str">
        <f t="shared" si="20"/>
        <v/>
      </c>
      <c r="AJ28" s="3" t="str">
        <f t="shared" si="21"/>
        <v/>
      </c>
      <c r="AK28" s="3"/>
      <c r="AL28" s="3"/>
      <c r="AM28" s="53" t="str">
        <f t="shared" si="22"/>
        <v/>
      </c>
      <c r="AN28" s="3" t="str">
        <f t="shared" si="3"/>
        <v/>
      </c>
      <c r="AO28" s="4"/>
    </row>
    <row r="29" spans="2:41" x14ac:dyDescent="0.25">
      <c r="B29" s="7">
        <v>44893</v>
      </c>
      <c r="C29" s="3">
        <v>23</v>
      </c>
      <c r="D29" s="3" t="s">
        <v>14</v>
      </c>
      <c r="E29" s="3" t="s">
        <v>58</v>
      </c>
      <c r="F29" s="4" t="str">
        <f t="shared" si="4"/>
        <v>NIE</v>
      </c>
      <c r="G29" s="3">
        <v>77.37</v>
      </c>
      <c r="H29" s="3" t="s">
        <v>12</v>
      </c>
      <c r="I29" s="3">
        <v>80.150000000000006</v>
      </c>
      <c r="J29" s="3">
        <f>IF(H29="","",INDEX('Waluty z GBP'!$A$1:$I$26,MATCH(B29,'Waluty z GBP'!$A$1:$A$26,0),MATCH(E29,'Waluty z GBP'!$A$1:$I$1,0)))</f>
        <v>1.196</v>
      </c>
      <c r="K29" s="3"/>
      <c r="L29" s="3" t="s">
        <v>35</v>
      </c>
      <c r="M29" s="3">
        <f t="shared" si="5"/>
        <v>1</v>
      </c>
      <c r="N29" s="3">
        <f t="shared" si="6"/>
        <v>8.6043165467625862</v>
      </c>
      <c r="O29" s="53">
        <f t="shared" si="7"/>
        <v>556.61870503597106</v>
      </c>
      <c r="P29" s="53">
        <f t="shared" si="8"/>
        <v>-19.999999999999968</v>
      </c>
      <c r="Q29" s="53">
        <f t="shared" si="9"/>
        <v>24.820143884892087</v>
      </c>
      <c r="R29" s="3">
        <f t="shared" si="0"/>
        <v>0.80579710144927408</v>
      </c>
      <c r="S29" s="3">
        <v>73.92</v>
      </c>
      <c r="T29" s="3">
        <v>80.150000000000006</v>
      </c>
      <c r="U29" s="53">
        <f t="shared" si="10"/>
        <v>-19.999999999999968</v>
      </c>
      <c r="V29" s="3" t="str">
        <f t="shared" si="1"/>
        <v>Strata</v>
      </c>
      <c r="W29" s="3" t="str">
        <f t="shared" si="11"/>
        <v/>
      </c>
      <c r="X29" s="53" t="str">
        <f t="shared" si="12"/>
        <v/>
      </c>
      <c r="Y29" s="53" t="str">
        <f t="shared" si="13"/>
        <v/>
      </c>
      <c r="Z29" s="53" t="str">
        <f t="shared" si="14"/>
        <v/>
      </c>
      <c r="AA29" s="3" t="str">
        <f t="shared" si="15"/>
        <v/>
      </c>
      <c r="AB29" s="3"/>
      <c r="AC29" s="3"/>
      <c r="AD29" s="53" t="str">
        <f t="shared" si="16"/>
        <v/>
      </c>
      <c r="AE29" s="3" t="str">
        <f t="shared" si="2"/>
        <v/>
      </c>
      <c r="AF29" s="3" t="str">
        <f t="shared" si="17"/>
        <v/>
      </c>
      <c r="AG29" s="53" t="str">
        <f t="shared" si="18"/>
        <v/>
      </c>
      <c r="AH29" s="53" t="str">
        <f t="shared" si="19"/>
        <v/>
      </c>
      <c r="AI29" s="53" t="str">
        <f t="shared" si="20"/>
        <v/>
      </c>
      <c r="AJ29" s="3" t="str">
        <f t="shared" si="21"/>
        <v/>
      </c>
      <c r="AK29" s="3"/>
      <c r="AL29" s="3"/>
      <c r="AM29" s="53" t="str">
        <f t="shared" si="22"/>
        <v/>
      </c>
      <c r="AN29" s="3" t="str">
        <f t="shared" si="3"/>
        <v/>
      </c>
      <c r="AO29" s="4"/>
    </row>
    <row r="30" spans="2:41" x14ac:dyDescent="0.25">
      <c r="B30" s="7">
        <v>44894</v>
      </c>
      <c r="C30" s="3">
        <v>24</v>
      </c>
      <c r="D30" s="3" t="s">
        <v>21</v>
      </c>
      <c r="E30" s="3" t="s">
        <v>58</v>
      </c>
      <c r="F30" s="4" t="str">
        <f t="shared" si="4"/>
        <v>NIE</v>
      </c>
      <c r="G30" s="3">
        <v>4.5012999999999996</v>
      </c>
      <c r="H30" s="3" t="s">
        <v>15</v>
      </c>
      <c r="I30" s="3">
        <v>4.4515399999999996</v>
      </c>
      <c r="J30" s="3">
        <f>IF(H30="","",INDEX('Waluty z GBP'!$A$1:$I$26,MATCH(B30,'Waluty z GBP'!$A$1:$A$26,0),MATCH(E30,'Waluty z GBP'!$A$1:$I$1,0)))</f>
        <v>1.1947000000000001</v>
      </c>
      <c r="K30" s="3"/>
      <c r="L30" s="3" t="s">
        <v>35</v>
      </c>
      <c r="M30" s="3">
        <f t="shared" si="5"/>
        <v>2</v>
      </c>
      <c r="N30" s="3">
        <f t="shared" si="6"/>
        <v>240.09244372990344</v>
      </c>
      <c r="O30" s="53">
        <f t="shared" si="7"/>
        <v>904.60209003215391</v>
      </c>
      <c r="P30" s="53">
        <f t="shared" si="8"/>
        <v>-10.000000000000096</v>
      </c>
      <c r="Q30" s="53">
        <f t="shared" si="9"/>
        <v>10.976688102893938</v>
      </c>
      <c r="R30" s="3">
        <f t="shared" si="0"/>
        <v>0.91102160380813368</v>
      </c>
      <c r="S30" s="3">
        <v>4.5559200000000004</v>
      </c>
      <c r="T30" s="3">
        <v>4.4515399999999996</v>
      </c>
      <c r="U30" s="53">
        <f t="shared" si="10"/>
        <v>-10.000000000000096</v>
      </c>
      <c r="V30" s="3" t="str">
        <f t="shared" si="1"/>
        <v>Strata</v>
      </c>
      <c r="W30" s="3">
        <f t="shared" si="11"/>
        <v>240.09244372990344</v>
      </c>
      <c r="X30" s="53">
        <f t="shared" si="12"/>
        <v>904.60209003215391</v>
      </c>
      <c r="Y30" s="53">
        <f t="shared" si="13"/>
        <v>-10.000000000000096</v>
      </c>
      <c r="Z30" s="53">
        <f t="shared" si="14"/>
        <v>17.887861736334333</v>
      </c>
      <c r="AA30" s="3">
        <f t="shared" si="15"/>
        <v>0.55903831030222084</v>
      </c>
      <c r="AB30" s="3">
        <v>4.5903099999999997</v>
      </c>
      <c r="AC30" s="3">
        <v>4.4515399999999996</v>
      </c>
      <c r="AD30" s="53">
        <f t="shared" si="16"/>
        <v>-10.000000000000096</v>
      </c>
      <c r="AE30" s="3" t="str">
        <f t="shared" si="2"/>
        <v>Strata</v>
      </c>
      <c r="AF30" s="3" t="str">
        <f t="shared" si="17"/>
        <v/>
      </c>
      <c r="AG30" s="53" t="str">
        <f t="shared" si="18"/>
        <v/>
      </c>
      <c r="AH30" s="53" t="str">
        <f t="shared" si="19"/>
        <v/>
      </c>
      <c r="AI30" s="53" t="str">
        <f t="shared" si="20"/>
        <v/>
      </c>
      <c r="AJ30" s="3" t="str">
        <f t="shared" si="21"/>
        <v/>
      </c>
      <c r="AK30" s="3"/>
      <c r="AL30" s="3"/>
      <c r="AM30" s="53" t="str">
        <f t="shared" si="22"/>
        <v/>
      </c>
      <c r="AN30" s="3" t="str">
        <f t="shared" si="3"/>
        <v/>
      </c>
      <c r="AO30" s="4"/>
    </row>
    <row r="31" spans="2:41" x14ac:dyDescent="0.25">
      <c r="B31" s="7">
        <v>44894</v>
      </c>
      <c r="C31" s="3">
        <v>25</v>
      </c>
      <c r="D31" s="3" t="s">
        <v>31</v>
      </c>
      <c r="E31" s="3" t="s">
        <v>58</v>
      </c>
      <c r="F31" s="4" t="str">
        <f t="shared" si="4"/>
        <v>TAK</v>
      </c>
      <c r="G31" s="3">
        <v>1202.8800000000001</v>
      </c>
      <c r="H31" s="3" t="s">
        <v>15</v>
      </c>
      <c r="I31" s="3">
        <v>1148.99</v>
      </c>
      <c r="J31" s="3">
        <f>IF(H31="","",INDEX('Waluty z GBP'!$A$1:$I$26,MATCH(B31,'Waluty z GBP'!$A$1:$A$26,0),MATCH(E31,'Waluty z GBP'!$A$1:$I$1,0)))</f>
        <v>1.1947000000000001</v>
      </c>
      <c r="K31" s="3">
        <v>1203.8399999999999</v>
      </c>
      <c r="L31" s="3" t="s">
        <v>35</v>
      </c>
      <c r="M31" s="3">
        <f t="shared" si="5"/>
        <v>1</v>
      </c>
      <c r="N31" s="3">
        <f t="shared" si="6"/>
        <v>0.44338467248097896</v>
      </c>
      <c r="O31" s="53">
        <f t="shared" si="7"/>
        <v>446.42048617554201</v>
      </c>
      <c r="P31" s="53">
        <f t="shared" si="8"/>
        <v>-20.00000000000005</v>
      </c>
      <c r="Q31" s="53">
        <f t="shared" si="9"/>
        <v>19.231768417145979</v>
      </c>
      <c r="R31" s="3">
        <f t="shared" si="0"/>
        <v>1.0399459668081881</v>
      </c>
      <c r="S31" s="3">
        <v>1254.7</v>
      </c>
      <c r="T31" s="3">
        <v>1254.7</v>
      </c>
      <c r="U31" s="53">
        <f t="shared" si="10"/>
        <v>19.231768417145979</v>
      </c>
      <c r="V31" s="3" t="str">
        <f t="shared" si="1"/>
        <v>Zysk</v>
      </c>
      <c r="W31" s="3" t="str">
        <f t="shared" si="11"/>
        <v/>
      </c>
      <c r="X31" s="53" t="str">
        <f t="shared" si="12"/>
        <v/>
      </c>
      <c r="Y31" s="53" t="str">
        <f t="shared" si="13"/>
        <v/>
      </c>
      <c r="Z31" s="53" t="str">
        <f t="shared" si="14"/>
        <v/>
      </c>
      <c r="AA31" s="3" t="str">
        <f t="shared" si="15"/>
        <v/>
      </c>
      <c r="AB31" s="3"/>
      <c r="AC31" s="3"/>
      <c r="AD31" s="53" t="str">
        <f t="shared" si="16"/>
        <v/>
      </c>
      <c r="AE31" s="3" t="str">
        <f t="shared" si="2"/>
        <v/>
      </c>
      <c r="AF31" s="3" t="str">
        <f t="shared" si="17"/>
        <v/>
      </c>
      <c r="AG31" s="53" t="str">
        <f t="shared" si="18"/>
        <v/>
      </c>
      <c r="AH31" s="53" t="str">
        <f t="shared" si="19"/>
        <v/>
      </c>
      <c r="AI31" s="53" t="str">
        <f t="shared" si="20"/>
        <v/>
      </c>
      <c r="AJ31" s="3" t="str">
        <f t="shared" si="21"/>
        <v/>
      </c>
      <c r="AK31" s="3"/>
      <c r="AL31" s="3"/>
      <c r="AM31" s="53" t="str">
        <f t="shared" si="22"/>
        <v/>
      </c>
      <c r="AN31" s="3" t="str">
        <f t="shared" si="3"/>
        <v/>
      </c>
      <c r="AO31" s="4"/>
    </row>
    <row r="32" spans="2:41" x14ac:dyDescent="0.25">
      <c r="B32" s="7">
        <v>44894</v>
      </c>
      <c r="C32" s="3">
        <v>26</v>
      </c>
      <c r="D32" s="3" t="s">
        <v>32</v>
      </c>
      <c r="E32" s="3" t="s">
        <v>62</v>
      </c>
      <c r="F32" s="4" t="str">
        <f t="shared" si="4"/>
        <v>NIE</v>
      </c>
      <c r="G32" s="3">
        <v>1.1952499999999999</v>
      </c>
      <c r="H32" s="3" t="s">
        <v>12</v>
      </c>
      <c r="I32" s="3">
        <v>1.20234</v>
      </c>
      <c r="J32" s="3">
        <f>IF(H32="","",INDEX('Waluty z GBP'!$A$1:$I$26,MATCH(B32,'Waluty z GBP'!$A$1:$A$26,0),MATCH(E32,'Waluty z GBP'!$A$1:$I$1,0)))</f>
        <v>1</v>
      </c>
      <c r="K32" s="3"/>
      <c r="L32" s="3" t="s">
        <v>34</v>
      </c>
      <c r="M32" s="3">
        <f t="shared" si="5"/>
        <v>1</v>
      </c>
      <c r="N32" s="3">
        <f t="shared" si="6"/>
        <v>2820.8744710860205</v>
      </c>
      <c r="O32" s="53">
        <f t="shared" si="7"/>
        <v>3371.6502115655658</v>
      </c>
      <c r="P32" s="53">
        <f t="shared" si="8"/>
        <v>-20</v>
      </c>
      <c r="Q32" s="53">
        <f t="shared" si="9"/>
        <v>15.317348377996495</v>
      </c>
      <c r="R32" s="3">
        <f t="shared" si="0"/>
        <v>1.3057090239411264</v>
      </c>
      <c r="S32" s="3">
        <v>1.1898200000000001</v>
      </c>
      <c r="T32" s="3">
        <v>1.20234</v>
      </c>
      <c r="U32" s="53">
        <f t="shared" si="10"/>
        <v>-20</v>
      </c>
      <c r="V32" s="3" t="str">
        <f t="shared" si="1"/>
        <v>Strata</v>
      </c>
      <c r="W32" s="3" t="str">
        <f t="shared" si="11"/>
        <v/>
      </c>
      <c r="X32" s="53" t="str">
        <f t="shared" si="12"/>
        <v/>
      </c>
      <c r="Y32" s="53" t="str">
        <f t="shared" si="13"/>
        <v/>
      </c>
      <c r="Z32" s="53" t="str">
        <f t="shared" si="14"/>
        <v/>
      </c>
      <c r="AA32" s="3" t="str">
        <f t="shared" si="15"/>
        <v/>
      </c>
      <c r="AB32" s="3"/>
      <c r="AC32" s="3"/>
      <c r="AD32" s="53" t="str">
        <f t="shared" si="16"/>
        <v/>
      </c>
      <c r="AE32" s="3" t="str">
        <f t="shared" si="2"/>
        <v/>
      </c>
      <c r="AF32" s="3" t="str">
        <f t="shared" si="17"/>
        <v/>
      </c>
      <c r="AG32" s="53" t="str">
        <f t="shared" si="18"/>
        <v/>
      </c>
      <c r="AH32" s="53" t="str">
        <f t="shared" si="19"/>
        <v/>
      </c>
      <c r="AI32" s="53" t="str">
        <f t="shared" si="20"/>
        <v/>
      </c>
      <c r="AJ32" s="3" t="str">
        <f t="shared" si="21"/>
        <v/>
      </c>
      <c r="AK32" s="3"/>
      <c r="AL32" s="3"/>
      <c r="AM32" s="53" t="str">
        <f t="shared" si="22"/>
        <v/>
      </c>
      <c r="AN32" s="3" t="str">
        <f t="shared" si="3"/>
        <v/>
      </c>
      <c r="AO32" s="4"/>
    </row>
    <row r="33" spans="2:41" x14ac:dyDescent="0.25">
      <c r="B33" s="7"/>
      <c r="C33" s="3"/>
      <c r="D33" s="3"/>
      <c r="E33" s="3"/>
      <c r="F33" s="4" t="str">
        <f t="shared" si="4"/>
        <v/>
      </c>
      <c r="G33" s="3"/>
      <c r="H33" s="3"/>
      <c r="I33" s="3"/>
      <c r="J33" s="3" t="str">
        <f>IF(H33="","",INDEX('Waluty z GBP'!$A$1:$I$26,MATCH(B33,'Waluty z GBP'!$A$1:$A$26,0),MATCH(E33,'Waluty z GBP'!$A$1:$I$1,0)))</f>
        <v/>
      </c>
      <c r="K33" s="3"/>
      <c r="L33" s="3"/>
      <c r="M33" s="3">
        <f t="shared" si="5"/>
        <v>0</v>
      </c>
      <c r="N33" s="3" t="str">
        <f t="shared" si="6"/>
        <v/>
      </c>
      <c r="O33" s="53" t="str">
        <f t="shared" si="7"/>
        <v/>
      </c>
      <c r="P33" s="53" t="str">
        <f t="shared" si="8"/>
        <v/>
      </c>
      <c r="Q33" s="53" t="str">
        <f t="shared" si="9"/>
        <v/>
      </c>
      <c r="R33" s="3" t="str">
        <f t="shared" si="0"/>
        <v/>
      </c>
      <c r="S33" s="3"/>
      <c r="T33" s="3"/>
      <c r="U33" s="53" t="str">
        <f t="shared" si="10"/>
        <v/>
      </c>
      <c r="V33" s="3" t="str">
        <f t="shared" si="1"/>
        <v/>
      </c>
      <c r="W33" s="3" t="str">
        <f t="shared" si="11"/>
        <v/>
      </c>
      <c r="X33" s="53" t="str">
        <f t="shared" si="12"/>
        <v/>
      </c>
      <c r="Y33" s="53" t="str">
        <f t="shared" si="13"/>
        <v/>
      </c>
      <c r="Z33" s="53" t="str">
        <f t="shared" si="14"/>
        <v/>
      </c>
      <c r="AA33" s="3" t="str">
        <f t="shared" si="15"/>
        <v/>
      </c>
      <c r="AB33" s="3"/>
      <c r="AC33" s="3"/>
      <c r="AD33" s="53" t="str">
        <f t="shared" si="16"/>
        <v/>
      </c>
      <c r="AE33" s="3" t="str">
        <f t="shared" si="2"/>
        <v/>
      </c>
      <c r="AF33" s="3" t="str">
        <f t="shared" si="17"/>
        <v/>
      </c>
      <c r="AG33" s="53" t="str">
        <f t="shared" si="18"/>
        <v/>
      </c>
      <c r="AH33" s="53" t="str">
        <f t="shared" si="19"/>
        <v/>
      </c>
      <c r="AI33" s="53" t="str">
        <f t="shared" si="20"/>
        <v/>
      </c>
      <c r="AJ33" s="3" t="str">
        <f t="shared" si="21"/>
        <v/>
      </c>
      <c r="AK33" s="3"/>
      <c r="AL33" s="3"/>
      <c r="AM33" s="53" t="str">
        <f t="shared" si="22"/>
        <v/>
      </c>
      <c r="AN33" s="3" t="str">
        <f t="shared" si="3"/>
        <v/>
      </c>
      <c r="AO33" s="4"/>
    </row>
    <row r="34" spans="2:41" x14ac:dyDescent="0.25">
      <c r="B34" s="7"/>
      <c r="C34" s="3"/>
      <c r="D34" s="3"/>
      <c r="E34" s="3"/>
      <c r="F34" s="4" t="str">
        <f t="shared" si="4"/>
        <v/>
      </c>
      <c r="G34" s="3"/>
      <c r="H34" s="3"/>
      <c r="I34" s="3"/>
      <c r="J34" s="3" t="str">
        <f>IF(H34="","",INDEX('Waluty z GBP'!$A$1:$I$26,MATCH(B34,'Waluty z GBP'!$A$1:$A$26,0),MATCH(E34,'Waluty z GBP'!$A$1:$I$1,0)))</f>
        <v/>
      </c>
      <c r="K34" s="3"/>
      <c r="L34" s="3"/>
      <c r="M34" s="3">
        <f t="shared" si="5"/>
        <v>0</v>
      </c>
      <c r="N34" s="3" t="str">
        <f t="shared" si="6"/>
        <v/>
      </c>
      <c r="O34" s="53" t="str">
        <f t="shared" si="7"/>
        <v/>
      </c>
      <c r="P34" s="53" t="str">
        <f t="shared" si="8"/>
        <v/>
      </c>
      <c r="Q34" s="53" t="str">
        <f t="shared" si="9"/>
        <v/>
      </c>
      <c r="R34" s="3" t="str">
        <f t="shared" si="0"/>
        <v/>
      </c>
      <c r="S34" s="3"/>
      <c r="T34" s="3"/>
      <c r="U34" s="53" t="str">
        <f t="shared" si="10"/>
        <v/>
      </c>
      <c r="V34" s="3" t="str">
        <f t="shared" si="1"/>
        <v/>
      </c>
      <c r="W34" s="3" t="str">
        <f t="shared" si="11"/>
        <v/>
      </c>
      <c r="X34" s="53" t="str">
        <f t="shared" si="12"/>
        <v/>
      </c>
      <c r="Y34" s="53" t="str">
        <f t="shared" si="13"/>
        <v/>
      </c>
      <c r="Z34" s="53" t="str">
        <f t="shared" si="14"/>
        <v/>
      </c>
      <c r="AA34" s="3" t="str">
        <f t="shared" si="15"/>
        <v/>
      </c>
      <c r="AB34" s="3"/>
      <c r="AC34" s="3"/>
      <c r="AD34" s="53" t="str">
        <f t="shared" si="16"/>
        <v/>
      </c>
      <c r="AE34" s="3" t="str">
        <f t="shared" si="2"/>
        <v/>
      </c>
      <c r="AF34" s="3" t="str">
        <f t="shared" si="17"/>
        <v/>
      </c>
      <c r="AG34" s="53" t="str">
        <f t="shared" si="18"/>
        <v/>
      </c>
      <c r="AH34" s="53" t="str">
        <f t="shared" si="19"/>
        <v/>
      </c>
      <c r="AI34" s="53" t="str">
        <f t="shared" si="20"/>
        <v/>
      </c>
      <c r="AJ34" s="3" t="str">
        <f t="shared" si="21"/>
        <v/>
      </c>
      <c r="AK34" s="3"/>
      <c r="AL34" s="3"/>
      <c r="AM34" s="53" t="str">
        <f t="shared" si="22"/>
        <v/>
      </c>
      <c r="AN34" s="3" t="str">
        <f t="shared" si="3"/>
        <v/>
      </c>
      <c r="AO34" s="4"/>
    </row>
    <row r="35" spans="2:41" x14ac:dyDescent="0.25">
      <c r="B35" s="7"/>
      <c r="C35" s="3"/>
      <c r="D35" s="3"/>
      <c r="E35" s="3"/>
      <c r="F35" s="4" t="str">
        <f t="shared" si="4"/>
        <v/>
      </c>
      <c r="G35" s="3"/>
      <c r="H35" s="3"/>
      <c r="I35" s="3"/>
      <c r="J35" s="3" t="str">
        <f>IF(H35="","",INDEX('Waluty z GBP'!$A$1:$I$26,MATCH(B35,'Waluty z GBP'!$A$1:$A$26,0),MATCH(E35,'Waluty z GBP'!$A$1:$I$1,0)))</f>
        <v/>
      </c>
      <c r="K35" s="3"/>
      <c r="L35" s="3"/>
      <c r="M35" s="3">
        <f t="shared" si="5"/>
        <v>0</v>
      </c>
      <c r="N35" s="3" t="str">
        <f t="shared" si="6"/>
        <v/>
      </c>
      <c r="O35" s="53" t="str">
        <f t="shared" si="7"/>
        <v/>
      </c>
      <c r="P35" s="53" t="str">
        <f t="shared" si="8"/>
        <v/>
      </c>
      <c r="Q35" s="53" t="str">
        <f t="shared" si="9"/>
        <v/>
      </c>
      <c r="R35" s="3" t="str">
        <f t="shared" si="0"/>
        <v/>
      </c>
      <c r="S35" s="3"/>
      <c r="T35" s="3"/>
      <c r="U35" s="53" t="str">
        <f t="shared" si="10"/>
        <v/>
      </c>
      <c r="V35" s="3" t="str">
        <f t="shared" si="1"/>
        <v/>
      </c>
      <c r="W35" s="3" t="str">
        <f t="shared" si="11"/>
        <v/>
      </c>
      <c r="X35" s="53" t="str">
        <f t="shared" si="12"/>
        <v/>
      </c>
      <c r="Y35" s="53" t="str">
        <f t="shared" si="13"/>
        <v/>
      </c>
      <c r="Z35" s="53" t="str">
        <f t="shared" si="14"/>
        <v/>
      </c>
      <c r="AA35" s="3" t="str">
        <f t="shared" si="15"/>
        <v/>
      </c>
      <c r="AB35" s="3"/>
      <c r="AC35" s="3"/>
      <c r="AD35" s="53" t="str">
        <f t="shared" si="16"/>
        <v/>
      </c>
      <c r="AE35" s="3" t="str">
        <f t="shared" si="2"/>
        <v/>
      </c>
      <c r="AF35" s="3" t="str">
        <f t="shared" si="17"/>
        <v/>
      </c>
      <c r="AG35" s="53" t="str">
        <f t="shared" si="18"/>
        <v/>
      </c>
      <c r="AH35" s="53" t="str">
        <f t="shared" si="19"/>
        <v/>
      </c>
      <c r="AI35" s="53" t="str">
        <f t="shared" si="20"/>
        <v/>
      </c>
      <c r="AJ35" s="3" t="str">
        <f t="shared" si="21"/>
        <v/>
      </c>
      <c r="AK35" s="3"/>
      <c r="AL35" s="3"/>
      <c r="AM35" s="53" t="str">
        <f t="shared" si="22"/>
        <v/>
      </c>
      <c r="AN35" s="3" t="str">
        <f t="shared" si="3"/>
        <v/>
      </c>
      <c r="AO35" s="4"/>
    </row>
    <row r="36" spans="2:41" x14ac:dyDescent="0.25">
      <c r="B36" s="7"/>
      <c r="C36" s="3"/>
      <c r="D36" s="3"/>
      <c r="E36" s="3"/>
      <c r="F36" s="4" t="str">
        <f t="shared" si="4"/>
        <v/>
      </c>
      <c r="G36" s="3"/>
      <c r="H36" s="3"/>
      <c r="I36" s="3"/>
      <c r="J36" s="3" t="str">
        <f>IF(H36="","",INDEX('Waluty z GBP'!$A$1:$I$26,MATCH(B36,'Waluty z GBP'!$A$1:$A$26,0),MATCH(E36,'Waluty z GBP'!$A$1:$I$1,0)))</f>
        <v/>
      </c>
      <c r="K36" s="3"/>
      <c r="L36" s="3"/>
      <c r="M36" s="3">
        <f t="shared" si="5"/>
        <v>0</v>
      </c>
      <c r="N36" s="3" t="str">
        <f t="shared" si="6"/>
        <v/>
      </c>
      <c r="O36" s="53" t="str">
        <f t="shared" si="7"/>
        <v/>
      </c>
      <c r="P36" s="53" t="str">
        <f t="shared" si="8"/>
        <v/>
      </c>
      <c r="Q36" s="53" t="str">
        <f t="shared" si="9"/>
        <v/>
      </c>
      <c r="R36" s="3" t="str">
        <f t="shared" si="0"/>
        <v/>
      </c>
      <c r="S36" s="3"/>
      <c r="T36" s="3"/>
      <c r="U36" s="53" t="str">
        <f t="shared" si="10"/>
        <v/>
      </c>
      <c r="V36" s="3" t="str">
        <f t="shared" si="1"/>
        <v/>
      </c>
      <c r="W36" s="3" t="str">
        <f t="shared" si="11"/>
        <v/>
      </c>
      <c r="X36" s="53" t="str">
        <f t="shared" si="12"/>
        <v/>
      </c>
      <c r="Y36" s="53" t="str">
        <f t="shared" si="13"/>
        <v/>
      </c>
      <c r="Z36" s="53" t="str">
        <f t="shared" si="14"/>
        <v/>
      </c>
      <c r="AA36" s="3" t="str">
        <f t="shared" si="15"/>
        <v/>
      </c>
      <c r="AB36" s="3"/>
      <c r="AC36" s="3"/>
      <c r="AD36" s="53" t="str">
        <f t="shared" si="16"/>
        <v/>
      </c>
      <c r="AE36" s="3" t="str">
        <f t="shared" si="2"/>
        <v/>
      </c>
      <c r="AF36" s="3" t="str">
        <f t="shared" si="17"/>
        <v/>
      </c>
      <c r="AG36" s="53" t="str">
        <f t="shared" si="18"/>
        <v/>
      </c>
      <c r="AH36" s="53" t="str">
        <f t="shared" si="19"/>
        <v/>
      </c>
      <c r="AI36" s="53" t="str">
        <f t="shared" si="20"/>
        <v/>
      </c>
      <c r="AJ36" s="3" t="str">
        <f t="shared" si="21"/>
        <v/>
      </c>
      <c r="AK36" s="3"/>
      <c r="AL36" s="3"/>
      <c r="AM36" s="53" t="str">
        <f t="shared" si="22"/>
        <v/>
      </c>
      <c r="AN36" s="3" t="str">
        <f t="shared" si="3"/>
        <v/>
      </c>
      <c r="AO36" s="4"/>
    </row>
    <row r="37" spans="2:41" x14ac:dyDescent="0.25">
      <c r="B37" s="7"/>
      <c r="C37" s="3"/>
      <c r="D37" s="3"/>
      <c r="E37" s="3"/>
      <c r="F37" s="4" t="str">
        <f t="shared" si="4"/>
        <v/>
      </c>
      <c r="G37" s="3"/>
      <c r="H37" s="3"/>
      <c r="I37" s="3"/>
      <c r="J37" s="3" t="str">
        <f>IF(H37="","",INDEX('Waluty z GBP'!$A$1:$I$26,MATCH(B37,'Waluty z GBP'!$A$1:$A$26,0),MATCH(E37,'Waluty z GBP'!$A$1:$I$1,0)))</f>
        <v/>
      </c>
      <c r="K37" s="3"/>
      <c r="L37" s="3"/>
      <c r="M37" s="3">
        <f t="shared" si="5"/>
        <v>0</v>
      </c>
      <c r="N37" s="3" t="str">
        <f t="shared" si="6"/>
        <v/>
      </c>
      <c r="O37" s="53" t="str">
        <f t="shared" si="7"/>
        <v/>
      </c>
      <c r="P37" s="53" t="str">
        <f t="shared" si="8"/>
        <v/>
      </c>
      <c r="Q37" s="53" t="str">
        <f t="shared" si="9"/>
        <v/>
      </c>
      <c r="R37" s="3" t="str">
        <f t="shared" si="0"/>
        <v/>
      </c>
      <c r="S37" s="3"/>
      <c r="T37" s="3"/>
      <c r="U37" s="53" t="str">
        <f t="shared" si="10"/>
        <v/>
      </c>
      <c r="V37" s="3" t="str">
        <f t="shared" si="1"/>
        <v/>
      </c>
      <c r="W37" s="3" t="str">
        <f t="shared" si="11"/>
        <v/>
      </c>
      <c r="X37" s="53" t="str">
        <f t="shared" si="12"/>
        <v/>
      </c>
      <c r="Y37" s="53" t="str">
        <f t="shared" si="13"/>
        <v/>
      </c>
      <c r="Z37" s="53" t="str">
        <f t="shared" si="14"/>
        <v/>
      </c>
      <c r="AA37" s="3" t="str">
        <f t="shared" si="15"/>
        <v/>
      </c>
      <c r="AB37" s="3"/>
      <c r="AC37" s="3"/>
      <c r="AD37" s="53" t="str">
        <f t="shared" si="16"/>
        <v/>
      </c>
      <c r="AE37" s="3" t="str">
        <f t="shared" si="2"/>
        <v/>
      </c>
      <c r="AF37" s="3" t="str">
        <f t="shared" si="17"/>
        <v/>
      </c>
      <c r="AG37" s="53" t="str">
        <f t="shared" si="18"/>
        <v/>
      </c>
      <c r="AH37" s="53" t="str">
        <f t="shared" si="19"/>
        <v/>
      </c>
      <c r="AI37" s="53" t="str">
        <f t="shared" si="20"/>
        <v/>
      </c>
      <c r="AJ37" s="3" t="str">
        <f t="shared" si="21"/>
        <v/>
      </c>
      <c r="AK37" s="3"/>
      <c r="AL37" s="3"/>
      <c r="AM37" s="53" t="str">
        <f t="shared" si="22"/>
        <v/>
      </c>
      <c r="AN37" s="3" t="str">
        <f t="shared" si="3"/>
        <v/>
      </c>
      <c r="AO37" s="4"/>
    </row>
    <row r="38" spans="2:41" ht="15.75" thickBot="1" x14ac:dyDescent="0.3">
      <c r="B38" s="10"/>
      <c r="C38" s="5"/>
      <c r="D38" s="3"/>
      <c r="E38" s="3"/>
      <c r="F38" s="4" t="str">
        <f t="shared" si="4"/>
        <v/>
      </c>
      <c r="G38" s="5"/>
      <c r="H38" s="5"/>
      <c r="I38" s="5"/>
      <c r="J38" s="3" t="str">
        <f>IF(H38="","",INDEX('Waluty z GBP'!$A$1:$I$26,MATCH(B38,'Waluty z GBP'!$A$1:$A$26,0),MATCH(E38,'Waluty z GBP'!$A$1:$I$1,0)))</f>
        <v/>
      </c>
      <c r="K38" s="5"/>
      <c r="L38" s="5"/>
      <c r="M38" s="3">
        <f t="shared" si="5"/>
        <v>0</v>
      </c>
      <c r="N38" s="3" t="str">
        <f t="shared" si="6"/>
        <v/>
      </c>
      <c r="O38" s="53" t="str">
        <f t="shared" si="7"/>
        <v/>
      </c>
      <c r="P38" s="53" t="str">
        <f t="shared" si="8"/>
        <v/>
      </c>
      <c r="Q38" s="53" t="str">
        <f t="shared" si="9"/>
        <v/>
      </c>
      <c r="R38" s="5" t="str">
        <f t="shared" si="0"/>
        <v/>
      </c>
      <c r="S38" s="5"/>
      <c r="T38" s="5"/>
      <c r="U38" s="53" t="str">
        <f t="shared" si="10"/>
        <v/>
      </c>
      <c r="V38" s="3" t="str">
        <f t="shared" si="1"/>
        <v/>
      </c>
      <c r="W38" s="3" t="str">
        <f t="shared" si="11"/>
        <v/>
      </c>
      <c r="X38" s="53" t="str">
        <f t="shared" si="12"/>
        <v/>
      </c>
      <c r="Y38" s="53" t="str">
        <f t="shared" si="13"/>
        <v/>
      </c>
      <c r="Z38" s="53" t="str">
        <f t="shared" si="14"/>
        <v/>
      </c>
      <c r="AA38" s="5" t="str">
        <f t="shared" si="15"/>
        <v/>
      </c>
      <c r="AB38" s="5"/>
      <c r="AC38" s="5"/>
      <c r="AD38" s="53" t="str">
        <f t="shared" si="16"/>
        <v/>
      </c>
      <c r="AE38" s="3" t="str">
        <f t="shared" si="2"/>
        <v/>
      </c>
      <c r="AF38" s="3" t="str">
        <f t="shared" si="17"/>
        <v/>
      </c>
      <c r="AG38" s="53" t="str">
        <f t="shared" si="18"/>
        <v/>
      </c>
      <c r="AH38" s="53" t="str">
        <f t="shared" si="19"/>
        <v/>
      </c>
      <c r="AI38" s="53" t="str">
        <f t="shared" si="20"/>
        <v/>
      </c>
      <c r="AJ38" s="5" t="str">
        <f t="shared" si="21"/>
        <v/>
      </c>
      <c r="AK38" s="5"/>
      <c r="AL38" s="5"/>
      <c r="AM38" s="53" t="str">
        <f t="shared" si="22"/>
        <v/>
      </c>
      <c r="AN38" s="3" t="str">
        <f t="shared" si="3"/>
        <v/>
      </c>
      <c r="AO38" s="6"/>
    </row>
    <row r="39" spans="2:41" ht="32.25" thickBot="1" x14ac:dyDescent="0.3">
      <c r="C39" s="38" t="s">
        <v>45</v>
      </c>
      <c r="D39" s="27" t="s">
        <v>67</v>
      </c>
      <c r="E39" s="27" t="s">
        <v>43</v>
      </c>
      <c r="H39" s="29" t="s">
        <v>54</v>
      </c>
      <c r="J39" s="100" t="s">
        <v>51</v>
      </c>
      <c r="K39" s="101"/>
      <c r="L39" s="30" t="s">
        <v>37</v>
      </c>
      <c r="N39" s="30" t="s">
        <v>52</v>
      </c>
      <c r="Q39" s="29" t="s">
        <v>41</v>
      </c>
      <c r="T39" s="44" t="s">
        <v>42</v>
      </c>
      <c r="Z39" s="29" t="s">
        <v>41</v>
      </c>
      <c r="AC39" s="29" t="s">
        <v>42</v>
      </c>
      <c r="AI39" s="29" t="s">
        <v>41</v>
      </c>
      <c r="AL39" s="29" t="s">
        <v>42</v>
      </c>
    </row>
    <row r="40" spans="2:41" ht="15.75" thickBot="1" x14ac:dyDescent="0.3">
      <c r="C40" s="37">
        <f>COUNTIF(F6:F38,"NIE")</f>
        <v>10</v>
      </c>
      <c r="D40" s="37">
        <f>COUNTIF(F6:F38,"NEUTRALNA")</f>
        <v>4</v>
      </c>
      <c r="E40" s="37">
        <f>COUNTIF(F6:F38,"TAK")</f>
        <v>13</v>
      </c>
      <c r="G40" s="41" t="s">
        <v>46</v>
      </c>
      <c r="H40" s="28">
        <f>SUM(T40,AC40,AL40)</f>
        <v>187.79548924296776</v>
      </c>
      <c r="J40" s="3" t="s">
        <v>35</v>
      </c>
      <c r="K40" s="49">
        <f>COUNTIF(L$6:L$38,"TAK")</f>
        <v>23</v>
      </c>
      <c r="L40" s="22">
        <f>K40/SUM(K$40:K$42)</f>
        <v>0.85185185185185186</v>
      </c>
      <c r="N40" s="24">
        <f>SUM(O6:O38)</f>
        <v>31113.532704074321</v>
      </c>
      <c r="Q40" s="26">
        <f>AVERAGE(R6:R38)</f>
        <v>1.4596803837061219</v>
      </c>
      <c r="S40" s="41" t="s">
        <v>46</v>
      </c>
      <c r="T40" s="45">
        <f>SUMIF(U6:U38,"&gt;0")</f>
        <v>128.3121480934673</v>
      </c>
      <c r="Z40" s="26">
        <f>AVERAGE(AA6:AA38)</f>
        <v>0.82574950379551271</v>
      </c>
      <c r="AB40" s="41" t="s">
        <v>46</v>
      </c>
      <c r="AC40" s="45">
        <f>SUMIF(AD6:AD38,"&gt;0")</f>
        <v>57.221436387595794</v>
      </c>
      <c r="AI40" s="26">
        <f>AVERAGE(AJ6:AJ38)</f>
        <v>0.85674547983311944</v>
      </c>
      <c r="AK40" s="41" t="s">
        <v>46</v>
      </c>
      <c r="AL40" s="45">
        <f>SUMIF(AM6:AM38,"&gt;0")</f>
        <v>2.2619047619046837</v>
      </c>
    </row>
    <row r="41" spans="2:41" ht="15.75" thickBot="1" x14ac:dyDescent="0.3">
      <c r="C41" s="39">
        <f>C40/SUM($C$40:$E$40)</f>
        <v>0.37037037037037035</v>
      </c>
      <c r="D41" s="40">
        <f>D40/SUM($C$40:$E$40)</f>
        <v>0.14814814814814814</v>
      </c>
      <c r="E41" s="40">
        <f>E40/SUM($C$40:$E$40)</f>
        <v>0.48148148148148145</v>
      </c>
      <c r="G41" s="42" t="s">
        <v>47</v>
      </c>
      <c r="H41" s="28">
        <f t="shared" ref="H41:H42" si="23">SUM(T41,AC41,AL41)</f>
        <v>-164.87951807229007</v>
      </c>
      <c r="J41" s="3" t="s">
        <v>34</v>
      </c>
      <c r="K41" s="21">
        <f>COUNTIF(L$6:L$38,"NIE")</f>
        <v>3</v>
      </c>
      <c r="L41" s="22">
        <f t="shared" ref="L41:L42" si="24">K41/SUM(K$40:K$42)</f>
        <v>0.1111111111111111</v>
      </c>
      <c r="S41" s="42" t="s">
        <v>47</v>
      </c>
      <c r="T41" s="46">
        <f>SUMIF(U6:U38,"&lt;0")</f>
        <v>-102.43975903614506</v>
      </c>
      <c r="AB41" s="42" t="s">
        <v>47</v>
      </c>
      <c r="AC41" s="46">
        <f>SUMIF(AD6:AD38,"&lt;0")</f>
        <v>-62.43975903614502</v>
      </c>
      <c r="AK41" s="42" t="s">
        <v>47</v>
      </c>
      <c r="AL41" s="46">
        <f>SUMIF(AM6:AM38,"&lt;0")</f>
        <v>0</v>
      </c>
    </row>
    <row r="42" spans="2:41" ht="15.75" thickBot="1" x14ac:dyDescent="0.3">
      <c r="G42" s="43" t="s">
        <v>48</v>
      </c>
      <c r="H42" s="28">
        <f t="shared" si="23"/>
        <v>22.915971170677711</v>
      </c>
      <c r="J42" s="3" t="s">
        <v>36</v>
      </c>
      <c r="K42" s="21">
        <f>COUNTIF(L$6:L$38,"TRWA")</f>
        <v>1</v>
      </c>
      <c r="L42" s="22">
        <f t="shared" si="24"/>
        <v>3.7037037037037035E-2</v>
      </c>
      <c r="S42" s="43" t="s">
        <v>48</v>
      </c>
      <c r="T42" s="47">
        <f>SUM(U6:U38)</f>
        <v>25.872389057322252</v>
      </c>
      <c r="AB42" s="43" t="s">
        <v>48</v>
      </c>
      <c r="AC42" s="47">
        <f>SUM(AD6:AD38)</f>
        <v>-5.2183226485492273</v>
      </c>
      <c r="AK42" s="43" t="s">
        <v>48</v>
      </c>
      <c r="AL42" s="47">
        <f>SUM(AM6:AM38)</f>
        <v>2.2619047619046837</v>
      </c>
    </row>
    <row r="43" spans="2:41" ht="15.75" thickBot="1" x14ac:dyDescent="0.3"/>
    <row r="44" spans="2:41" ht="15.75" thickBot="1" x14ac:dyDescent="0.3">
      <c r="H44" s="27" t="s">
        <v>49</v>
      </c>
    </row>
    <row r="45" spans="2:41" ht="15.75" thickBot="1" x14ac:dyDescent="0.3">
      <c r="G45" s="48" t="s">
        <v>50</v>
      </c>
      <c r="H45" s="26">
        <f>AVERAGE(R6:R38,AA6:AA38,AJ6:AJ38)</f>
        <v>1.1829813732460139</v>
      </c>
    </row>
    <row r="48" spans="2:41" x14ac:dyDescent="0.25">
      <c r="D48" s="1" t="e">
        <f ca="1">UNIQUE(D6:D38)</f>
        <v>#NAME?</v>
      </c>
    </row>
  </sheetData>
  <mergeCells count="3">
    <mergeCell ref="B3:C3"/>
    <mergeCell ref="G4:AN4"/>
    <mergeCell ref="J39:K39"/>
  </mergeCells>
  <conditionalFormatting sqref="L6:M38">
    <cfRule type="containsText" dxfId="44" priority="40" operator="containsText" text="TAK">
      <formula>NOT(ISERROR(SEARCH("TAK",L6)))</formula>
    </cfRule>
    <cfRule type="containsText" dxfId="43" priority="41" operator="containsText" text="TRWA">
      <formula>NOT(ISERROR(SEARCH("TRWA",L6)))</formula>
    </cfRule>
    <cfRule type="containsText" dxfId="42" priority="42" operator="containsText" text="NIE">
      <formula>NOT(ISERROR(SEARCH("NIE",L6)))</formula>
    </cfRule>
  </conditionalFormatting>
  <conditionalFormatting sqref="J41">
    <cfRule type="containsText" dxfId="41" priority="37" operator="containsText" text="TAK">
      <formula>NOT(ISERROR(SEARCH("TAK",J41)))</formula>
    </cfRule>
    <cfRule type="containsText" dxfId="40" priority="38" operator="containsText" text="TRWA">
      <formula>NOT(ISERROR(SEARCH("TRWA",J41)))</formula>
    </cfRule>
    <cfRule type="containsText" dxfId="39" priority="39" operator="containsText" text="NIE">
      <formula>NOT(ISERROR(SEARCH("NIE",J41)))</formula>
    </cfRule>
  </conditionalFormatting>
  <conditionalFormatting sqref="J40">
    <cfRule type="containsText" dxfId="38" priority="34" operator="containsText" text="TAK">
      <formula>NOT(ISERROR(SEARCH("TAK",J40)))</formula>
    </cfRule>
    <cfRule type="containsText" dxfId="37" priority="35" operator="containsText" text="TRWA">
      <formula>NOT(ISERROR(SEARCH("TRWA",J40)))</formula>
    </cfRule>
    <cfRule type="containsText" dxfId="36" priority="36" operator="containsText" text="NIE">
      <formula>NOT(ISERROR(SEARCH("NIE",J40)))</formula>
    </cfRule>
  </conditionalFormatting>
  <conditionalFormatting sqref="J42">
    <cfRule type="containsText" dxfId="35" priority="31" operator="containsText" text="TAK">
      <formula>NOT(ISERROR(SEARCH("TAK",J42)))</formula>
    </cfRule>
    <cfRule type="containsText" dxfId="34" priority="32" operator="containsText" text="TRWA">
      <formula>NOT(ISERROR(SEARCH("TRWA",J42)))</formula>
    </cfRule>
    <cfRule type="containsText" dxfId="33" priority="33" operator="containsText" text="NIE">
      <formula>NOT(ISERROR(SEARCH("NIE",J42)))</formula>
    </cfRule>
  </conditionalFormatting>
  <conditionalFormatting sqref="L40:L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3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">
    <cfRule type="colorScale" priority="27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Q40">
    <cfRule type="colorScale" priority="26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AJ6:AJ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">
    <cfRule type="colorScale" priority="24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H40:H4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38">
    <cfRule type="containsText" dxfId="32" priority="20" operator="containsText" text="TAK">
      <formula>NOT(ISERROR(SEARCH("TAK",F6)))</formula>
    </cfRule>
    <cfRule type="containsText" dxfId="31" priority="21" operator="containsText" text="TRWA">
      <formula>NOT(ISERROR(SEARCH("TRWA",F6)))</formula>
    </cfRule>
    <cfRule type="containsText" dxfId="30" priority="22" operator="containsText" text="NIE">
      <formula>NOT(ISERROR(SEARCH("NIE",F6)))</formula>
    </cfRule>
  </conditionalFormatting>
  <conditionalFormatting sqref="T40:T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:AC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0:AL4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colorScale" priority="14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V6:V38">
    <cfRule type="containsText" dxfId="29" priority="12" operator="containsText" text="Strata">
      <formula>NOT(ISERROR(SEARCH("Strata",V6)))</formula>
    </cfRule>
    <cfRule type="containsText" dxfId="28" priority="13" operator="containsText" text="Zysk">
      <formula>NOT(ISERROR(SEARCH("Zysk",V6)))</formula>
    </cfRule>
  </conditionalFormatting>
  <conditionalFormatting sqref="C40:E4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:E4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:D4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6:AE38">
    <cfRule type="containsText" dxfId="27" priority="3" operator="containsText" text="Strata">
      <formula>NOT(ISERROR(SEARCH("Strata",AE6)))</formula>
    </cfRule>
    <cfRule type="containsText" dxfId="26" priority="4" operator="containsText" text="Zysk">
      <formula>NOT(ISERROR(SEARCH("Zysk",AE6)))</formula>
    </cfRule>
  </conditionalFormatting>
  <conditionalFormatting sqref="AN6:AN38">
    <cfRule type="containsText" dxfId="25" priority="1" operator="containsText" text="Strata">
      <formula>NOT(ISERROR(SEARCH("Strata",AN6)))</formula>
    </cfRule>
    <cfRule type="containsText" dxfId="24" priority="2" operator="containsText" text="Zysk">
      <formula>NOT(ISERROR(SEARCH("Zysk",AN6)))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8F4F7-8FE3-4B21-8E7D-3F2C2EAD5D1E}">
  <dimension ref="B2:AO48"/>
  <sheetViews>
    <sheetView zoomScaleNormal="100" workbookViewId="0">
      <pane ySplit="5" topLeftCell="A6" activePane="bottomLeft" state="frozen"/>
      <selection pane="bottomLeft" activeCell="P2" sqref="P2"/>
    </sheetView>
  </sheetViews>
  <sheetFormatPr defaultColWidth="12.7109375" defaultRowHeight="15" x14ac:dyDescent="0.25"/>
  <cols>
    <col min="1" max="1" width="3.140625" style="1" customWidth="1"/>
    <col min="2" max="2" width="11.42578125" style="9" customWidth="1"/>
    <col min="3" max="3" width="12.5703125" style="1" customWidth="1"/>
    <col min="4" max="5" width="9.5703125" style="1" customWidth="1"/>
    <col min="6" max="6" width="14" style="1" customWidth="1"/>
    <col min="7" max="7" width="9.42578125" style="1" customWidth="1"/>
    <col min="8" max="8" width="12.7109375" style="1"/>
    <col min="9" max="9" width="16.140625" style="1" customWidth="1"/>
    <col min="10" max="14" width="12.7109375" style="1"/>
    <col min="15" max="16" width="13" style="24" customWidth="1"/>
    <col min="17" max="17" width="15.7109375" style="1" customWidth="1"/>
    <col min="18" max="16384" width="12.7109375" style="1"/>
  </cols>
  <sheetData>
    <row r="2" spans="2:41" ht="19.5" thickBot="1" x14ac:dyDescent="0.3">
      <c r="B2" s="51" t="s">
        <v>53</v>
      </c>
    </row>
    <row r="3" spans="2:41" ht="15.75" thickBot="1" x14ac:dyDescent="0.3">
      <c r="B3" s="94" t="s">
        <v>55</v>
      </c>
      <c r="C3" s="95"/>
      <c r="D3" s="21">
        <v>20</v>
      </c>
      <c r="E3" s="1" t="s">
        <v>62</v>
      </c>
    </row>
    <row r="4" spans="2:41" ht="15.75" thickBot="1" x14ac:dyDescent="0.3">
      <c r="G4" s="102" t="s">
        <v>7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9"/>
    </row>
    <row r="5" spans="2:41" ht="57" thickBot="1" x14ac:dyDescent="0.3">
      <c r="B5" s="12" t="s">
        <v>0</v>
      </c>
      <c r="C5" s="59" t="s">
        <v>13</v>
      </c>
      <c r="D5" s="59" t="s">
        <v>1</v>
      </c>
      <c r="E5" s="59" t="s">
        <v>56</v>
      </c>
      <c r="F5" s="59" t="s">
        <v>44</v>
      </c>
      <c r="G5" s="56" t="s">
        <v>5</v>
      </c>
      <c r="H5" s="56" t="s">
        <v>11</v>
      </c>
      <c r="I5" s="56" t="s">
        <v>2</v>
      </c>
      <c r="J5" s="56" t="s">
        <v>65</v>
      </c>
      <c r="K5" s="56" t="s">
        <v>19</v>
      </c>
      <c r="L5" s="69" t="s">
        <v>33</v>
      </c>
      <c r="M5" s="71" t="s">
        <v>69</v>
      </c>
      <c r="N5" s="11" t="s">
        <v>73</v>
      </c>
      <c r="O5" s="2" t="s">
        <v>29</v>
      </c>
      <c r="P5" s="25" t="s">
        <v>24</v>
      </c>
      <c r="Q5" s="25" t="s">
        <v>39</v>
      </c>
      <c r="R5" s="11" t="s">
        <v>40</v>
      </c>
      <c r="S5" s="11" t="s">
        <v>3</v>
      </c>
      <c r="T5" s="11" t="s">
        <v>18</v>
      </c>
      <c r="U5" s="11" t="s">
        <v>38</v>
      </c>
      <c r="V5" s="11" t="s">
        <v>8</v>
      </c>
      <c r="W5" s="2" t="s">
        <v>6</v>
      </c>
      <c r="X5" s="2" t="s">
        <v>29</v>
      </c>
      <c r="Y5" s="2" t="s">
        <v>24</v>
      </c>
      <c r="Z5" s="2" t="s">
        <v>39</v>
      </c>
      <c r="AA5" s="2" t="s">
        <v>40</v>
      </c>
      <c r="AB5" s="2" t="s">
        <v>4</v>
      </c>
      <c r="AC5" s="2" t="s">
        <v>18</v>
      </c>
      <c r="AD5" s="2" t="s">
        <v>38</v>
      </c>
      <c r="AE5" s="2" t="s">
        <v>8</v>
      </c>
      <c r="AF5" s="57" t="s">
        <v>6</v>
      </c>
      <c r="AG5" s="57" t="s">
        <v>29</v>
      </c>
      <c r="AH5" s="57" t="s">
        <v>24</v>
      </c>
      <c r="AI5" s="57" t="s">
        <v>39</v>
      </c>
      <c r="AJ5" s="57" t="s">
        <v>40</v>
      </c>
      <c r="AK5" s="57" t="s">
        <v>17</v>
      </c>
      <c r="AL5" s="57" t="s">
        <v>18</v>
      </c>
      <c r="AM5" s="57" t="s">
        <v>38</v>
      </c>
      <c r="AN5" s="58" t="s">
        <v>8</v>
      </c>
      <c r="AO5" s="16" t="s">
        <v>9</v>
      </c>
    </row>
    <row r="6" spans="2:41" x14ac:dyDescent="0.25">
      <c r="B6" s="7">
        <v>44879</v>
      </c>
      <c r="C6" s="3">
        <v>1</v>
      </c>
      <c r="D6" s="3" t="s">
        <v>10</v>
      </c>
      <c r="E6" s="3" t="s">
        <v>58</v>
      </c>
      <c r="F6" s="4" t="str">
        <f>IF(H6="","",IF(COUNTIF(G6:AN6,"Strata")&gt;0,"NIE",IF(COUNTIF(G6:AN6,"Neutralna")&gt;0,"NEUTRALNA","TAK")))</f>
        <v>TAK</v>
      </c>
      <c r="G6" s="3">
        <v>1260.9000000000001</v>
      </c>
      <c r="H6" s="3" t="s">
        <v>12</v>
      </c>
      <c r="I6" s="3">
        <v>1434.42</v>
      </c>
      <c r="J6" s="3">
        <f>IF(H6="","",INDEX('Waluty z GBP'!$A$1:$I$26,MATCH(B6,'Waluty z GBP'!$A$1:$A$26,0),MATCH(E6,'Waluty z GBP'!$A$1:$I$1,0)))</f>
        <v>1.1752</v>
      </c>
      <c r="K6" s="3">
        <v>1258.18</v>
      </c>
      <c r="L6" s="3" t="s">
        <v>35</v>
      </c>
      <c r="M6" s="3">
        <f>COUNTA(S6,AB6,AK6)</f>
        <v>2</v>
      </c>
      <c r="N6" s="83">
        <v>97.15</v>
      </c>
      <c r="O6" s="53"/>
      <c r="P6" s="84">
        <v>-10.000097382120867</v>
      </c>
      <c r="Q6" s="83">
        <v>4.5857943620369577</v>
      </c>
      <c r="R6" s="3">
        <f t="shared" ref="R6:R38" si="0">IF($G6="","",(P6*-1)/Q6)</f>
        <v>2.1806685151226315</v>
      </c>
      <c r="S6" s="3">
        <v>1194.6300000000001</v>
      </c>
      <c r="T6" s="3">
        <v>1194.6300000000001</v>
      </c>
      <c r="U6" s="83">
        <v>5.3892255342658331</v>
      </c>
      <c r="V6" s="3" t="str">
        <f t="shared" ref="V6:V38" si="1">IF(T6="","",IF(U6&gt;1,"Zysk",IF(U6&lt;-1,"Strata","Neutralna")))</f>
        <v>Zysk</v>
      </c>
      <c r="W6" s="83">
        <v>97.15</v>
      </c>
      <c r="X6" s="53"/>
      <c r="Y6" s="84">
        <v>-10.000097382120867</v>
      </c>
      <c r="Z6" s="83">
        <v>17.969998112081257</v>
      </c>
      <c r="AA6" s="3">
        <f>IF(AB6="","",(Y6*-1)/Z6)</f>
        <v>0.55648850488180002</v>
      </c>
      <c r="AB6" s="3">
        <v>1035.75</v>
      </c>
      <c r="AC6" s="3">
        <v>1194.6300000000001</v>
      </c>
      <c r="AD6" s="83">
        <v>4.5857943620369577</v>
      </c>
      <c r="AE6" s="3" t="str">
        <f t="shared" ref="AE6:AE38" si="2">IF(AC6="","",IF(AD6&gt;1,"Zysk",IF(AD6&lt;-1,"Strata","Neutralna")))</f>
        <v>Zysk</v>
      </c>
      <c r="AF6" s="3" t="str">
        <f>IF(AK6="","",IF($H6="Short",($D$3*$J6/($G6-$I6))*-1,(($D$3*$J6)/($I6-$G6))*-1)/$M6)</f>
        <v/>
      </c>
      <c r="AG6" s="53" t="str">
        <f>IF(AK6="","",AF6*$G6/$J6)</f>
        <v/>
      </c>
      <c r="AH6" s="53" t="str">
        <f>IF(AK6="","",IF($H6="Short",($G6*AF6-AF6*$I6)/$J6,(AF6*$I6-$G6*AF6)/$J6))</f>
        <v/>
      </c>
      <c r="AI6" s="53" t="str">
        <f>IF(AK6="","",IF($H6="Short",($G6*AF6-AF6*AK6)/$J6,(AF6*AK6-$G6*AF6)/$J6))</f>
        <v/>
      </c>
      <c r="AJ6" s="3" t="str">
        <f>IF(AK6="","",(AH6*-1)/AI6)</f>
        <v/>
      </c>
      <c r="AK6" s="3"/>
      <c r="AL6" s="3"/>
      <c r="AM6" s="53" t="str">
        <f>IF(AL6="","",IF($H6="Short",($G6*AF6-AF6*AL6)/$J6,(AF6*AL6-$G6*AF6)/$J6))</f>
        <v/>
      </c>
      <c r="AN6" s="3" t="str">
        <f t="shared" ref="AN6:AN38" si="3">IF(AL6="","",IF(AM6&gt;1,"Zysk",IF(AM6&lt;-1,"Strata","Neutralna")))</f>
        <v/>
      </c>
      <c r="AO6" s="31"/>
    </row>
    <row r="7" spans="2:41" x14ac:dyDescent="0.25">
      <c r="B7" s="7">
        <v>44879</v>
      </c>
      <c r="C7" s="3">
        <v>2</v>
      </c>
      <c r="D7" s="3" t="s">
        <v>14</v>
      </c>
      <c r="E7" s="3" t="s">
        <v>58</v>
      </c>
      <c r="F7" s="4" t="str">
        <f t="shared" ref="F7:F38" si="4">IF(H7="","",IF(COUNTIF(G7:AN7,"Strata")&gt;0,"NIE",IF(COUNTIF(G7:AN7,"Neutralna")&gt;0,"NEUTRALNA","TAK")))</f>
        <v>NIE</v>
      </c>
      <c r="G7" s="3">
        <v>86.49</v>
      </c>
      <c r="H7" s="3" t="s">
        <v>15</v>
      </c>
      <c r="I7" s="3">
        <v>84.01</v>
      </c>
      <c r="J7" s="3">
        <f>IF(H7="","",INDEX('Waluty z GBP'!$A$1:$I$26,MATCH(B7,'Waluty z GBP'!$A$1:$A$26,0),MATCH(E7,'Waluty z GBP'!$A$1:$I$1,0)))</f>
        <v>1.1752</v>
      </c>
      <c r="K7" s="3"/>
      <c r="L7" s="3" t="s">
        <v>35</v>
      </c>
      <c r="M7" s="3">
        <f t="shared" ref="M7:M38" si="5">COUNTA(S7,AB7,AK7)</f>
        <v>2</v>
      </c>
      <c r="N7" s="3">
        <v>5</v>
      </c>
      <c r="O7" s="53">
        <f>N7*G7</f>
        <v>432.45</v>
      </c>
      <c r="P7" s="53">
        <v>-10.08</v>
      </c>
      <c r="Q7" s="53">
        <v>4.3899999999999997</v>
      </c>
      <c r="R7" s="3">
        <f t="shared" si="0"/>
        <v>2.2961275626423694</v>
      </c>
      <c r="S7" s="3">
        <v>87.57</v>
      </c>
      <c r="T7" s="3">
        <v>84.01</v>
      </c>
      <c r="U7" s="53">
        <v>-10.08</v>
      </c>
      <c r="V7" s="3" t="str">
        <f t="shared" si="1"/>
        <v>Strata</v>
      </c>
      <c r="W7" s="3">
        <v>5</v>
      </c>
      <c r="X7" s="53">
        <v>35.17</v>
      </c>
      <c r="Y7" s="53">
        <v>-10.08</v>
      </c>
      <c r="Z7" s="53">
        <v>9.39</v>
      </c>
      <c r="AA7" s="3">
        <f t="shared" ref="AA7:AA38" si="6">IF(AB7="","",(Y7*-1)/Z7)</f>
        <v>1.0734824281150159</v>
      </c>
      <c r="AB7" s="3">
        <v>88.8</v>
      </c>
      <c r="AC7" s="3">
        <v>84.01</v>
      </c>
      <c r="AD7" s="53">
        <v>-10.08</v>
      </c>
      <c r="AE7" s="3" t="str">
        <f t="shared" si="2"/>
        <v>Strata</v>
      </c>
      <c r="AF7" s="3" t="str">
        <f t="shared" ref="AF7:AF37" si="7">IF(AK7="","",IF($H7="Short",($D$3*$J7/($G7-$I7))*-1,(($D$3*$J7)/($I7-$G7))*-1)/$M7)</f>
        <v/>
      </c>
      <c r="AG7" s="53" t="str">
        <f t="shared" ref="AG7:AG38" si="8">IF(AK7="","",AF7*$G7/$J7)</f>
        <v/>
      </c>
      <c r="AH7" s="53" t="str">
        <f t="shared" ref="AH7:AH38" si="9">IF(AK7="","",IF($H7="Short",($G7*AF7-AF7*$I7)/$J7,(AF7*$I7-$G7*AF7)/$J7))</f>
        <v/>
      </c>
      <c r="AI7" s="53" t="str">
        <f t="shared" ref="AI7:AI38" si="10">IF(AK7="","",IF($H7="Short",($G7*AF7-AF7*AK7)/$J7,(AF7*AK7-$G7*AF7)/$J7))</f>
        <v/>
      </c>
      <c r="AJ7" s="3" t="str">
        <f t="shared" ref="AJ7:AJ38" si="11">IF(AK7="","",(AH7*-1)/AI7)</f>
        <v/>
      </c>
      <c r="AK7" s="3"/>
      <c r="AL7" s="3"/>
      <c r="AM7" s="53" t="str">
        <f t="shared" ref="AM7:AM38" si="12">IF(AL7="","",IF($H7="Short",($G7*AF7-AF7*AL7)/$J7,(AF7*AL7-$G7*AF7)/$J7))</f>
        <v/>
      </c>
      <c r="AN7" s="3" t="str">
        <f t="shared" si="3"/>
        <v/>
      </c>
      <c r="AO7" s="4"/>
    </row>
    <row r="8" spans="2:41" x14ac:dyDescent="0.25">
      <c r="B8" s="7">
        <v>44879</v>
      </c>
      <c r="C8" s="3">
        <v>3</v>
      </c>
      <c r="D8" s="3" t="s">
        <v>16</v>
      </c>
      <c r="E8" s="3" t="s">
        <v>58</v>
      </c>
      <c r="F8" s="4" t="str">
        <f t="shared" si="4"/>
        <v>TAK</v>
      </c>
      <c r="G8" s="3">
        <v>11808.2</v>
      </c>
      <c r="H8" s="3" t="s">
        <v>15</v>
      </c>
      <c r="I8" s="3">
        <v>11685</v>
      </c>
      <c r="J8" s="3">
        <f>IF(H8="","",INDEX('Waluty z GBP'!$A$1:$I$26,MATCH(B8,'Waluty z GBP'!$A$1:$A$26,0),MATCH(E8,'Waluty z GBP'!$A$1:$I$1,0)))</f>
        <v>1.1752</v>
      </c>
      <c r="K8" s="3">
        <v>11850</v>
      </c>
      <c r="L8" s="3" t="s">
        <v>35</v>
      </c>
      <c r="M8" s="3">
        <f t="shared" si="5"/>
        <v>3</v>
      </c>
      <c r="N8" s="3">
        <v>0.06</v>
      </c>
      <c r="O8" s="53">
        <v>28.81</v>
      </c>
      <c r="P8" s="53">
        <v>-6.01</v>
      </c>
      <c r="Q8" s="53">
        <v>1.3</v>
      </c>
      <c r="R8" s="3">
        <f t="shared" si="0"/>
        <v>4.6230769230769226</v>
      </c>
      <c r="S8" s="3">
        <v>11835</v>
      </c>
      <c r="T8" s="3">
        <v>11835</v>
      </c>
      <c r="U8" s="53">
        <v>1.3</v>
      </c>
      <c r="V8" s="3" t="str">
        <f t="shared" si="1"/>
        <v>Zysk</v>
      </c>
      <c r="W8" s="3">
        <v>0.06</v>
      </c>
      <c r="X8" s="53">
        <v>28.81</v>
      </c>
      <c r="Y8" s="53">
        <v>-6.01</v>
      </c>
      <c r="Z8" s="53">
        <v>4.2300000000000004</v>
      </c>
      <c r="AA8" s="3">
        <f t="shared" si="6"/>
        <v>1.4208037825059099</v>
      </c>
      <c r="AB8" s="3">
        <v>11895</v>
      </c>
      <c r="AC8" s="3">
        <v>11850</v>
      </c>
      <c r="AD8" s="53">
        <v>2.0299999999999998</v>
      </c>
      <c r="AE8" s="3" t="str">
        <f t="shared" si="2"/>
        <v>Zysk</v>
      </c>
      <c r="AF8" s="3">
        <v>0.06</v>
      </c>
      <c r="AG8" s="53">
        <v>28.81</v>
      </c>
      <c r="AH8" s="53">
        <v>-6.01</v>
      </c>
      <c r="AI8" s="53">
        <v>7.01</v>
      </c>
      <c r="AJ8" s="3">
        <f t="shared" si="11"/>
        <v>0.85734664764621971</v>
      </c>
      <c r="AK8" s="3">
        <v>11952</v>
      </c>
      <c r="AL8" s="3">
        <v>11850</v>
      </c>
      <c r="AM8" s="53">
        <v>2.0299999999999998</v>
      </c>
      <c r="AN8" s="3" t="str">
        <f t="shared" si="3"/>
        <v>Zysk</v>
      </c>
      <c r="AO8" s="4"/>
    </row>
    <row r="9" spans="2:41" x14ac:dyDescent="0.25">
      <c r="B9" s="7">
        <v>44880</v>
      </c>
      <c r="C9" s="3" t="s">
        <v>20</v>
      </c>
      <c r="D9" s="3" t="s">
        <v>14</v>
      </c>
      <c r="E9" s="3" t="s">
        <v>58</v>
      </c>
      <c r="F9" s="4" t="str">
        <f t="shared" si="4"/>
        <v>NEUTRALNA</v>
      </c>
      <c r="G9" s="3">
        <v>85.28</v>
      </c>
      <c r="H9" s="3" t="s">
        <v>15</v>
      </c>
      <c r="I9" s="3">
        <v>83.32</v>
      </c>
      <c r="J9" s="3">
        <f>IF(H9="","",INDEX('Waluty z GBP'!$A$1:$I$26,MATCH(B9,'Waluty z GBP'!$A$1:$A$26,0),MATCH(E9,'Waluty z GBP'!$A$1:$I$1,0)))</f>
        <v>1.1858</v>
      </c>
      <c r="K9" s="3">
        <v>85.33</v>
      </c>
      <c r="L9" s="3" t="s">
        <v>35</v>
      </c>
      <c r="M9" s="3">
        <f t="shared" si="5"/>
        <v>2</v>
      </c>
      <c r="N9" s="3">
        <v>6</v>
      </c>
      <c r="O9" s="53">
        <v>41.61</v>
      </c>
      <c r="P9" s="53">
        <v>-9.56</v>
      </c>
      <c r="Q9" s="53">
        <v>11.17</v>
      </c>
      <c r="R9" s="3">
        <f t="shared" si="0"/>
        <v>0.85586392121754706</v>
      </c>
      <c r="S9" s="3">
        <v>87.57</v>
      </c>
      <c r="T9" s="3">
        <v>87.57</v>
      </c>
      <c r="U9" s="53">
        <v>11.17</v>
      </c>
      <c r="V9" s="3" t="str">
        <f t="shared" si="1"/>
        <v>Zysk</v>
      </c>
      <c r="W9" s="3">
        <v>6</v>
      </c>
      <c r="X9" s="53">
        <v>41.61</v>
      </c>
      <c r="Y9" s="53">
        <v>-9.56</v>
      </c>
      <c r="Z9" s="53">
        <v>17.170000000000002</v>
      </c>
      <c r="AA9" s="3">
        <f t="shared" si="6"/>
        <v>0.55678509027373324</v>
      </c>
      <c r="AB9" s="3">
        <v>88.8</v>
      </c>
      <c r="AC9" s="3">
        <v>85.33</v>
      </c>
      <c r="AD9" s="53">
        <v>0.24</v>
      </c>
      <c r="AE9" s="3" t="str">
        <f t="shared" si="2"/>
        <v>Neutralna</v>
      </c>
      <c r="AF9" s="3" t="str">
        <f t="shared" si="7"/>
        <v/>
      </c>
      <c r="AG9" s="53" t="str">
        <f t="shared" si="8"/>
        <v/>
      </c>
      <c r="AH9" s="53" t="str">
        <f t="shared" si="9"/>
        <v/>
      </c>
      <c r="AI9" s="53" t="str">
        <f t="shared" si="10"/>
        <v/>
      </c>
      <c r="AJ9" s="3" t="str">
        <f t="shared" si="11"/>
        <v/>
      </c>
      <c r="AK9" s="3"/>
      <c r="AL9" s="3"/>
      <c r="AM9" s="53" t="str">
        <f t="shared" si="12"/>
        <v/>
      </c>
      <c r="AN9" s="3" t="str">
        <f t="shared" si="3"/>
        <v/>
      </c>
      <c r="AO9" s="4"/>
    </row>
    <row r="10" spans="2:41" x14ac:dyDescent="0.25">
      <c r="B10" s="7">
        <v>44880</v>
      </c>
      <c r="C10" s="3">
        <v>4</v>
      </c>
      <c r="D10" s="3" t="s">
        <v>21</v>
      </c>
      <c r="E10" s="3" t="s">
        <v>58</v>
      </c>
      <c r="F10" s="4" t="str">
        <f t="shared" si="4"/>
        <v>TAK</v>
      </c>
      <c r="G10" s="3">
        <v>4.5774999999999997</v>
      </c>
      <c r="H10" s="3" t="s">
        <v>12</v>
      </c>
      <c r="I10" s="3">
        <v>4.6592399999999996</v>
      </c>
      <c r="J10" s="3">
        <f>IF(H10="","",INDEX('Waluty z GBP'!$A$1:$I$26,MATCH(B10,'Waluty z GBP'!$A$1:$A$26,0),MATCH(E10,'Waluty z GBP'!$A$1:$I$1,0)))</f>
        <v>1.1858</v>
      </c>
      <c r="K10" s="3"/>
      <c r="L10" s="3" t="s">
        <v>35</v>
      </c>
      <c r="M10" s="3">
        <f t="shared" si="5"/>
        <v>2</v>
      </c>
      <c r="N10" s="3">
        <v>1000</v>
      </c>
      <c r="O10" s="53">
        <v>41.94</v>
      </c>
      <c r="P10" s="53">
        <v>-14.98</v>
      </c>
      <c r="Q10" s="53">
        <v>10.199999999999999</v>
      </c>
      <c r="R10" s="3">
        <f t="shared" si="0"/>
        <v>1.4686274509803923</v>
      </c>
      <c r="S10" s="3">
        <v>4.5218100000000003</v>
      </c>
      <c r="T10" s="3">
        <v>4.5207899999999999</v>
      </c>
      <c r="U10" s="53">
        <v>10.39</v>
      </c>
      <c r="V10" s="3" t="str">
        <f t="shared" si="1"/>
        <v>Zysk</v>
      </c>
      <c r="W10" s="3">
        <v>1000</v>
      </c>
      <c r="X10" s="53">
        <v>41.94</v>
      </c>
      <c r="Y10" s="53">
        <v>-14.98</v>
      </c>
      <c r="Z10" s="53">
        <v>18.600000000000001</v>
      </c>
      <c r="AA10" s="3">
        <f t="shared" si="6"/>
        <v>0.80537634408602143</v>
      </c>
      <c r="AB10" s="3">
        <v>4.476</v>
      </c>
      <c r="AC10" s="3">
        <v>4.5207899999999999</v>
      </c>
      <c r="AD10" s="53">
        <v>10.39</v>
      </c>
      <c r="AE10" s="3" t="str">
        <f t="shared" si="2"/>
        <v>Zysk</v>
      </c>
      <c r="AF10" s="3" t="str">
        <f t="shared" si="7"/>
        <v/>
      </c>
      <c r="AG10" s="53" t="str">
        <f t="shared" si="8"/>
        <v/>
      </c>
      <c r="AH10" s="53" t="str">
        <f t="shared" si="9"/>
        <v/>
      </c>
      <c r="AI10" s="53" t="str">
        <f t="shared" si="10"/>
        <v/>
      </c>
      <c r="AJ10" s="3" t="str">
        <f t="shared" si="11"/>
        <v/>
      </c>
      <c r="AK10" s="3"/>
      <c r="AL10" s="3"/>
      <c r="AM10" s="53" t="str">
        <f t="shared" si="12"/>
        <v/>
      </c>
      <c r="AN10" s="3" t="str">
        <f t="shared" si="3"/>
        <v/>
      </c>
      <c r="AO10" s="4"/>
    </row>
    <row r="11" spans="2:41" x14ac:dyDescent="0.25">
      <c r="B11" s="7">
        <v>44881</v>
      </c>
      <c r="C11" s="3">
        <v>5</v>
      </c>
      <c r="D11" s="3" t="s">
        <v>22</v>
      </c>
      <c r="E11" s="3" t="s">
        <v>62</v>
      </c>
      <c r="F11" s="4" t="str">
        <f t="shared" si="4"/>
        <v>NIE</v>
      </c>
      <c r="G11" s="3">
        <v>7363.7</v>
      </c>
      <c r="H11" s="3" t="s">
        <v>15</v>
      </c>
      <c r="I11" s="3">
        <v>7299.2</v>
      </c>
      <c r="J11" s="3">
        <f>IF(H11="","",INDEX('Waluty z GBP'!$A$1:$I$26,MATCH(B11,'Waluty z GBP'!$A$1:$A$26,0),MATCH(E11,'Waluty z GBP'!$A$1:$I$1,0)))</f>
        <v>1</v>
      </c>
      <c r="K11" s="3"/>
      <c r="L11" s="3" t="s">
        <v>35</v>
      </c>
      <c r="M11" s="3">
        <f t="shared" si="5"/>
        <v>1</v>
      </c>
      <c r="N11" s="3">
        <v>0.3</v>
      </c>
      <c r="O11" s="53">
        <v>110.45</v>
      </c>
      <c r="P11" s="53">
        <v>-19.350000000000001</v>
      </c>
      <c r="Q11" s="53">
        <v>19.260000000000002</v>
      </c>
      <c r="R11" s="3">
        <f t="shared" si="0"/>
        <v>1.0046728971962617</v>
      </c>
      <c r="S11" s="3">
        <v>7427.9</v>
      </c>
      <c r="T11" s="3">
        <v>7299.2</v>
      </c>
      <c r="U11" s="53">
        <v>-19.350000000000001</v>
      </c>
      <c r="V11" s="3" t="str">
        <f t="shared" si="1"/>
        <v>Strata</v>
      </c>
      <c r="W11" s="3"/>
      <c r="X11" s="53"/>
      <c r="Y11" s="53"/>
      <c r="Z11" s="53"/>
      <c r="AA11" s="3" t="str">
        <f t="shared" si="6"/>
        <v/>
      </c>
      <c r="AB11" s="3"/>
      <c r="AC11" s="3"/>
      <c r="AD11" s="53"/>
      <c r="AE11" s="3" t="str">
        <f t="shared" si="2"/>
        <v/>
      </c>
      <c r="AF11" s="3" t="str">
        <f t="shared" si="7"/>
        <v/>
      </c>
      <c r="AG11" s="53" t="str">
        <f t="shared" si="8"/>
        <v/>
      </c>
      <c r="AH11" s="53" t="str">
        <f t="shared" si="9"/>
        <v/>
      </c>
      <c r="AI11" s="53" t="str">
        <f t="shared" si="10"/>
        <v/>
      </c>
      <c r="AJ11" s="3" t="str">
        <f t="shared" si="11"/>
        <v/>
      </c>
      <c r="AK11" s="3"/>
      <c r="AL11" s="3"/>
      <c r="AM11" s="53" t="str">
        <f t="shared" si="12"/>
        <v/>
      </c>
      <c r="AN11" s="3" t="str">
        <f t="shared" si="3"/>
        <v/>
      </c>
      <c r="AO11" s="4"/>
    </row>
    <row r="12" spans="2:41" x14ac:dyDescent="0.25">
      <c r="B12" s="7">
        <v>44881</v>
      </c>
      <c r="C12" s="3">
        <v>6</v>
      </c>
      <c r="D12" s="3" t="s">
        <v>21</v>
      </c>
      <c r="E12" s="3" t="s">
        <v>58</v>
      </c>
      <c r="F12" s="4" t="str">
        <f t="shared" si="4"/>
        <v>TAK</v>
      </c>
      <c r="G12" s="3">
        <v>4.5202799999999996</v>
      </c>
      <c r="H12" s="3" t="s">
        <v>15</v>
      </c>
      <c r="I12" s="3">
        <v>4.4620300000000004</v>
      </c>
      <c r="J12" s="3">
        <f>IF(H12="","",INDEX('Waluty z GBP'!$A$1:$I$26,MATCH(B12,'Waluty z GBP'!$A$1:$A$26,0),MATCH(E12,'Waluty z GBP'!$A$1:$I$1,0)))</f>
        <v>1.1908000000000001</v>
      </c>
      <c r="K12" s="3"/>
      <c r="L12" s="3" t="s">
        <v>35</v>
      </c>
      <c r="M12" s="3">
        <f t="shared" si="5"/>
        <v>2</v>
      </c>
      <c r="N12" s="3">
        <v>1000</v>
      </c>
      <c r="O12" s="53">
        <v>41.42</v>
      </c>
      <c r="P12" s="53">
        <v>-10.67</v>
      </c>
      <c r="Q12" s="53">
        <v>7.62</v>
      </c>
      <c r="R12" s="3">
        <f t="shared" si="0"/>
        <v>1.4002624671916011</v>
      </c>
      <c r="S12" s="3">
        <v>4.5619100000000001</v>
      </c>
      <c r="T12" s="3">
        <v>4.5619100000000001</v>
      </c>
      <c r="U12" s="53">
        <v>7.62</v>
      </c>
      <c r="V12" s="3" t="str">
        <f t="shared" si="1"/>
        <v>Zysk</v>
      </c>
      <c r="W12" s="3">
        <v>1000</v>
      </c>
      <c r="X12" s="53">
        <v>41.42</v>
      </c>
      <c r="Y12" s="53">
        <v>-10.67</v>
      </c>
      <c r="Z12" s="53">
        <v>14.51</v>
      </c>
      <c r="AA12" s="3">
        <f t="shared" si="6"/>
        <v>0.73535492763611299</v>
      </c>
      <c r="AB12" s="3">
        <v>4.5998000000000001</v>
      </c>
      <c r="AC12" s="3">
        <v>4.5866699999999998</v>
      </c>
      <c r="AD12" s="53">
        <v>12.15</v>
      </c>
      <c r="AE12" s="3" t="str">
        <f t="shared" si="2"/>
        <v>Zysk</v>
      </c>
      <c r="AF12" s="3" t="str">
        <f t="shared" si="7"/>
        <v/>
      </c>
      <c r="AG12" s="53" t="str">
        <f t="shared" si="8"/>
        <v/>
      </c>
      <c r="AH12" s="53" t="str">
        <f t="shared" si="9"/>
        <v/>
      </c>
      <c r="AI12" s="53" t="str">
        <f t="shared" si="10"/>
        <v/>
      </c>
      <c r="AJ12" s="3" t="str">
        <f t="shared" si="11"/>
        <v/>
      </c>
      <c r="AK12" s="3"/>
      <c r="AL12" s="3"/>
      <c r="AM12" s="53" t="str">
        <f t="shared" si="12"/>
        <v/>
      </c>
      <c r="AN12" s="3" t="str">
        <f t="shared" si="3"/>
        <v/>
      </c>
      <c r="AO12" s="4"/>
    </row>
    <row r="13" spans="2:41" x14ac:dyDescent="0.25">
      <c r="B13" s="7">
        <v>44881</v>
      </c>
      <c r="C13" s="3">
        <v>7</v>
      </c>
      <c r="D13" s="3" t="s">
        <v>14</v>
      </c>
      <c r="E13" s="3" t="s">
        <v>58</v>
      </c>
      <c r="F13" s="4" t="str">
        <f t="shared" si="4"/>
        <v>TAK</v>
      </c>
      <c r="G13" s="3">
        <v>86.48</v>
      </c>
      <c r="H13" s="3" t="s">
        <v>12</v>
      </c>
      <c r="I13" s="3">
        <v>88.27</v>
      </c>
      <c r="J13" s="3">
        <f>IF(H13="","",INDEX('Waluty z GBP'!$A$1:$I$26,MATCH(B13,'Waluty z GBP'!$A$1:$A$26,0),MATCH(E13,'Waluty z GBP'!$A$1:$I$1,0)))</f>
        <v>1.1908000000000001</v>
      </c>
      <c r="K13" s="3"/>
      <c r="L13" s="3" t="s">
        <v>35</v>
      </c>
      <c r="M13" s="3">
        <f t="shared" si="5"/>
        <v>1</v>
      </c>
      <c r="N13" s="3">
        <v>14</v>
      </c>
      <c r="O13" s="53">
        <v>98.46</v>
      </c>
      <c r="P13" s="53">
        <v>-20.38</v>
      </c>
      <c r="Q13" s="53">
        <v>21.06</v>
      </c>
      <c r="R13" s="3">
        <f t="shared" si="0"/>
        <v>0.96771130104463443</v>
      </c>
      <c r="S13" s="3">
        <v>84.63</v>
      </c>
      <c r="T13" s="3">
        <v>84.93</v>
      </c>
      <c r="U13" s="53">
        <v>17.64</v>
      </c>
      <c r="V13" s="3" t="str">
        <f t="shared" si="1"/>
        <v>Zysk</v>
      </c>
      <c r="W13" s="3"/>
      <c r="X13" s="53"/>
      <c r="Y13" s="53"/>
      <c r="Z13" s="53"/>
      <c r="AA13" s="3" t="str">
        <f t="shared" si="6"/>
        <v/>
      </c>
      <c r="AB13" s="3"/>
      <c r="AC13" s="3"/>
      <c r="AD13" s="53"/>
      <c r="AE13" s="3" t="str">
        <f t="shared" si="2"/>
        <v/>
      </c>
      <c r="AF13" s="3" t="str">
        <f t="shared" si="7"/>
        <v/>
      </c>
      <c r="AG13" s="53" t="str">
        <f t="shared" si="8"/>
        <v/>
      </c>
      <c r="AH13" s="53" t="str">
        <f t="shared" si="9"/>
        <v/>
      </c>
      <c r="AI13" s="53" t="str">
        <f t="shared" si="10"/>
        <v/>
      </c>
      <c r="AJ13" s="3" t="str">
        <f t="shared" si="11"/>
        <v/>
      </c>
      <c r="AK13" s="3"/>
      <c r="AL13" s="3"/>
      <c r="AM13" s="53" t="str">
        <f t="shared" si="12"/>
        <v/>
      </c>
      <c r="AN13" s="3" t="str">
        <f t="shared" si="3"/>
        <v/>
      </c>
      <c r="AO13" s="4"/>
    </row>
    <row r="14" spans="2:41" x14ac:dyDescent="0.25">
      <c r="B14" s="7">
        <v>44881</v>
      </c>
      <c r="C14" s="3">
        <v>8</v>
      </c>
      <c r="D14" s="3" t="s">
        <v>23</v>
      </c>
      <c r="E14" s="3" t="s">
        <v>64</v>
      </c>
      <c r="F14" s="4" t="str">
        <f t="shared" si="4"/>
        <v>TAK</v>
      </c>
      <c r="G14" s="3">
        <v>0.63617000000000001</v>
      </c>
      <c r="H14" s="3" t="s">
        <v>15</v>
      </c>
      <c r="I14" s="3">
        <v>0.63024999999999998</v>
      </c>
      <c r="J14" s="3">
        <f>IF(H14="","",INDEX('Waluty z GBP'!$A$1:$I$26,MATCH(B14,'Waluty z GBP'!$A$1:$A$26,0),MATCH(E14,'Waluty z GBP'!$A$1:$I$1,0)))</f>
        <v>1.1908000000000001</v>
      </c>
      <c r="K14" s="3"/>
      <c r="L14" s="3" t="s">
        <v>35</v>
      </c>
      <c r="M14" s="3">
        <f t="shared" si="5"/>
        <v>2</v>
      </c>
      <c r="N14" s="3">
        <v>2000</v>
      </c>
      <c r="O14" s="53">
        <v>55.2</v>
      </c>
      <c r="P14" s="53">
        <v>-10.24</v>
      </c>
      <c r="Q14" s="53">
        <v>6.59</v>
      </c>
      <c r="R14" s="3">
        <f t="shared" si="0"/>
        <v>1.5538694992412747</v>
      </c>
      <c r="S14" s="3">
        <v>0.63997000000000004</v>
      </c>
      <c r="T14" s="3">
        <v>0.63997000000000004</v>
      </c>
      <c r="U14" s="53">
        <v>6.59</v>
      </c>
      <c r="V14" s="3" t="str">
        <f t="shared" si="1"/>
        <v>Zysk</v>
      </c>
      <c r="W14" s="3">
        <v>2000</v>
      </c>
      <c r="X14" s="53">
        <v>55.2</v>
      </c>
      <c r="Y14" s="53">
        <v>-10.24</v>
      </c>
      <c r="Z14" s="53">
        <v>12.23</v>
      </c>
      <c r="AA14" s="3">
        <f t="shared" si="6"/>
        <v>0.83728536385936225</v>
      </c>
      <c r="AB14" s="3">
        <v>0.64320999999999995</v>
      </c>
      <c r="AC14" s="3">
        <v>0.63997000000000004</v>
      </c>
      <c r="AD14" s="53">
        <v>6.59</v>
      </c>
      <c r="AE14" s="3" t="str">
        <f t="shared" si="2"/>
        <v>Zysk</v>
      </c>
      <c r="AF14" s="3" t="str">
        <f t="shared" si="7"/>
        <v/>
      </c>
      <c r="AG14" s="53" t="str">
        <f t="shared" si="8"/>
        <v/>
      </c>
      <c r="AH14" s="53" t="str">
        <f t="shared" si="9"/>
        <v/>
      </c>
      <c r="AI14" s="53" t="str">
        <f t="shared" si="10"/>
        <v/>
      </c>
      <c r="AJ14" s="3" t="str">
        <f t="shared" si="11"/>
        <v/>
      </c>
      <c r="AK14" s="3"/>
      <c r="AL14" s="3"/>
      <c r="AM14" s="53" t="str">
        <f t="shared" si="12"/>
        <v/>
      </c>
      <c r="AN14" s="3" t="str">
        <f t="shared" si="3"/>
        <v/>
      </c>
      <c r="AO14" s="4"/>
    </row>
    <row r="15" spans="2:41" x14ac:dyDescent="0.25">
      <c r="B15" s="7">
        <v>44881</v>
      </c>
      <c r="C15" s="3">
        <v>9</v>
      </c>
      <c r="D15" s="3" t="s">
        <v>14</v>
      </c>
      <c r="E15" s="3" t="s">
        <v>58</v>
      </c>
      <c r="F15" s="4" t="str">
        <f t="shared" si="4"/>
        <v>TAK</v>
      </c>
      <c r="G15" s="3">
        <v>83.99</v>
      </c>
      <c r="H15" s="3" t="s">
        <v>12</v>
      </c>
      <c r="I15" s="3">
        <v>89.46</v>
      </c>
      <c r="J15" s="3">
        <f>IF(H15="","",INDEX('Waluty z GBP'!$A$1:$I$26,MATCH(B15,'Waluty z GBP'!$A$1:$A$26,0),MATCH(E15,'Waluty z GBP'!$A$1:$I$1,0)))</f>
        <v>1.1908000000000001</v>
      </c>
      <c r="K15" s="3"/>
      <c r="L15" s="3" t="s">
        <v>35</v>
      </c>
      <c r="M15" s="3">
        <f t="shared" si="5"/>
        <v>2</v>
      </c>
      <c r="N15" s="3">
        <v>2</v>
      </c>
      <c r="O15" s="53">
        <v>13.66</v>
      </c>
      <c r="P15" s="53">
        <v>-8.89</v>
      </c>
      <c r="Q15" s="53">
        <v>3.95</v>
      </c>
      <c r="R15" s="3">
        <f t="shared" si="0"/>
        <v>2.2506329113924051</v>
      </c>
      <c r="S15" s="3">
        <v>81.56</v>
      </c>
      <c r="T15" s="3">
        <v>81.56</v>
      </c>
      <c r="U15" s="53">
        <v>3.95</v>
      </c>
      <c r="V15" s="3" t="str">
        <f t="shared" si="1"/>
        <v>Zysk</v>
      </c>
      <c r="W15" s="3">
        <v>2</v>
      </c>
      <c r="X15" s="53">
        <v>13.66</v>
      </c>
      <c r="Y15" s="53">
        <v>-8.89</v>
      </c>
      <c r="Z15" s="53">
        <v>8.16</v>
      </c>
      <c r="AA15" s="3">
        <f t="shared" si="6"/>
        <v>1.0894607843137256</v>
      </c>
      <c r="AB15" s="3">
        <v>78.97</v>
      </c>
      <c r="AC15" s="3">
        <v>81.56</v>
      </c>
      <c r="AD15" s="53">
        <v>3.95</v>
      </c>
      <c r="AE15" s="3" t="str">
        <f t="shared" si="2"/>
        <v>Zysk</v>
      </c>
      <c r="AF15" s="3" t="str">
        <f t="shared" si="7"/>
        <v/>
      </c>
      <c r="AG15" s="53" t="str">
        <f t="shared" si="8"/>
        <v/>
      </c>
      <c r="AH15" s="53" t="str">
        <f t="shared" si="9"/>
        <v/>
      </c>
      <c r="AI15" s="53" t="str">
        <f t="shared" si="10"/>
        <v/>
      </c>
      <c r="AJ15" s="3" t="str">
        <f t="shared" si="11"/>
        <v/>
      </c>
      <c r="AK15" s="3"/>
      <c r="AL15" s="3"/>
      <c r="AM15" s="53" t="str">
        <f t="shared" si="12"/>
        <v/>
      </c>
      <c r="AN15" s="3" t="str">
        <f t="shared" si="3"/>
        <v/>
      </c>
      <c r="AO15" s="4"/>
    </row>
    <row r="16" spans="2:41" x14ac:dyDescent="0.25">
      <c r="B16" s="7">
        <v>44886</v>
      </c>
      <c r="C16" s="3">
        <v>10</v>
      </c>
      <c r="D16" s="3" t="s">
        <v>14</v>
      </c>
      <c r="E16" s="3" t="s">
        <v>58</v>
      </c>
      <c r="F16" s="4" t="str">
        <f t="shared" si="4"/>
        <v>NIE</v>
      </c>
      <c r="G16" s="3">
        <v>79.61</v>
      </c>
      <c r="H16" s="3" t="s">
        <v>15</v>
      </c>
      <c r="I16" s="3">
        <v>77.34</v>
      </c>
      <c r="J16" s="3">
        <f>IF(H16="","",INDEX('Waluty z GBP'!$A$1:$I$26,MATCH(B16,'Waluty z GBP'!$A$1:$A$26,0),MATCH(E16,'Waluty z GBP'!$A$1:$I$1,0)))</f>
        <v>1.1826000000000001</v>
      </c>
      <c r="K16" s="3"/>
      <c r="L16" s="3" t="s">
        <v>35</v>
      </c>
      <c r="M16" s="3">
        <f t="shared" si="5"/>
        <v>2</v>
      </c>
      <c r="N16" s="3">
        <v>4</v>
      </c>
      <c r="O16" s="53">
        <v>26.13</v>
      </c>
      <c r="P16" s="53">
        <v>-9.75</v>
      </c>
      <c r="Q16" s="53">
        <v>5.04</v>
      </c>
      <c r="R16" s="3">
        <f t="shared" si="0"/>
        <v>1.9345238095238095</v>
      </c>
      <c r="S16" s="3">
        <v>81.89</v>
      </c>
      <c r="T16" s="3">
        <v>77.34</v>
      </c>
      <c r="U16" s="53">
        <v>-9.75</v>
      </c>
      <c r="V16" s="3" t="str">
        <f t="shared" si="1"/>
        <v>Strata</v>
      </c>
      <c r="W16" s="3">
        <v>4</v>
      </c>
      <c r="X16" s="53">
        <v>26.13</v>
      </c>
      <c r="Y16" s="53">
        <v>-9.75</v>
      </c>
      <c r="Z16" s="53">
        <v>12.1</v>
      </c>
      <c r="AA16" s="3">
        <f t="shared" si="6"/>
        <v>0.80578512396694213</v>
      </c>
      <c r="AB16" s="3">
        <v>84.06</v>
      </c>
      <c r="AC16" s="3">
        <v>77.34</v>
      </c>
      <c r="AD16" s="53">
        <v>-9.75</v>
      </c>
      <c r="AE16" s="3" t="str">
        <f t="shared" si="2"/>
        <v>Strata</v>
      </c>
      <c r="AF16" s="3" t="str">
        <f t="shared" si="7"/>
        <v/>
      </c>
      <c r="AG16" s="53" t="str">
        <f t="shared" si="8"/>
        <v/>
      </c>
      <c r="AH16" s="53" t="str">
        <f t="shared" si="9"/>
        <v/>
      </c>
      <c r="AI16" s="53" t="str">
        <f t="shared" si="10"/>
        <v/>
      </c>
      <c r="AJ16" s="3" t="str">
        <f t="shared" si="11"/>
        <v/>
      </c>
      <c r="AK16" s="3"/>
      <c r="AL16" s="3"/>
      <c r="AM16" s="53" t="str">
        <f t="shared" si="12"/>
        <v/>
      </c>
      <c r="AN16" s="3" t="str">
        <f t="shared" si="3"/>
        <v/>
      </c>
      <c r="AO16" s="4"/>
    </row>
    <row r="17" spans="2:41" x14ac:dyDescent="0.25">
      <c r="B17" s="7">
        <v>44886</v>
      </c>
      <c r="C17" s="3">
        <v>11</v>
      </c>
      <c r="D17" s="3" t="s">
        <v>25</v>
      </c>
      <c r="E17" s="3" t="s">
        <v>62</v>
      </c>
      <c r="F17" s="4" t="str">
        <f t="shared" si="4"/>
        <v>TAK</v>
      </c>
      <c r="G17" s="3">
        <v>166.29900000000001</v>
      </c>
      <c r="H17" s="3" t="s">
        <v>12</v>
      </c>
      <c r="I17" s="3">
        <v>170.13200000000001</v>
      </c>
      <c r="J17" s="3">
        <f>IF(H17="","",INDEX('Waluty z GBP'!$A$1:$I$26,MATCH(B17,'Waluty z GBP'!$A$1:$A$26,0),MATCH(E17,'Waluty z GBP'!$A$1:$I$1,0)))</f>
        <v>1</v>
      </c>
      <c r="K17" s="3"/>
      <c r="L17" s="3" t="s">
        <v>36</v>
      </c>
      <c r="M17" s="3">
        <f t="shared" si="5"/>
        <v>2</v>
      </c>
      <c r="N17" s="3">
        <v>1000</v>
      </c>
      <c r="O17" s="53">
        <v>33.56</v>
      </c>
      <c r="P17" s="53">
        <v>-23.2</v>
      </c>
      <c r="Q17" s="53">
        <v>17.37</v>
      </c>
      <c r="R17" s="3">
        <f t="shared" si="0"/>
        <v>1.3356361542890038</v>
      </c>
      <c r="S17" s="3">
        <v>163.43</v>
      </c>
      <c r="T17" s="3"/>
      <c r="U17" s="53"/>
      <c r="V17" s="3" t="str">
        <f t="shared" si="1"/>
        <v/>
      </c>
      <c r="W17" s="3">
        <v>1000</v>
      </c>
      <c r="X17" s="53">
        <v>33.56</v>
      </c>
      <c r="Y17" s="53">
        <v>-23.2</v>
      </c>
      <c r="Z17" s="53">
        <v>27.12</v>
      </c>
      <c r="AA17" s="3">
        <f t="shared" si="6"/>
        <v>0.85545722713864303</v>
      </c>
      <c r="AB17" s="3">
        <v>161.82</v>
      </c>
      <c r="AC17" s="3"/>
      <c r="AD17" s="53"/>
      <c r="AE17" s="3" t="str">
        <f t="shared" si="2"/>
        <v/>
      </c>
      <c r="AF17" s="3" t="str">
        <f t="shared" si="7"/>
        <v/>
      </c>
      <c r="AG17" s="53" t="str">
        <f t="shared" si="8"/>
        <v/>
      </c>
      <c r="AH17" s="53" t="str">
        <f t="shared" si="9"/>
        <v/>
      </c>
      <c r="AI17" s="53" t="str">
        <f t="shared" si="10"/>
        <v/>
      </c>
      <c r="AJ17" s="3" t="str">
        <f t="shared" si="11"/>
        <v/>
      </c>
      <c r="AK17" s="3"/>
      <c r="AL17" s="3"/>
      <c r="AM17" s="53" t="str">
        <f t="shared" si="12"/>
        <v/>
      </c>
      <c r="AN17" s="3" t="str">
        <f t="shared" si="3"/>
        <v/>
      </c>
      <c r="AO17" s="4"/>
    </row>
    <row r="18" spans="2:41" x14ac:dyDescent="0.25">
      <c r="B18" s="7">
        <v>44886</v>
      </c>
      <c r="C18" s="3">
        <v>12</v>
      </c>
      <c r="D18" s="3" t="s">
        <v>21</v>
      </c>
      <c r="E18" s="3" t="s">
        <v>58</v>
      </c>
      <c r="F18" s="4" t="str">
        <f t="shared" si="4"/>
        <v>TAK</v>
      </c>
      <c r="G18" s="3">
        <v>4.5885499999999997</v>
      </c>
      <c r="H18" s="3" t="s">
        <v>12</v>
      </c>
      <c r="I18" s="3">
        <v>4.6579800000000002</v>
      </c>
      <c r="J18" s="3">
        <f>IF(H18="","",INDEX('Waluty z GBP'!$A$1:$I$26,MATCH(B18,'Waluty z GBP'!$A$1:$A$26,0),MATCH(E18,'Waluty z GBP'!$A$1:$I$1,0)))</f>
        <v>1.1826000000000001</v>
      </c>
      <c r="K18" s="3">
        <v>4.58636</v>
      </c>
      <c r="L18" s="3" t="s">
        <v>35</v>
      </c>
      <c r="M18" s="3">
        <f t="shared" si="5"/>
        <v>1</v>
      </c>
      <c r="N18" s="3">
        <v>2000</v>
      </c>
      <c r="O18" s="53">
        <v>84.09</v>
      </c>
      <c r="P18" s="53">
        <v>-25.43</v>
      </c>
      <c r="Q18" s="53">
        <v>23.09</v>
      </c>
      <c r="R18" s="3">
        <f t="shared" si="0"/>
        <v>1.1013425725422261</v>
      </c>
      <c r="S18" s="3">
        <v>4.5255299999999998</v>
      </c>
      <c r="T18" s="3">
        <v>4.5616000000000003</v>
      </c>
      <c r="U18" s="53">
        <v>9.91</v>
      </c>
      <c r="V18" s="3" t="str">
        <f t="shared" si="1"/>
        <v>Zysk</v>
      </c>
      <c r="W18" s="3"/>
      <c r="X18" s="53"/>
      <c r="Y18" s="53"/>
      <c r="Z18" s="53"/>
      <c r="AA18" s="3" t="str">
        <f t="shared" si="6"/>
        <v/>
      </c>
      <c r="AB18" s="3"/>
      <c r="AC18" s="3"/>
      <c r="AD18" s="53"/>
      <c r="AE18" s="3" t="str">
        <f t="shared" si="2"/>
        <v/>
      </c>
      <c r="AF18" s="3" t="str">
        <f t="shared" si="7"/>
        <v/>
      </c>
      <c r="AG18" s="53" t="str">
        <f t="shared" si="8"/>
        <v/>
      </c>
      <c r="AH18" s="53" t="str">
        <f t="shared" si="9"/>
        <v/>
      </c>
      <c r="AI18" s="53" t="str">
        <f t="shared" si="10"/>
        <v/>
      </c>
      <c r="AJ18" s="3" t="str">
        <f t="shared" si="11"/>
        <v/>
      </c>
      <c r="AK18" s="3"/>
      <c r="AL18" s="3"/>
      <c r="AM18" s="53" t="str">
        <f t="shared" si="12"/>
        <v/>
      </c>
      <c r="AN18" s="3" t="str">
        <f t="shared" si="3"/>
        <v/>
      </c>
      <c r="AO18" s="4"/>
    </row>
    <row r="19" spans="2:41" x14ac:dyDescent="0.25">
      <c r="B19" s="7">
        <v>44886</v>
      </c>
      <c r="C19" s="3">
        <v>13</v>
      </c>
      <c r="D19" s="3" t="s">
        <v>14</v>
      </c>
      <c r="E19" s="3" t="s">
        <v>58</v>
      </c>
      <c r="F19" s="4" t="str">
        <f t="shared" si="4"/>
        <v>NEUTRALNA</v>
      </c>
      <c r="G19" s="3">
        <v>79.5</v>
      </c>
      <c r="H19" s="3" t="s">
        <v>15</v>
      </c>
      <c r="I19" s="3">
        <v>75.97</v>
      </c>
      <c r="J19" s="3">
        <f>IF(H19="","",INDEX('Waluty z GBP'!$A$1:$I$26,MATCH(B19,'Waluty z GBP'!$A$1:$A$26,0),MATCH(E19,'Waluty z GBP'!$A$1:$I$1,0)))</f>
        <v>1.1826000000000001</v>
      </c>
      <c r="K19" s="3">
        <v>79.73</v>
      </c>
      <c r="L19" s="3" t="s">
        <v>34</v>
      </c>
      <c r="M19" s="3">
        <f t="shared" si="5"/>
        <v>2</v>
      </c>
      <c r="N19" s="3">
        <v>4</v>
      </c>
      <c r="O19" s="53">
        <v>25.86</v>
      </c>
      <c r="P19" s="53">
        <v>-11.48</v>
      </c>
      <c r="Q19" s="53">
        <v>11.67</v>
      </c>
      <c r="R19" s="3">
        <f t="shared" si="0"/>
        <v>0.9837189374464439</v>
      </c>
      <c r="S19" s="3">
        <v>83.09</v>
      </c>
      <c r="T19" s="3">
        <v>79.73</v>
      </c>
      <c r="U19" s="53">
        <v>0.74</v>
      </c>
      <c r="V19" s="3" t="str">
        <f t="shared" si="1"/>
        <v>Neutralna</v>
      </c>
      <c r="W19" s="3">
        <v>4</v>
      </c>
      <c r="X19" s="53">
        <v>25.86</v>
      </c>
      <c r="Y19" s="53">
        <v>-11.48</v>
      </c>
      <c r="Z19" s="53">
        <v>16.88</v>
      </c>
      <c r="AA19" s="3">
        <f t="shared" si="6"/>
        <v>0.6800947867298579</v>
      </c>
      <c r="AB19" s="3">
        <v>84.69</v>
      </c>
      <c r="AC19" s="3">
        <v>79.73</v>
      </c>
      <c r="AD19" s="53">
        <v>0.74</v>
      </c>
      <c r="AE19" s="3" t="str">
        <f t="shared" si="2"/>
        <v>Neutralna</v>
      </c>
      <c r="AF19" s="3" t="str">
        <f t="shared" si="7"/>
        <v/>
      </c>
      <c r="AG19" s="53" t="str">
        <f t="shared" si="8"/>
        <v/>
      </c>
      <c r="AH19" s="53" t="str">
        <f t="shared" si="9"/>
        <v/>
      </c>
      <c r="AI19" s="53" t="str">
        <f t="shared" si="10"/>
        <v/>
      </c>
      <c r="AJ19" s="3" t="str">
        <f t="shared" si="11"/>
        <v/>
      </c>
      <c r="AK19" s="3"/>
      <c r="AL19" s="3"/>
      <c r="AM19" s="53" t="str">
        <f t="shared" si="12"/>
        <v/>
      </c>
      <c r="AN19" s="3" t="str">
        <f t="shared" si="3"/>
        <v/>
      </c>
      <c r="AO19" s="4"/>
    </row>
    <row r="20" spans="2:41" x14ac:dyDescent="0.25">
      <c r="B20" s="7">
        <v>44888</v>
      </c>
      <c r="C20" s="3">
        <v>14</v>
      </c>
      <c r="D20" s="3" t="s">
        <v>14</v>
      </c>
      <c r="E20" s="3" t="s">
        <v>58</v>
      </c>
      <c r="F20" s="4" t="str">
        <f t="shared" si="4"/>
        <v>TAK</v>
      </c>
      <c r="G20" s="3">
        <v>78.97</v>
      </c>
      <c r="H20" s="3" t="s">
        <v>15</v>
      </c>
      <c r="I20" s="3">
        <v>75.13</v>
      </c>
      <c r="J20" s="3">
        <f>IF(H20="","",INDEX('Waluty z GBP'!$A$1:$I$26,MATCH(B20,'Waluty z GBP'!$A$1:$A$26,0),MATCH(E20,'Waluty z GBP'!$A$1:$I$1,0)))</f>
        <v>1.2077</v>
      </c>
      <c r="K20" s="3"/>
      <c r="L20" s="3" t="s">
        <v>35</v>
      </c>
      <c r="M20" s="3">
        <f t="shared" si="5"/>
        <v>2</v>
      </c>
      <c r="N20" s="3">
        <v>3</v>
      </c>
      <c r="O20" s="53">
        <v>19.260000000000002</v>
      </c>
      <c r="P20" s="53">
        <v>-9.36</v>
      </c>
      <c r="Q20" s="53">
        <v>6.36</v>
      </c>
      <c r="R20" s="3">
        <f t="shared" si="0"/>
        <v>1.4716981132075471</v>
      </c>
      <c r="S20" s="3">
        <v>81.58</v>
      </c>
      <c r="T20" s="3">
        <v>79.56</v>
      </c>
      <c r="U20" s="53">
        <v>1.43</v>
      </c>
      <c r="V20" s="3" t="str">
        <f t="shared" si="1"/>
        <v>Zysk</v>
      </c>
      <c r="W20" s="3">
        <v>3</v>
      </c>
      <c r="X20" s="53">
        <v>19.260000000000002</v>
      </c>
      <c r="Y20" s="53">
        <v>-9.36</v>
      </c>
      <c r="Z20" s="53">
        <v>11.1</v>
      </c>
      <c r="AA20" s="3">
        <f t="shared" si="6"/>
        <v>0.84324324324324318</v>
      </c>
      <c r="AB20" s="3">
        <v>83.52</v>
      </c>
      <c r="AC20" s="3">
        <v>79.56</v>
      </c>
      <c r="AD20" s="53">
        <v>1.43</v>
      </c>
      <c r="AE20" s="3" t="str">
        <f t="shared" si="2"/>
        <v>Zysk</v>
      </c>
      <c r="AF20" s="3" t="str">
        <f t="shared" si="7"/>
        <v/>
      </c>
      <c r="AG20" s="53" t="str">
        <f t="shared" si="8"/>
        <v/>
      </c>
      <c r="AH20" s="53" t="str">
        <f t="shared" si="9"/>
        <v/>
      </c>
      <c r="AI20" s="53" t="str">
        <f t="shared" si="10"/>
        <v/>
      </c>
      <c r="AJ20" s="3" t="str">
        <f t="shared" si="11"/>
        <v/>
      </c>
      <c r="AK20" s="3"/>
      <c r="AL20" s="3"/>
      <c r="AM20" s="53" t="str">
        <f t="shared" si="12"/>
        <v/>
      </c>
      <c r="AN20" s="3" t="str">
        <f t="shared" si="3"/>
        <v/>
      </c>
      <c r="AO20" s="4"/>
    </row>
    <row r="21" spans="2:41" x14ac:dyDescent="0.25">
      <c r="B21" s="7">
        <v>44889</v>
      </c>
      <c r="C21" s="3">
        <v>15</v>
      </c>
      <c r="D21" s="3" t="s">
        <v>26</v>
      </c>
      <c r="E21" s="3" t="s">
        <v>57</v>
      </c>
      <c r="F21" s="4" t="str">
        <f t="shared" si="4"/>
        <v>NIE</v>
      </c>
      <c r="G21" s="3">
        <v>1.0414000000000001</v>
      </c>
      <c r="H21" s="3" t="s">
        <v>15</v>
      </c>
      <c r="I21" s="3">
        <v>1.0380799999999999</v>
      </c>
      <c r="J21" s="3">
        <f>IF(H21="","",INDEX('Waluty z GBP'!$A$1:$I$26,MATCH(B21,'Waluty z GBP'!$A$1:$A$26,0),MATCH(E21,'Waluty z GBP'!$A$1:$I$1,0)))</f>
        <v>1.1637999999999999</v>
      </c>
      <c r="K21" s="3">
        <v>1.0405899999999999</v>
      </c>
      <c r="L21" s="3" t="s">
        <v>35</v>
      </c>
      <c r="M21" s="3">
        <f t="shared" si="5"/>
        <v>2</v>
      </c>
      <c r="N21" s="3">
        <v>4000</v>
      </c>
      <c r="O21" s="53">
        <v>112.92</v>
      </c>
      <c r="P21" s="53">
        <v>-10.8</v>
      </c>
      <c r="Q21" s="53">
        <v>7.51</v>
      </c>
      <c r="R21" s="3">
        <f t="shared" si="0"/>
        <v>1.4380825565912119</v>
      </c>
      <c r="S21" s="3">
        <v>1.0437099999999999</v>
      </c>
      <c r="T21" s="3">
        <v>1.0405899999999999</v>
      </c>
      <c r="U21" s="53">
        <v>-2.63</v>
      </c>
      <c r="V21" s="3" t="str">
        <f t="shared" si="1"/>
        <v>Strata</v>
      </c>
      <c r="W21" s="3">
        <v>4000</v>
      </c>
      <c r="X21" s="53">
        <v>112.92</v>
      </c>
      <c r="Y21" s="53">
        <v>-10.8</v>
      </c>
      <c r="Z21" s="53">
        <v>10.210000000000001</v>
      </c>
      <c r="AA21" s="3">
        <f t="shared" si="6"/>
        <v>1.0577864838393731</v>
      </c>
      <c r="AB21" s="3">
        <v>1.04454</v>
      </c>
      <c r="AC21" s="3">
        <v>1.0405899999999999</v>
      </c>
      <c r="AD21" s="53">
        <v>-2.63</v>
      </c>
      <c r="AE21" s="3" t="str">
        <f t="shared" si="2"/>
        <v>Strata</v>
      </c>
      <c r="AF21" s="3" t="str">
        <f t="shared" si="7"/>
        <v/>
      </c>
      <c r="AG21" s="53" t="str">
        <f t="shared" si="8"/>
        <v/>
      </c>
      <c r="AH21" s="53" t="str">
        <f t="shared" si="9"/>
        <v/>
      </c>
      <c r="AI21" s="53" t="str">
        <f t="shared" si="10"/>
        <v/>
      </c>
      <c r="AJ21" s="3" t="str">
        <f t="shared" si="11"/>
        <v/>
      </c>
      <c r="AK21" s="3"/>
      <c r="AL21" s="3"/>
      <c r="AM21" s="53" t="str">
        <f t="shared" si="12"/>
        <v/>
      </c>
      <c r="AN21" s="3" t="str">
        <f t="shared" si="3"/>
        <v/>
      </c>
      <c r="AO21" s="4"/>
    </row>
    <row r="22" spans="2:41" x14ac:dyDescent="0.25">
      <c r="B22" s="7">
        <v>44890</v>
      </c>
      <c r="C22" s="3">
        <v>16</v>
      </c>
      <c r="D22" s="3" t="s">
        <v>27</v>
      </c>
      <c r="E22" s="3" t="s">
        <v>63</v>
      </c>
      <c r="F22" s="4" t="str">
        <f t="shared" si="4"/>
        <v>TAK</v>
      </c>
      <c r="G22" s="3">
        <v>0.70711000000000002</v>
      </c>
      <c r="H22" s="3" t="s">
        <v>12</v>
      </c>
      <c r="I22" s="3">
        <v>0.71223000000000003</v>
      </c>
      <c r="J22" s="3">
        <f>IF(H22="","",INDEX('Waluty z GBP'!$A$1:$I$26,MATCH(B22,'Waluty z GBP'!$A$1:$A$26,0),MATCH(E22,'Waluty z GBP'!$A$1:$I$1,0)))</f>
        <v>1.6180000000000001</v>
      </c>
      <c r="K22" s="3"/>
      <c r="L22" s="3" t="s">
        <v>35</v>
      </c>
      <c r="M22" s="3">
        <f t="shared" si="5"/>
        <v>1</v>
      </c>
      <c r="N22" s="3">
        <v>5000</v>
      </c>
      <c r="O22" s="53">
        <v>102.27</v>
      </c>
      <c r="P22" s="53">
        <v>-22.34</v>
      </c>
      <c r="Q22" s="53">
        <v>21.04</v>
      </c>
      <c r="R22" s="3">
        <f t="shared" si="0"/>
        <v>1.061787072243346</v>
      </c>
      <c r="S22" s="3">
        <v>0.70223999999999998</v>
      </c>
      <c r="T22" s="3">
        <v>0.70570999999999995</v>
      </c>
      <c r="U22" s="53">
        <v>6.07</v>
      </c>
      <c r="V22" s="3" t="str">
        <f t="shared" si="1"/>
        <v>Zysk</v>
      </c>
      <c r="W22" s="3"/>
      <c r="X22" s="53"/>
      <c r="Y22" s="53"/>
      <c r="Z22" s="53"/>
      <c r="AA22" s="3" t="str">
        <f t="shared" si="6"/>
        <v/>
      </c>
      <c r="AB22" s="3"/>
      <c r="AC22" s="3"/>
      <c r="AD22" s="53"/>
      <c r="AE22" s="3" t="str">
        <f t="shared" si="2"/>
        <v/>
      </c>
      <c r="AF22" s="3" t="str">
        <f t="shared" si="7"/>
        <v/>
      </c>
      <c r="AG22" s="53" t="str">
        <f t="shared" si="8"/>
        <v/>
      </c>
      <c r="AH22" s="53" t="str">
        <f t="shared" si="9"/>
        <v/>
      </c>
      <c r="AI22" s="53" t="str">
        <f t="shared" si="10"/>
        <v/>
      </c>
      <c r="AJ22" s="3" t="str">
        <f t="shared" si="11"/>
        <v/>
      </c>
      <c r="AK22" s="3"/>
      <c r="AL22" s="3"/>
      <c r="AM22" s="53" t="str">
        <f t="shared" si="12"/>
        <v/>
      </c>
      <c r="AN22" s="3" t="str">
        <f t="shared" si="3"/>
        <v/>
      </c>
      <c r="AO22" s="4"/>
    </row>
    <row r="23" spans="2:41" x14ac:dyDescent="0.25">
      <c r="B23" s="7">
        <v>44890</v>
      </c>
      <c r="C23" s="3">
        <v>17</v>
      </c>
      <c r="D23" s="3" t="s">
        <v>28</v>
      </c>
      <c r="E23" s="3" t="s">
        <v>57</v>
      </c>
      <c r="F23" s="4" t="str">
        <f t="shared" si="4"/>
        <v>NEUTRALNA</v>
      </c>
      <c r="G23" s="3">
        <v>14517.8</v>
      </c>
      <c r="H23" s="3" t="s">
        <v>15</v>
      </c>
      <c r="I23" s="3">
        <v>14480</v>
      </c>
      <c r="J23" s="3">
        <f>IF(H23="","",INDEX('Waluty z GBP'!$A$1:$I$26,MATCH(B23,'Waluty z GBP'!$A$1:$A$26,0),MATCH(E23,'Waluty z GBP'!$A$1:$I$1,0)))</f>
        <v>1.1632</v>
      </c>
      <c r="K23" s="3">
        <v>14517.8</v>
      </c>
      <c r="L23" s="3" t="s">
        <v>35</v>
      </c>
      <c r="M23" s="3">
        <f t="shared" si="5"/>
        <v>2</v>
      </c>
      <c r="N23" s="3">
        <v>0.3</v>
      </c>
      <c r="O23" s="53">
        <v>186.68</v>
      </c>
      <c r="P23" s="53">
        <v>-9.7200000000000006</v>
      </c>
      <c r="Q23" s="53">
        <v>6.99</v>
      </c>
      <c r="R23" s="3">
        <f t="shared" si="0"/>
        <v>1.3905579399141632</v>
      </c>
      <c r="S23" s="3">
        <v>14545</v>
      </c>
      <c r="T23" s="3">
        <v>14517.8</v>
      </c>
      <c r="U23" s="53">
        <v>0</v>
      </c>
      <c r="V23" s="3" t="str">
        <f t="shared" si="1"/>
        <v>Neutralna</v>
      </c>
      <c r="W23" s="3">
        <v>0.3</v>
      </c>
      <c r="X23" s="53">
        <v>186.68</v>
      </c>
      <c r="Y23" s="53">
        <v>-9.7200000000000006</v>
      </c>
      <c r="Z23" s="53">
        <v>10.029999999999999</v>
      </c>
      <c r="AA23" s="3">
        <f t="shared" si="6"/>
        <v>0.96909272183449668</v>
      </c>
      <c r="AB23" s="3">
        <v>14555</v>
      </c>
      <c r="AC23" s="3">
        <v>14517.8</v>
      </c>
      <c r="AD23" s="53">
        <v>0</v>
      </c>
      <c r="AE23" s="3" t="str">
        <f t="shared" si="2"/>
        <v>Neutralna</v>
      </c>
      <c r="AF23" s="3" t="str">
        <f t="shared" si="7"/>
        <v/>
      </c>
      <c r="AG23" s="53" t="str">
        <f t="shared" si="8"/>
        <v/>
      </c>
      <c r="AH23" s="53" t="str">
        <f t="shared" si="9"/>
        <v/>
      </c>
      <c r="AI23" s="53" t="str">
        <f t="shared" si="10"/>
        <v/>
      </c>
      <c r="AJ23" s="3" t="str">
        <f t="shared" si="11"/>
        <v/>
      </c>
      <c r="AK23" s="3"/>
      <c r="AL23" s="3"/>
      <c r="AM23" s="53" t="str">
        <f t="shared" si="12"/>
        <v/>
      </c>
      <c r="AN23" s="3" t="str">
        <f t="shared" si="3"/>
        <v/>
      </c>
      <c r="AO23" s="4"/>
    </row>
    <row r="24" spans="2:41" x14ac:dyDescent="0.25">
      <c r="B24" s="7">
        <v>44891</v>
      </c>
      <c r="C24" s="3">
        <v>18</v>
      </c>
      <c r="D24" s="3" t="s">
        <v>30</v>
      </c>
      <c r="E24" s="3" t="s">
        <v>58</v>
      </c>
      <c r="F24" s="4" t="str">
        <f t="shared" si="4"/>
        <v>TAK</v>
      </c>
      <c r="G24" s="3">
        <v>16575</v>
      </c>
      <c r="H24" s="3" t="s">
        <v>12</v>
      </c>
      <c r="I24" s="3">
        <v>17012.61</v>
      </c>
      <c r="J24" s="3">
        <f>IF(H24="","",INDEX('Waluty z GBP'!$A$1:$I$26,MATCH(B24,'Waluty z GBP'!$A$1:$A$26,0),MATCH(E24,'Waluty z GBP'!$A$1:$I$1,0)))</f>
        <v>1.2095</v>
      </c>
      <c r="K24" s="3"/>
      <c r="L24" s="3" t="s">
        <v>34</v>
      </c>
      <c r="M24" s="3">
        <f t="shared" si="5"/>
        <v>2</v>
      </c>
      <c r="N24" s="83">
        <v>456.87</v>
      </c>
      <c r="O24" s="53"/>
      <c r="P24" s="53">
        <v>-9.9999343767513675</v>
      </c>
      <c r="Q24" s="53">
        <v>9.2061487210049862</v>
      </c>
      <c r="R24" s="3">
        <f t="shared" si="0"/>
        <v>1.0862234230406531</v>
      </c>
      <c r="S24" s="3">
        <v>16191.57</v>
      </c>
      <c r="T24" s="3">
        <v>16191.57</v>
      </c>
      <c r="U24" s="53">
        <v>9.2061487210049862</v>
      </c>
      <c r="V24" s="3" t="str">
        <f t="shared" si="1"/>
        <v>Zysk</v>
      </c>
      <c r="W24" s="83">
        <v>456.87</v>
      </c>
      <c r="X24" s="53"/>
      <c r="Y24" s="53">
        <v>-9.9999343767513675</v>
      </c>
      <c r="Z24" s="53">
        <v>18.972120951293356</v>
      </c>
      <c r="AA24" s="3">
        <f t="shared" si="6"/>
        <v>0.52708573819574234</v>
      </c>
      <c r="AB24" s="3">
        <v>15803.75</v>
      </c>
      <c r="AC24" s="3">
        <v>16191.57</v>
      </c>
      <c r="AD24" s="53">
        <v>9.2061487210049862</v>
      </c>
      <c r="AE24" s="3" t="str">
        <f t="shared" si="2"/>
        <v>Zysk</v>
      </c>
      <c r="AF24" s="3" t="str">
        <f t="shared" si="7"/>
        <v/>
      </c>
      <c r="AG24" s="53" t="str">
        <f t="shared" si="8"/>
        <v/>
      </c>
      <c r="AH24" s="53" t="str">
        <f t="shared" si="9"/>
        <v/>
      </c>
      <c r="AI24" s="53" t="str">
        <f t="shared" si="10"/>
        <v/>
      </c>
      <c r="AJ24" s="3" t="str">
        <f t="shared" si="11"/>
        <v/>
      </c>
      <c r="AK24" s="3"/>
      <c r="AL24" s="3"/>
      <c r="AM24" s="53" t="str">
        <f t="shared" si="12"/>
        <v/>
      </c>
      <c r="AN24" s="3" t="str">
        <f t="shared" si="3"/>
        <v/>
      </c>
      <c r="AO24" s="4"/>
    </row>
    <row r="25" spans="2:41" x14ac:dyDescent="0.25">
      <c r="B25" s="7">
        <v>44892</v>
      </c>
      <c r="C25" s="3">
        <v>19</v>
      </c>
      <c r="D25" s="3" t="s">
        <v>27</v>
      </c>
      <c r="E25" s="3" t="s">
        <v>63</v>
      </c>
      <c r="F25" s="4" t="str">
        <f t="shared" si="4"/>
        <v>TAK</v>
      </c>
      <c r="G25" s="3">
        <v>0.70577000000000001</v>
      </c>
      <c r="H25" s="3" t="s">
        <v>12</v>
      </c>
      <c r="I25" s="3">
        <v>0.71223000000000003</v>
      </c>
      <c r="J25" s="3">
        <f>IF(H25="","",INDEX('Waluty z GBP'!$A$1:$I$26,MATCH(B25,'Waluty z GBP'!$A$1:$A$26,0),MATCH(E25,'Waluty z GBP'!$A$1:$I$1,0)))</f>
        <v>1.6180000000000001</v>
      </c>
      <c r="K25" s="3">
        <v>0.70579000000000003</v>
      </c>
      <c r="L25" s="3" t="s">
        <v>35</v>
      </c>
      <c r="M25" s="3">
        <f t="shared" si="5"/>
        <v>2</v>
      </c>
      <c r="N25" s="3">
        <v>2000</v>
      </c>
      <c r="O25" s="53">
        <v>40.83</v>
      </c>
      <c r="P25" s="53">
        <v>-11.28</v>
      </c>
      <c r="Q25" s="53">
        <v>6.07</v>
      </c>
      <c r="R25" s="3">
        <f t="shared" si="0"/>
        <v>1.8583196046128498</v>
      </c>
      <c r="S25" s="3">
        <v>0.70223999999999998</v>
      </c>
      <c r="T25" s="3">
        <v>0.70223999999999998</v>
      </c>
      <c r="U25" s="53">
        <v>6.07</v>
      </c>
      <c r="V25" s="3" t="str">
        <f t="shared" si="1"/>
        <v>Zysk</v>
      </c>
      <c r="W25" s="3">
        <v>2000</v>
      </c>
      <c r="X25" s="53">
        <v>40.83</v>
      </c>
      <c r="Y25" s="53">
        <v>-11.28</v>
      </c>
      <c r="Z25" s="53">
        <v>11.1</v>
      </c>
      <c r="AA25" s="3">
        <f t="shared" si="6"/>
        <v>1.0162162162162163</v>
      </c>
      <c r="AB25" s="3">
        <v>0.69932000000000005</v>
      </c>
      <c r="AC25" s="3">
        <v>0.69972000000000001</v>
      </c>
      <c r="AD25" s="53">
        <v>10.41</v>
      </c>
      <c r="AE25" s="3" t="str">
        <f t="shared" si="2"/>
        <v>Zysk</v>
      </c>
      <c r="AF25" s="3" t="str">
        <f t="shared" si="7"/>
        <v/>
      </c>
      <c r="AG25" s="53" t="str">
        <f t="shared" si="8"/>
        <v/>
      </c>
      <c r="AH25" s="53" t="str">
        <f t="shared" si="9"/>
        <v/>
      </c>
      <c r="AI25" s="53" t="str">
        <f t="shared" si="10"/>
        <v/>
      </c>
      <c r="AJ25" s="3" t="str">
        <f t="shared" si="11"/>
        <v/>
      </c>
      <c r="AK25" s="3"/>
      <c r="AL25" s="3"/>
      <c r="AM25" s="53" t="str">
        <f t="shared" si="12"/>
        <v/>
      </c>
      <c r="AN25" s="3" t="str">
        <f t="shared" si="3"/>
        <v/>
      </c>
      <c r="AO25" s="4"/>
    </row>
    <row r="26" spans="2:41" x14ac:dyDescent="0.25">
      <c r="B26" s="7">
        <v>44893</v>
      </c>
      <c r="C26" s="3">
        <v>20</v>
      </c>
      <c r="D26" s="3" t="s">
        <v>21</v>
      </c>
      <c r="E26" s="3" t="s">
        <v>58</v>
      </c>
      <c r="F26" s="4" t="str">
        <f t="shared" si="4"/>
        <v>TAK</v>
      </c>
      <c r="G26" s="3">
        <v>4.5381999999999998</v>
      </c>
      <c r="H26" s="3" t="s">
        <v>12</v>
      </c>
      <c r="I26" s="3">
        <v>4.5617000000000001</v>
      </c>
      <c r="J26" s="3">
        <f>IF(H26="","",INDEX('Waluty z GBP'!$A$1:$I$26,MATCH(B26,'Waluty z GBP'!$A$1:$A$26,0),MATCH(E26,'Waluty z GBP'!$A$1:$I$1,0)))</f>
        <v>1.196</v>
      </c>
      <c r="K26" s="3">
        <v>4.53667</v>
      </c>
      <c r="L26" s="3" t="s">
        <v>35</v>
      </c>
      <c r="M26" s="3">
        <f t="shared" si="5"/>
        <v>2</v>
      </c>
      <c r="N26" s="3">
        <v>2000</v>
      </c>
      <c r="O26" s="53">
        <v>83.16</v>
      </c>
      <c r="P26" s="53">
        <v>-8.61</v>
      </c>
      <c r="Q26" s="53">
        <v>13.58</v>
      </c>
      <c r="R26" s="3">
        <f t="shared" si="0"/>
        <v>0.634020618556701</v>
      </c>
      <c r="S26" s="3">
        <v>4.5011799999999997</v>
      </c>
      <c r="T26" s="3">
        <v>4.5011799999999997</v>
      </c>
      <c r="U26" s="53">
        <v>13.58</v>
      </c>
      <c r="V26" s="3" t="str">
        <f t="shared" si="1"/>
        <v>Zysk</v>
      </c>
      <c r="W26" s="3">
        <v>2000</v>
      </c>
      <c r="X26" s="53">
        <v>83.16</v>
      </c>
      <c r="Y26" s="53">
        <v>-8.61</v>
      </c>
      <c r="Z26" s="53">
        <v>23.23</v>
      </c>
      <c r="AA26" s="3">
        <f t="shared" si="6"/>
        <v>0.37064141196728367</v>
      </c>
      <c r="AB26" s="3">
        <v>4.4748000000000001</v>
      </c>
      <c r="AC26" s="3">
        <v>4.5011799999999997</v>
      </c>
      <c r="AD26" s="53">
        <v>13.58</v>
      </c>
      <c r="AE26" s="3" t="str">
        <f t="shared" si="2"/>
        <v>Zysk</v>
      </c>
      <c r="AF26" s="3" t="str">
        <f t="shared" si="7"/>
        <v/>
      </c>
      <c r="AG26" s="53" t="str">
        <f t="shared" si="8"/>
        <v/>
      </c>
      <c r="AH26" s="53" t="str">
        <f t="shared" si="9"/>
        <v/>
      </c>
      <c r="AI26" s="53" t="str">
        <f t="shared" si="10"/>
        <v/>
      </c>
      <c r="AJ26" s="3" t="str">
        <f t="shared" si="11"/>
        <v/>
      </c>
      <c r="AK26" s="3"/>
      <c r="AL26" s="3"/>
      <c r="AM26" s="53" t="str">
        <f t="shared" si="12"/>
        <v/>
      </c>
      <c r="AN26" s="3" t="str">
        <f t="shared" si="3"/>
        <v/>
      </c>
      <c r="AO26" s="4"/>
    </row>
    <row r="27" spans="2:41" x14ac:dyDescent="0.25">
      <c r="B27" s="7">
        <v>44893</v>
      </c>
      <c r="C27" s="3">
        <v>21</v>
      </c>
      <c r="D27" s="3" t="s">
        <v>16</v>
      </c>
      <c r="E27" s="3" t="s">
        <v>58</v>
      </c>
      <c r="F27" s="4" t="str">
        <f t="shared" si="4"/>
        <v>TAK</v>
      </c>
      <c r="G27" s="3">
        <v>11670.3</v>
      </c>
      <c r="H27" s="3" t="s">
        <v>15</v>
      </c>
      <c r="I27" s="3">
        <v>11606</v>
      </c>
      <c r="J27" s="3">
        <f>IF(H27="","",INDEX('Waluty z GBP'!$A$1:$I$26,MATCH(B27,'Waluty z GBP'!$A$1:$A$26,0),MATCH(E27,'Waluty z GBP'!$A$1:$I$1,0)))</f>
        <v>1.196</v>
      </c>
      <c r="K27" s="3"/>
      <c r="L27" s="3" t="s">
        <v>35</v>
      </c>
      <c r="M27" s="3">
        <f t="shared" si="5"/>
        <v>2</v>
      </c>
      <c r="N27" s="3">
        <v>0.2</v>
      </c>
      <c r="O27" s="53">
        <v>94.91</v>
      </c>
      <c r="P27" s="53">
        <v>-10.45</v>
      </c>
      <c r="Q27" s="53">
        <v>5.64</v>
      </c>
      <c r="R27" s="3">
        <f t="shared" si="0"/>
        <v>1.852836879432624</v>
      </c>
      <c r="S27" s="3">
        <v>11705</v>
      </c>
      <c r="T27" s="3">
        <v>11699</v>
      </c>
      <c r="U27" s="53">
        <v>4.66</v>
      </c>
      <c r="V27" s="3" t="str">
        <f t="shared" si="1"/>
        <v>Zysk</v>
      </c>
      <c r="W27" s="3">
        <v>0.2</v>
      </c>
      <c r="X27" s="53">
        <v>94.91</v>
      </c>
      <c r="Y27" s="53">
        <v>-10.45</v>
      </c>
      <c r="Z27" s="53">
        <v>8.89</v>
      </c>
      <c r="AA27" s="3">
        <f t="shared" si="6"/>
        <v>1.1754780652418446</v>
      </c>
      <c r="AB27" s="3">
        <v>11725</v>
      </c>
      <c r="AC27" s="3">
        <v>11699</v>
      </c>
      <c r="AD27" s="53">
        <v>4.66</v>
      </c>
      <c r="AE27" s="3" t="str">
        <f t="shared" si="2"/>
        <v>Zysk</v>
      </c>
      <c r="AF27" s="3" t="str">
        <f t="shared" si="7"/>
        <v/>
      </c>
      <c r="AG27" s="53" t="str">
        <f t="shared" si="8"/>
        <v/>
      </c>
      <c r="AH27" s="53" t="str">
        <f t="shared" si="9"/>
        <v/>
      </c>
      <c r="AI27" s="53" t="str">
        <f t="shared" si="10"/>
        <v/>
      </c>
      <c r="AJ27" s="3" t="str">
        <f t="shared" si="11"/>
        <v/>
      </c>
      <c r="AK27" s="3"/>
      <c r="AL27" s="3"/>
      <c r="AM27" s="53" t="str">
        <f t="shared" si="12"/>
        <v/>
      </c>
      <c r="AN27" s="3" t="str">
        <f t="shared" si="3"/>
        <v/>
      </c>
      <c r="AO27" s="4"/>
    </row>
    <row r="28" spans="2:41" x14ac:dyDescent="0.25">
      <c r="B28" s="7">
        <v>44893</v>
      </c>
      <c r="C28" s="3">
        <v>22</v>
      </c>
      <c r="D28" s="3" t="s">
        <v>16</v>
      </c>
      <c r="E28" s="3" t="s">
        <v>58</v>
      </c>
      <c r="F28" s="4" t="str">
        <f t="shared" si="4"/>
        <v>NIE</v>
      </c>
      <c r="G28" s="3">
        <v>11648</v>
      </c>
      <c r="H28" s="3" t="s">
        <v>15</v>
      </c>
      <c r="I28" s="3">
        <v>11535</v>
      </c>
      <c r="J28" s="3">
        <f>IF(H28="","",INDEX('Waluty z GBP'!$A$1:$I$26,MATCH(B28,'Waluty z GBP'!$A$1:$A$26,0),MATCH(E28,'Waluty z GBP'!$A$1:$I$1,0)))</f>
        <v>1.196</v>
      </c>
      <c r="K28" s="3"/>
      <c r="L28" s="3" t="s">
        <v>35</v>
      </c>
      <c r="M28" s="3">
        <f t="shared" si="5"/>
        <v>2</v>
      </c>
      <c r="N28" s="3">
        <v>0.11</v>
      </c>
      <c r="O28" s="53">
        <v>52.1</v>
      </c>
      <c r="P28" s="53">
        <v>-10.1</v>
      </c>
      <c r="Q28" s="53">
        <v>9.1199999999999992</v>
      </c>
      <c r="R28" s="3">
        <f t="shared" si="0"/>
        <v>1.1074561403508771</v>
      </c>
      <c r="S28" s="3">
        <v>11750</v>
      </c>
      <c r="T28" s="3">
        <v>11535</v>
      </c>
      <c r="U28" s="53">
        <v>-10.1</v>
      </c>
      <c r="V28" s="3" t="str">
        <f t="shared" si="1"/>
        <v>Strata</v>
      </c>
      <c r="W28" s="3">
        <v>0.11</v>
      </c>
      <c r="X28" s="53">
        <v>52.1</v>
      </c>
      <c r="Y28" s="53">
        <v>-10.1</v>
      </c>
      <c r="Z28" s="53">
        <v>17.170000000000002</v>
      </c>
      <c r="AA28" s="3">
        <f t="shared" si="6"/>
        <v>0.58823529411764697</v>
      </c>
      <c r="AB28" s="3">
        <v>11840</v>
      </c>
      <c r="AC28" s="3">
        <v>11535</v>
      </c>
      <c r="AD28" s="53">
        <v>-10.1</v>
      </c>
      <c r="AE28" s="3" t="str">
        <f t="shared" si="2"/>
        <v>Strata</v>
      </c>
      <c r="AF28" s="3" t="str">
        <f t="shared" si="7"/>
        <v/>
      </c>
      <c r="AG28" s="53" t="str">
        <f t="shared" si="8"/>
        <v/>
      </c>
      <c r="AH28" s="53" t="str">
        <f t="shared" si="9"/>
        <v/>
      </c>
      <c r="AI28" s="53" t="str">
        <f t="shared" si="10"/>
        <v/>
      </c>
      <c r="AJ28" s="3" t="str">
        <f t="shared" si="11"/>
        <v/>
      </c>
      <c r="AK28" s="3"/>
      <c r="AL28" s="3"/>
      <c r="AM28" s="53" t="str">
        <f t="shared" si="12"/>
        <v/>
      </c>
      <c r="AN28" s="3" t="str">
        <f t="shared" si="3"/>
        <v/>
      </c>
      <c r="AO28" s="4"/>
    </row>
    <row r="29" spans="2:41" x14ac:dyDescent="0.25">
      <c r="B29" s="7">
        <v>44893</v>
      </c>
      <c r="C29" s="3">
        <v>23</v>
      </c>
      <c r="D29" s="3" t="s">
        <v>14</v>
      </c>
      <c r="E29" s="3" t="s">
        <v>58</v>
      </c>
      <c r="F29" s="4" t="str">
        <f t="shared" si="4"/>
        <v>NIE</v>
      </c>
      <c r="G29" s="3">
        <v>77.37</v>
      </c>
      <c r="H29" s="3" t="s">
        <v>12</v>
      </c>
      <c r="I29" s="3">
        <v>80.150000000000006</v>
      </c>
      <c r="J29" s="3">
        <f>IF(H29="","",INDEX('Waluty z GBP'!$A$1:$I$26,MATCH(B29,'Waluty z GBP'!$A$1:$A$26,0),MATCH(E29,'Waluty z GBP'!$A$1:$I$1,0)))</f>
        <v>1.196</v>
      </c>
      <c r="K29" s="3"/>
      <c r="L29" s="3" t="s">
        <v>35</v>
      </c>
      <c r="M29" s="3">
        <f t="shared" si="5"/>
        <v>1</v>
      </c>
      <c r="N29" s="3">
        <v>9</v>
      </c>
      <c r="O29" s="53">
        <v>56.63</v>
      </c>
      <c r="P29" s="53">
        <v>-20.34</v>
      </c>
      <c r="Q29" s="53">
        <v>25.25</v>
      </c>
      <c r="R29" s="3">
        <f t="shared" si="0"/>
        <v>0.80554455445544559</v>
      </c>
      <c r="S29" s="3">
        <v>73.92</v>
      </c>
      <c r="T29" s="3">
        <v>80.150000000000006</v>
      </c>
      <c r="U29" s="53">
        <v>-20.34</v>
      </c>
      <c r="V29" s="3" t="str">
        <f t="shared" si="1"/>
        <v>Strata</v>
      </c>
      <c r="W29" s="3"/>
      <c r="X29" s="53"/>
      <c r="Y29" s="53"/>
      <c r="Z29" s="53"/>
      <c r="AA29" s="3" t="str">
        <f t="shared" si="6"/>
        <v/>
      </c>
      <c r="AB29" s="3"/>
      <c r="AC29" s="3"/>
      <c r="AD29" s="53"/>
      <c r="AE29" s="3" t="str">
        <f t="shared" si="2"/>
        <v/>
      </c>
      <c r="AF29" s="3" t="str">
        <f t="shared" si="7"/>
        <v/>
      </c>
      <c r="AG29" s="53" t="str">
        <f t="shared" si="8"/>
        <v/>
      </c>
      <c r="AH29" s="53" t="str">
        <f t="shared" si="9"/>
        <v/>
      </c>
      <c r="AI29" s="53" t="str">
        <f t="shared" si="10"/>
        <v/>
      </c>
      <c r="AJ29" s="3" t="str">
        <f t="shared" si="11"/>
        <v/>
      </c>
      <c r="AK29" s="3"/>
      <c r="AL29" s="3"/>
      <c r="AM29" s="53" t="str">
        <f t="shared" si="12"/>
        <v/>
      </c>
      <c r="AN29" s="3" t="str">
        <f t="shared" si="3"/>
        <v/>
      </c>
      <c r="AO29" s="4"/>
    </row>
    <row r="30" spans="2:41" x14ac:dyDescent="0.25">
      <c r="B30" s="7">
        <v>44894</v>
      </c>
      <c r="C30" s="3">
        <v>24</v>
      </c>
      <c r="D30" s="3" t="s">
        <v>21</v>
      </c>
      <c r="E30" s="3" t="s">
        <v>58</v>
      </c>
      <c r="F30" s="4" t="str">
        <f t="shared" si="4"/>
        <v>NIE</v>
      </c>
      <c r="G30" s="3">
        <v>4.5012999999999996</v>
      </c>
      <c r="H30" s="3" t="s">
        <v>15</v>
      </c>
      <c r="I30" s="3">
        <v>4.4515399999999996</v>
      </c>
      <c r="J30" s="3">
        <f>IF(H30="","",INDEX('Waluty z GBP'!$A$1:$I$26,MATCH(B30,'Waluty z GBP'!$A$1:$A$26,0),MATCH(E30,'Waluty z GBP'!$A$1:$I$1,0)))</f>
        <v>1.1947000000000001</v>
      </c>
      <c r="K30" s="3"/>
      <c r="L30" s="3" t="s">
        <v>34</v>
      </c>
      <c r="M30" s="3">
        <f t="shared" si="5"/>
        <v>2</v>
      </c>
      <c r="N30" s="3">
        <v>1000</v>
      </c>
      <c r="O30" s="53">
        <v>41.24</v>
      </c>
      <c r="P30" s="53">
        <v>-9.11</v>
      </c>
      <c r="Q30" s="53">
        <v>10</v>
      </c>
      <c r="R30" s="3">
        <f t="shared" si="0"/>
        <v>0.91099999999999992</v>
      </c>
      <c r="S30" s="3">
        <v>4.5559200000000004</v>
      </c>
      <c r="T30" s="3">
        <v>4.4515399999999996</v>
      </c>
      <c r="U30" s="53">
        <v>-9.11</v>
      </c>
      <c r="V30" s="3" t="str">
        <f t="shared" si="1"/>
        <v>Strata</v>
      </c>
      <c r="W30" s="3">
        <v>1000</v>
      </c>
      <c r="X30" s="53">
        <v>41.24</v>
      </c>
      <c r="Y30" s="53">
        <v>-9.11</v>
      </c>
      <c r="Z30" s="53">
        <v>16.309999999999999</v>
      </c>
      <c r="AA30" s="3">
        <f t="shared" si="6"/>
        <v>0.55855303494788477</v>
      </c>
      <c r="AB30" s="3">
        <v>4.5903099999999997</v>
      </c>
      <c r="AC30" s="3">
        <v>4.4515399999999996</v>
      </c>
      <c r="AD30" s="53">
        <v>-9.11</v>
      </c>
      <c r="AE30" s="3" t="str">
        <f t="shared" si="2"/>
        <v>Strata</v>
      </c>
      <c r="AF30" s="3" t="str">
        <f t="shared" si="7"/>
        <v/>
      </c>
      <c r="AG30" s="53" t="str">
        <f t="shared" si="8"/>
        <v/>
      </c>
      <c r="AH30" s="53" t="str">
        <f t="shared" si="9"/>
        <v/>
      </c>
      <c r="AI30" s="53" t="str">
        <f t="shared" si="10"/>
        <v/>
      </c>
      <c r="AJ30" s="3" t="str">
        <f t="shared" si="11"/>
        <v/>
      </c>
      <c r="AK30" s="3"/>
      <c r="AL30" s="3"/>
      <c r="AM30" s="53" t="str">
        <f t="shared" si="12"/>
        <v/>
      </c>
      <c r="AN30" s="3" t="str">
        <f t="shared" si="3"/>
        <v/>
      </c>
      <c r="AO30" s="4"/>
    </row>
    <row r="31" spans="2:41" x14ac:dyDescent="0.25">
      <c r="B31" s="7">
        <v>44894</v>
      </c>
      <c r="C31" s="3">
        <v>25</v>
      </c>
      <c r="D31" s="3" t="s">
        <v>31</v>
      </c>
      <c r="E31" s="3" t="s">
        <v>58</v>
      </c>
      <c r="F31" s="4" t="str">
        <f t="shared" si="4"/>
        <v>TAK</v>
      </c>
      <c r="G31" s="3">
        <v>1202.8800000000001</v>
      </c>
      <c r="H31" s="3" t="s">
        <v>15</v>
      </c>
      <c r="I31" s="3">
        <v>1148.99</v>
      </c>
      <c r="J31" s="3">
        <f>IF(H31="","",INDEX('Waluty z GBP'!$A$1:$I$26,MATCH(B31,'Waluty z GBP'!$A$1:$A$26,0),MATCH(E31,'Waluty z GBP'!$A$1:$I$1,0)))</f>
        <v>1.1947000000000001</v>
      </c>
      <c r="K31" s="3">
        <v>1203.8399999999999</v>
      </c>
      <c r="L31" s="3" t="s">
        <v>35</v>
      </c>
      <c r="M31" s="3">
        <f t="shared" si="5"/>
        <v>1</v>
      </c>
      <c r="N31" s="3">
        <v>426.42</v>
      </c>
      <c r="O31" s="53"/>
      <c r="P31" s="53">
        <v>-19.999977197364672</v>
      </c>
      <c r="Q31" s="53">
        <v>17.611448473738733</v>
      </c>
      <c r="R31" s="3">
        <f t="shared" si="0"/>
        <v>1.1356236386341299</v>
      </c>
      <c r="S31" s="3">
        <v>1254.7</v>
      </c>
      <c r="T31" s="3">
        <v>1254.7</v>
      </c>
      <c r="U31" s="53">
        <v>17.611448473738733</v>
      </c>
      <c r="V31" s="3" t="str">
        <f t="shared" si="1"/>
        <v>Zysk</v>
      </c>
      <c r="W31" s="3"/>
      <c r="X31" s="53"/>
      <c r="Y31" s="53"/>
      <c r="Z31" s="53"/>
      <c r="AA31" s="3" t="str">
        <f t="shared" si="6"/>
        <v/>
      </c>
      <c r="AB31" s="3"/>
      <c r="AC31" s="3"/>
      <c r="AD31" s="53"/>
      <c r="AE31" s="3" t="str">
        <f t="shared" si="2"/>
        <v/>
      </c>
      <c r="AF31" s="3" t="str">
        <f t="shared" si="7"/>
        <v/>
      </c>
      <c r="AG31" s="53" t="str">
        <f t="shared" si="8"/>
        <v/>
      </c>
      <c r="AH31" s="53" t="str">
        <f t="shared" si="9"/>
        <v/>
      </c>
      <c r="AI31" s="53" t="str">
        <f t="shared" si="10"/>
        <v/>
      </c>
      <c r="AJ31" s="3" t="str">
        <f t="shared" si="11"/>
        <v/>
      </c>
      <c r="AK31" s="3"/>
      <c r="AL31" s="3"/>
      <c r="AM31" s="53" t="str">
        <f t="shared" si="12"/>
        <v/>
      </c>
      <c r="AN31" s="3" t="str">
        <f t="shared" si="3"/>
        <v/>
      </c>
      <c r="AO31" s="4"/>
    </row>
    <row r="32" spans="2:41" x14ac:dyDescent="0.25">
      <c r="B32" s="7">
        <v>44894</v>
      </c>
      <c r="C32" s="3">
        <v>26</v>
      </c>
      <c r="D32" s="3" t="s">
        <v>32</v>
      </c>
      <c r="E32" s="3" t="s">
        <v>62</v>
      </c>
      <c r="F32" s="4" t="str">
        <f t="shared" si="4"/>
        <v>NIE</v>
      </c>
      <c r="G32" s="3">
        <v>1.1952499999999999</v>
      </c>
      <c r="H32" s="3" t="s">
        <v>12</v>
      </c>
      <c r="I32" s="3">
        <v>1.20234</v>
      </c>
      <c r="J32" s="3">
        <f>IF(H32="","",INDEX('Waluty z GBP'!$A$1:$I$26,MATCH(B32,'Waluty z GBP'!$A$1:$A$26,0),MATCH(E32,'Waluty z GBP'!$A$1:$I$1,0)))</f>
        <v>1</v>
      </c>
      <c r="K32" s="3"/>
      <c r="L32" s="3" t="s">
        <v>34</v>
      </c>
      <c r="M32" s="3">
        <f t="shared" si="5"/>
        <v>1</v>
      </c>
      <c r="N32" s="3">
        <v>3000</v>
      </c>
      <c r="O32" s="53">
        <v>97.2</v>
      </c>
      <c r="P32" s="53">
        <v>-17.29</v>
      </c>
      <c r="Q32" s="53">
        <v>13.24</v>
      </c>
      <c r="R32" s="3">
        <f t="shared" si="0"/>
        <v>1.3058912386706947</v>
      </c>
      <c r="S32" s="3">
        <v>1.1898200000000001</v>
      </c>
      <c r="T32" s="3">
        <v>1.20234</v>
      </c>
      <c r="U32" s="53">
        <v>-17.29</v>
      </c>
      <c r="V32" s="3" t="str">
        <f t="shared" si="1"/>
        <v>Strata</v>
      </c>
      <c r="W32" s="3"/>
      <c r="X32" s="53"/>
      <c r="Y32" s="53"/>
      <c r="Z32" s="53"/>
      <c r="AA32" s="3" t="str">
        <f t="shared" si="6"/>
        <v/>
      </c>
      <c r="AB32" s="3"/>
      <c r="AC32" s="3"/>
      <c r="AD32" s="53"/>
      <c r="AE32" s="3" t="str">
        <f t="shared" si="2"/>
        <v/>
      </c>
      <c r="AF32" s="3" t="str">
        <f t="shared" si="7"/>
        <v/>
      </c>
      <c r="AG32" s="53" t="str">
        <f t="shared" si="8"/>
        <v/>
      </c>
      <c r="AH32" s="53" t="str">
        <f t="shared" si="9"/>
        <v/>
      </c>
      <c r="AI32" s="53" t="str">
        <f t="shared" si="10"/>
        <v/>
      </c>
      <c r="AJ32" s="3" t="str">
        <f t="shared" si="11"/>
        <v/>
      </c>
      <c r="AK32" s="3"/>
      <c r="AL32" s="3"/>
      <c r="AM32" s="53" t="str">
        <f t="shared" si="12"/>
        <v/>
      </c>
      <c r="AN32" s="3" t="str">
        <f t="shared" si="3"/>
        <v/>
      </c>
      <c r="AO32" s="4"/>
    </row>
    <row r="33" spans="2:41" x14ac:dyDescent="0.25">
      <c r="B33" s="7"/>
      <c r="C33" s="3"/>
      <c r="D33" s="3"/>
      <c r="E33" s="3"/>
      <c r="F33" s="4" t="str">
        <f t="shared" si="4"/>
        <v/>
      </c>
      <c r="G33" s="3"/>
      <c r="H33" s="3"/>
      <c r="I33" s="3"/>
      <c r="J33" s="3" t="str">
        <f>IF(H33="","",INDEX('Waluty z GBP'!$A$1:$I$26,MATCH(B33,'Waluty z GBP'!$A$1:$A$26,0),MATCH(E33,'Waluty z GBP'!$A$1:$I$1,0)))</f>
        <v/>
      </c>
      <c r="K33" s="3"/>
      <c r="L33" s="3"/>
      <c r="M33" s="3">
        <f t="shared" si="5"/>
        <v>0</v>
      </c>
      <c r="N33" s="3" t="str">
        <f t="shared" ref="N33:N38" si="13">IF(S33="","",IF($H33="Short",($D$3*$J33/($G33-$I33))*-1,(($D$3*$J33)/($I33-$G33))*-1)/$M33)</f>
        <v/>
      </c>
      <c r="O33" s="53" t="str">
        <f t="shared" ref="O33:O38" si="14">IF(S33="","",N33*$G33/$J33)</f>
        <v/>
      </c>
      <c r="P33" s="53"/>
      <c r="Q33" s="53"/>
      <c r="R33" s="3" t="str">
        <f t="shared" si="0"/>
        <v/>
      </c>
      <c r="S33" s="3"/>
      <c r="T33" s="3"/>
      <c r="U33" s="53"/>
      <c r="V33" s="3" t="str">
        <f t="shared" si="1"/>
        <v/>
      </c>
      <c r="W33" s="3"/>
      <c r="X33" s="53"/>
      <c r="Y33" s="53"/>
      <c r="Z33" s="53"/>
      <c r="AA33" s="3" t="str">
        <f t="shared" si="6"/>
        <v/>
      </c>
      <c r="AB33" s="3"/>
      <c r="AC33" s="3"/>
      <c r="AD33" s="53"/>
      <c r="AE33" s="3" t="str">
        <f t="shared" si="2"/>
        <v/>
      </c>
      <c r="AF33" s="3" t="str">
        <f t="shared" si="7"/>
        <v/>
      </c>
      <c r="AG33" s="53" t="str">
        <f t="shared" si="8"/>
        <v/>
      </c>
      <c r="AH33" s="53" t="str">
        <f t="shared" si="9"/>
        <v/>
      </c>
      <c r="AI33" s="53" t="str">
        <f t="shared" si="10"/>
        <v/>
      </c>
      <c r="AJ33" s="3" t="str">
        <f t="shared" si="11"/>
        <v/>
      </c>
      <c r="AK33" s="3"/>
      <c r="AL33" s="3"/>
      <c r="AM33" s="53" t="str">
        <f t="shared" si="12"/>
        <v/>
      </c>
      <c r="AN33" s="3" t="str">
        <f t="shared" si="3"/>
        <v/>
      </c>
      <c r="AO33" s="4"/>
    </row>
    <row r="34" spans="2:41" x14ac:dyDescent="0.25">
      <c r="B34" s="7"/>
      <c r="C34" s="3"/>
      <c r="D34" s="3"/>
      <c r="E34" s="3"/>
      <c r="F34" s="4" t="str">
        <f t="shared" si="4"/>
        <v/>
      </c>
      <c r="G34" s="3"/>
      <c r="H34" s="3"/>
      <c r="I34" s="3"/>
      <c r="J34" s="3" t="str">
        <f>IF(H34="","",INDEX('Waluty z GBP'!$A$1:$I$26,MATCH(B34,'Waluty z GBP'!$A$1:$A$26,0),MATCH(E34,'Waluty z GBP'!$A$1:$I$1,0)))</f>
        <v/>
      </c>
      <c r="K34" s="3"/>
      <c r="L34" s="3"/>
      <c r="M34" s="3">
        <f t="shared" si="5"/>
        <v>0</v>
      </c>
      <c r="N34" s="3" t="str">
        <f t="shared" si="13"/>
        <v/>
      </c>
      <c r="O34" s="53" t="str">
        <f t="shared" si="14"/>
        <v/>
      </c>
      <c r="P34" s="53"/>
      <c r="Q34" s="53"/>
      <c r="R34" s="3" t="str">
        <f t="shared" si="0"/>
        <v/>
      </c>
      <c r="S34" s="3"/>
      <c r="T34" s="3"/>
      <c r="U34" s="53"/>
      <c r="V34" s="3" t="str">
        <f t="shared" si="1"/>
        <v/>
      </c>
      <c r="W34" s="3" t="str">
        <f t="shared" ref="W34:W38" si="15">IF(AB34="","",IF($H34="Short",($D$3*$J34/($G34-$I34))*-1,(($D$3*$J34)/($I34-$G34))*-1)/$M34)</f>
        <v/>
      </c>
      <c r="X34" s="53" t="str">
        <f t="shared" ref="X34:X38" si="16">IF(AB34="","",W34*$G34/$J34)</f>
        <v/>
      </c>
      <c r="Y34" s="53"/>
      <c r="Z34" s="53"/>
      <c r="AA34" s="3" t="str">
        <f t="shared" si="6"/>
        <v/>
      </c>
      <c r="AB34" s="3"/>
      <c r="AC34" s="3"/>
      <c r="AD34" s="53"/>
      <c r="AE34" s="3" t="str">
        <f t="shared" si="2"/>
        <v/>
      </c>
      <c r="AF34" s="3" t="str">
        <f t="shared" si="7"/>
        <v/>
      </c>
      <c r="AG34" s="53" t="str">
        <f t="shared" si="8"/>
        <v/>
      </c>
      <c r="AH34" s="53" t="str">
        <f t="shared" si="9"/>
        <v/>
      </c>
      <c r="AI34" s="53" t="str">
        <f t="shared" si="10"/>
        <v/>
      </c>
      <c r="AJ34" s="3" t="str">
        <f t="shared" si="11"/>
        <v/>
      </c>
      <c r="AK34" s="3"/>
      <c r="AL34" s="3"/>
      <c r="AM34" s="53" t="str">
        <f t="shared" si="12"/>
        <v/>
      </c>
      <c r="AN34" s="3" t="str">
        <f t="shared" si="3"/>
        <v/>
      </c>
      <c r="AO34" s="4"/>
    </row>
    <row r="35" spans="2:41" x14ac:dyDescent="0.25">
      <c r="B35" s="7"/>
      <c r="C35" s="3"/>
      <c r="D35" s="3"/>
      <c r="E35" s="3"/>
      <c r="F35" s="4" t="str">
        <f t="shared" si="4"/>
        <v/>
      </c>
      <c r="G35" s="3"/>
      <c r="H35" s="3"/>
      <c r="I35" s="3"/>
      <c r="J35" s="3" t="str">
        <f>IF(H35="","",INDEX('Waluty z GBP'!$A$1:$I$26,MATCH(B35,'Waluty z GBP'!$A$1:$A$26,0),MATCH(E35,'Waluty z GBP'!$A$1:$I$1,0)))</f>
        <v/>
      </c>
      <c r="K35" s="3"/>
      <c r="L35" s="3"/>
      <c r="M35" s="3">
        <f t="shared" si="5"/>
        <v>0</v>
      </c>
      <c r="N35" s="3" t="str">
        <f t="shared" si="13"/>
        <v/>
      </c>
      <c r="O35" s="53" t="str">
        <f t="shared" si="14"/>
        <v/>
      </c>
      <c r="P35" s="53"/>
      <c r="Q35" s="53"/>
      <c r="R35" s="3" t="str">
        <f t="shared" si="0"/>
        <v/>
      </c>
      <c r="S35" s="3"/>
      <c r="T35" s="3"/>
      <c r="U35" s="53"/>
      <c r="V35" s="3" t="str">
        <f t="shared" si="1"/>
        <v/>
      </c>
      <c r="W35" s="3" t="str">
        <f t="shared" si="15"/>
        <v/>
      </c>
      <c r="X35" s="53" t="str">
        <f t="shared" si="16"/>
        <v/>
      </c>
      <c r="Y35" s="53"/>
      <c r="Z35" s="53"/>
      <c r="AA35" s="3" t="str">
        <f t="shared" si="6"/>
        <v/>
      </c>
      <c r="AB35" s="3"/>
      <c r="AC35" s="3"/>
      <c r="AD35" s="53"/>
      <c r="AE35" s="3" t="str">
        <f t="shared" si="2"/>
        <v/>
      </c>
      <c r="AF35" s="3" t="str">
        <f t="shared" si="7"/>
        <v/>
      </c>
      <c r="AG35" s="53" t="str">
        <f t="shared" si="8"/>
        <v/>
      </c>
      <c r="AH35" s="53" t="str">
        <f t="shared" si="9"/>
        <v/>
      </c>
      <c r="AI35" s="53" t="str">
        <f t="shared" si="10"/>
        <v/>
      </c>
      <c r="AJ35" s="3" t="str">
        <f t="shared" si="11"/>
        <v/>
      </c>
      <c r="AK35" s="3"/>
      <c r="AL35" s="3"/>
      <c r="AM35" s="53" t="str">
        <f t="shared" si="12"/>
        <v/>
      </c>
      <c r="AN35" s="3" t="str">
        <f t="shared" si="3"/>
        <v/>
      </c>
      <c r="AO35" s="4"/>
    </row>
    <row r="36" spans="2:41" x14ac:dyDescent="0.25">
      <c r="B36" s="7"/>
      <c r="C36" s="3"/>
      <c r="D36" s="3"/>
      <c r="E36" s="3"/>
      <c r="F36" s="4" t="str">
        <f t="shared" si="4"/>
        <v/>
      </c>
      <c r="G36" s="3"/>
      <c r="H36" s="3"/>
      <c r="I36" s="3"/>
      <c r="J36" s="3" t="str">
        <f>IF(H36="","",INDEX('Waluty z GBP'!$A$1:$I$26,MATCH(B36,'Waluty z GBP'!$A$1:$A$26,0),MATCH(E36,'Waluty z GBP'!$A$1:$I$1,0)))</f>
        <v/>
      </c>
      <c r="K36" s="3"/>
      <c r="L36" s="3"/>
      <c r="M36" s="3">
        <f t="shared" si="5"/>
        <v>0</v>
      </c>
      <c r="N36" s="3" t="str">
        <f t="shared" si="13"/>
        <v/>
      </c>
      <c r="O36" s="53" t="str">
        <f t="shared" si="14"/>
        <v/>
      </c>
      <c r="P36" s="53"/>
      <c r="Q36" s="53"/>
      <c r="R36" s="3" t="str">
        <f t="shared" si="0"/>
        <v/>
      </c>
      <c r="S36" s="3"/>
      <c r="T36" s="3"/>
      <c r="U36" s="53"/>
      <c r="V36" s="3" t="str">
        <f t="shared" si="1"/>
        <v/>
      </c>
      <c r="W36" s="3" t="str">
        <f t="shared" si="15"/>
        <v/>
      </c>
      <c r="X36" s="53" t="str">
        <f t="shared" si="16"/>
        <v/>
      </c>
      <c r="Y36" s="53"/>
      <c r="Z36" s="53"/>
      <c r="AA36" s="3" t="str">
        <f t="shared" si="6"/>
        <v/>
      </c>
      <c r="AB36" s="3"/>
      <c r="AC36" s="3"/>
      <c r="AD36" s="53"/>
      <c r="AE36" s="3" t="str">
        <f t="shared" si="2"/>
        <v/>
      </c>
      <c r="AF36" s="3" t="str">
        <f t="shared" si="7"/>
        <v/>
      </c>
      <c r="AG36" s="53" t="str">
        <f t="shared" si="8"/>
        <v/>
      </c>
      <c r="AH36" s="53" t="str">
        <f t="shared" si="9"/>
        <v/>
      </c>
      <c r="AI36" s="53" t="str">
        <f t="shared" si="10"/>
        <v/>
      </c>
      <c r="AJ36" s="3" t="str">
        <f t="shared" si="11"/>
        <v/>
      </c>
      <c r="AK36" s="3"/>
      <c r="AL36" s="3"/>
      <c r="AM36" s="53" t="str">
        <f t="shared" si="12"/>
        <v/>
      </c>
      <c r="AN36" s="3" t="str">
        <f t="shared" si="3"/>
        <v/>
      </c>
      <c r="AO36" s="4"/>
    </row>
    <row r="37" spans="2:41" x14ac:dyDescent="0.25">
      <c r="B37" s="7"/>
      <c r="C37" s="3"/>
      <c r="D37" s="3"/>
      <c r="E37" s="3"/>
      <c r="F37" s="4" t="str">
        <f t="shared" si="4"/>
        <v/>
      </c>
      <c r="G37" s="3"/>
      <c r="H37" s="3"/>
      <c r="I37" s="3"/>
      <c r="J37" s="3" t="str">
        <f>IF(H37="","",INDEX('Waluty z GBP'!$A$1:$I$26,MATCH(B37,'Waluty z GBP'!$A$1:$A$26,0),MATCH(E37,'Waluty z GBP'!$A$1:$I$1,0)))</f>
        <v/>
      </c>
      <c r="K37" s="3"/>
      <c r="L37" s="3"/>
      <c r="M37" s="3">
        <f t="shared" si="5"/>
        <v>0</v>
      </c>
      <c r="N37" s="3" t="str">
        <f t="shared" si="13"/>
        <v/>
      </c>
      <c r="O37" s="53" t="str">
        <f t="shared" si="14"/>
        <v/>
      </c>
      <c r="P37" s="53"/>
      <c r="Q37" s="53"/>
      <c r="R37" s="3" t="str">
        <f t="shared" si="0"/>
        <v/>
      </c>
      <c r="S37" s="3"/>
      <c r="T37" s="3"/>
      <c r="U37" s="53"/>
      <c r="V37" s="3" t="str">
        <f t="shared" si="1"/>
        <v/>
      </c>
      <c r="W37" s="3" t="str">
        <f t="shared" si="15"/>
        <v/>
      </c>
      <c r="X37" s="53" t="str">
        <f t="shared" si="16"/>
        <v/>
      </c>
      <c r="Y37" s="53"/>
      <c r="Z37" s="53"/>
      <c r="AA37" s="3" t="str">
        <f t="shared" si="6"/>
        <v/>
      </c>
      <c r="AB37" s="3"/>
      <c r="AC37" s="3"/>
      <c r="AD37" s="53"/>
      <c r="AE37" s="3" t="str">
        <f t="shared" si="2"/>
        <v/>
      </c>
      <c r="AF37" s="3" t="str">
        <f t="shared" si="7"/>
        <v/>
      </c>
      <c r="AG37" s="53" t="str">
        <f t="shared" si="8"/>
        <v/>
      </c>
      <c r="AH37" s="53" t="str">
        <f t="shared" si="9"/>
        <v/>
      </c>
      <c r="AI37" s="53" t="str">
        <f t="shared" si="10"/>
        <v/>
      </c>
      <c r="AJ37" s="3" t="str">
        <f t="shared" si="11"/>
        <v/>
      </c>
      <c r="AK37" s="3"/>
      <c r="AL37" s="3"/>
      <c r="AM37" s="53" t="str">
        <f t="shared" si="12"/>
        <v/>
      </c>
      <c r="AN37" s="3" t="str">
        <f t="shared" si="3"/>
        <v/>
      </c>
      <c r="AO37" s="4"/>
    </row>
    <row r="38" spans="2:41" ht="15.75" thickBot="1" x14ac:dyDescent="0.3">
      <c r="B38" s="10"/>
      <c r="C38" s="5"/>
      <c r="D38" s="3"/>
      <c r="E38" s="3"/>
      <c r="F38" s="4" t="str">
        <f t="shared" si="4"/>
        <v/>
      </c>
      <c r="G38" s="5"/>
      <c r="H38" s="5"/>
      <c r="I38" s="5"/>
      <c r="J38" s="3" t="str">
        <f>IF(H38="","",INDEX('Waluty z GBP'!$A$1:$I$26,MATCH(B38,'Waluty z GBP'!$A$1:$A$26,0),MATCH(E38,'Waluty z GBP'!$A$1:$I$1,0)))</f>
        <v/>
      </c>
      <c r="K38" s="5"/>
      <c r="L38" s="5"/>
      <c r="M38" s="3">
        <f t="shared" si="5"/>
        <v>0</v>
      </c>
      <c r="N38" s="3" t="str">
        <f t="shared" si="13"/>
        <v/>
      </c>
      <c r="O38" s="53" t="str">
        <f t="shared" si="14"/>
        <v/>
      </c>
      <c r="P38" s="53"/>
      <c r="Q38" s="53"/>
      <c r="R38" s="5" t="str">
        <f t="shared" si="0"/>
        <v/>
      </c>
      <c r="S38" s="5"/>
      <c r="T38" s="5"/>
      <c r="U38" s="53"/>
      <c r="V38" s="3" t="str">
        <f t="shared" si="1"/>
        <v/>
      </c>
      <c r="W38" s="3" t="str">
        <f t="shared" si="15"/>
        <v/>
      </c>
      <c r="X38" s="53" t="str">
        <f t="shared" si="16"/>
        <v/>
      </c>
      <c r="Y38" s="53" t="str">
        <f t="shared" ref="Y38" si="17">IF(AB38="","",IF($H38="Short",($G38*W38-W38*$I38)/$J38,(W38*$I38-$G38*W38)/$J38))</f>
        <v/>
      </c>
      <c r="Z38" s="53" t="str">
        <f t="shared" ref="Z38" si="18">IF(AB38="","",IF($H38="Short",($G38*W38-W38*AB38)/$J38,(W38*AB38-$G38*W38)/$J38))</f>
        <v/>
      </c>
      <c r="AA38" s="5" t="str">
        <f t="shared" si="6"/>
        <v/>
      </c>
      <c r="AB38" s="5"/>
      <c r="AC38" s="5"/>
      <c r="AD38" s="53" t="str">
        <f t="shared" ref="AD38" si="19">IF(AC38="","",IF($H38="Short",($G38*W38-W38*AC38)/$J38,(W38*AC38-$G38*W38)/$J38))</f>
        <v/>
      </c>
      <c r="AE38" s="3" t="str">
        <f t="shared" si="2"/>
        <v/>
      </c>
      <c r="AF38" s="3" t="str">
        <f t="shared" ref="AF38" si="20">IF(AK38="","",IF($H38="Short",($D$3*$J38/($G38-$I38))*-1,(($D$3*$J38)/($I38-$G38))*-1))</f>
        <v/>
      </c>
      <c r="AG38" s="53" t="str">
        <f t="shared" si="8"/>
        <v/>
      </c>
      <c r="AH38" s="53" t="str">
        <f t="shared" si="9"/>
        <v/>
      </c>
      <c r="AI38" s="53" t="str">
        <f t="shared" si="10"/>
        <v/>
      </c>
      <c r="AJ38" s="5" t="str">
        <f t="shared" si="11"/>
        <v/>
      </c>
      <c r="AK38" s="5"/>
      <c r="AL38" s="5"/>
      <c r="AM38" s="53" t="str">
        <f t="shared" si="12"/>
        <v/>
      </c>
      <c r="AN38" s="3" t="str">
        <f t="shared" si="3"/>
        <v/>
      </c>
      <c r="AO38" s="6"/>
    </row>
    <row r="39" spans="2:41" ht="32.25" thickBot="1" x14ac:dyDescent="0.3">
      <c r="C39" s="60" t="s">
        <v>45</v>
      </c>
      <c r="D39" s="61" t="s">
        <v>67</v>
      </c>
      <c r="E39" s="61" t="s">
        <v>43</v>
      </c>
      <c r="H39" s="29" t="s">
        <v>54</v>
      </c>
      <c r="J39" s="100" t="s">
        <v>51</v>
      </c>
      <c r="K39" s="101"/>
      <c r="L39" s="30" t="s">
        <v>37</v>
      </c>
      <c r="O39" s="30" t="s">
        <v>95</v>
      </c>
      <c r="Q39" s="29" t="s">
        <v>41</v>
      </c>
      <c r="T39" s="44" t="s">
        <v>42</v>
      </c>
      <c r="Z39" s="29" t="s">
        <v>41</v>
      </c>
      <c r="AC39" s="29" t="s">
        <v>42</v>
      </c>
      <c r="AI39" s="29" t="s">
        <v>41</v>
      </c>
      <c r="AL39" s="29" t="s">
        <v>42</v>
      </c>
    </row>
    <row r="40" spans="2:41" ht="15.75" thickBot="1" x14ac:dyDescent="0.3">
      <c r="C40" s="62">
        <f>COUNTIF(F6:F38,"NIE")</f>
        <v>8</v>
      </c>
      <c r="D40" s="63">
        <f>COUNTIF(F6:F38,"NEUTRALNA")</f>
        <v>3</v>
      </c>
      <c r="E40" s="64">
        <f>COUNTIF(F6:F38,"TAK")</f>
        <v>16</v>
      </c>
      <c r="G40" s="41" t="s">
        <v>46</v>
      </c>
      <c r="H40" s="28">
        <f>SUM(T40,AC40,AL40)</f>
        <v>215.31876581205145</v>
      </c>
      <c r="I40" s="70">
        <f>H40/($H$40+($H$41*-1))</f>
        <v>0.60544233787450341</v>
      </c>
      <c r="J40" s="3" t="s">
        <v>35</v>
      </c>
      <c r="K40" s="49">
        <f>COUNTIF(L$6:L$38,"TAK")</f>
        <v>22</v>
      </c>
      <c r="L40" s="22">
        <f>K40/SUM(K$40:K$42)</f>
        <v>0.81481481481481477</v>
      </c>
      <c r="O40" s="24">
        <f>SUM(O6:O38)</f>
        <v>1920.8400000000004</v>
      </c>
      <c r="Q40" s="26">
        <f>AVERAGE(R6:R38)</f>
        <v>1.4820658038006582</v>
      </c>
      <c r="S40" s="41" t="s">
        <v>46</v>
      </c>
      <c r="T40" s="45">
        <f>SUMIF(U6:U38,"&gt;0")</f>
        <v>133.32682272900951</v>
      </c>
      <c r="Z40" s="26">
        <f>AVERAGE(AA6:AA38)</f>
        <v>0.82613532865554296</v>
      </c>
      <c r="AB40" s="41" t="s">
        <v>46</v>
      </c>
      <c r="AC40" s="45">
        <f>SUMIF(AD6:AD38,"&gt;0")</f>
        <v>79.961943083041945</v>
      </c>
      <c r="AI40" s="26">
        <f>AVERAGE(AJ6:AJ38)</f>
        <v>0.85734664764621971</v>
      </c>
      <c r="AK40" s="41" t="s">
        <v>46</v>
      </c>
      <c r="AL40" s="45">
        <f>SUMIF(AM6:AM38,"&gt;0")</f>
        <v>2.0299999999999998</v>
      </c>
    </row>
    <row r="41" spans="2:41" ht="15.75" thickBot="1" x14ac:dyDescent="0.3">
      <c r="C41" s="65">
        <f>C40/SUM($C$40:$E$40)</f>
        <v>0.29629629629629628</v>
      </c>
      <c r="D41" s="66">
        <f>D40/SUM($C$40:$E$40)</f>
        <v>0.1111111111111111</v>
      </c>
      <c r="E41" s="67">
        <f>E40/SUM($C$40:$E$40)</f>
        <v>0.59259259259259256</v>
      </c>
      <c r="G41" s="42" t="s">
        <v>47</v>
      </c>
      <c r="H41" s="28">
        <f t="shared" ref="H41:H42" si="21">SUM(T41,AC41,AL41)</f>
        <v>-140.32</v>
      </c>
      <c r="I41" s="70">
        <f>(H41*-1)/($H$40+($H$41*-1))</f>
        <v>0.39455766212549653</v>
      </c>
      <c r="J41" s="3" t="s">
        <v>34</v>
      </c>
      <c r="K41" s="21">
        <f>COUNTIF(L$6:L$38,"NIE")</f>
        <v>4</v>
      </c>
      <c r="L41" s="22">
        <f t="shared" ref="L41:L42" si="22">K41/SUM(K$40:K$42)</f>
        <v>0.14814814814814814</v>
      </c>
      <c r="S41" s="42" t="s">
        <v>47</v>
      </c>
      <c r="T41" s="46">
        <f>SUMIF(U6:U38,"&lt;0")</f>
        <v>-98.65</v>
      </c>
      <c r="AB41" s="42" t="s">
        <v>47</v>
      </c>
      <c r="AC41" s="46">
        <f>SUMIF(AD6:AD38,"&lt;0")</f>
        <v>-41.669999999999995</v>
      </c>
      <c r="AK41" s="42" t="s">
        <v>47</v>
      </c>
      <c r="AL41" s="46">
        <f>SUMIF(AM6:AM38,"&lt;0")</f>
        <v>0</v>
      </c>
    </row>
    <row r="42" spans="2:41" ht="15.75" thickBot="1" x14ac:dyDescent="0.3">
      <c r="C42" s="68">
        <f>C40/SUM($C$40,$E$40)</f>
        <v>0.33333333333333331</v>
      </c>
      <c r="E42" s="68">
        <f>E40/SUM($C$40,$E$40)</f>
        <v>0.66666666666666663</v>
      </c>
      <c r="G42" s="43" t="s">
        <v>48</v>
      </c>
      <c r="H42" s="28">
        <f t="shared" si="21"/>
        <v>74.998765812051488</v>
      </c>
      <c r="J42" s="3" t="s">
        <v>36</v>
      </c>
      <c r="K42" s="21">
        <f>COUNTIF(L$6:L$38,"TRWA")</f>
        <v>1</v>
      </c>
      <c r="L42" s="22">
        <f t="shared" si="22"/>
        <v>3.7037037037037035E-2</v>
      </c>
      <c r="S42" s="43" t="s">
        <v>48</v>
      </c>
      <c r="T42" s="47">
        <f>SUM(U6:U38)</f>
        <v>34.676822729009551</v>
      </c>
      <c r="AB42" s="43" t="s">
        <v>48</v>
      </c>
      <c r="AC42" s="47">
        <f>SUM(AD6:AD38)</f>
        <v>38.291943083041936</v>
      </c>
      <c r="AK42" s="43" t="s">
        <v>48</v>
      </c>
      <c r="AL42" s="47">
        <f>SUM(AM6:AM38)</f>
        <v>2.0299999999999998</v>
      </c>
    </row>
    <row r="43" spans="2:41" ht="15.75" thickBot="1" x14ac:dyDescent="0.3"/>
    <row r="44" spans="2:41" ht="15.75" thickBot="1" x14ac:dyDescent="0.3">
      <c r="C44" s="68">
        <f>C40/SUM($C$40,D40,$E$40)</f>
        <v>0.29629629629629628</v>
      </c>
      <c r="D44" s="103">
        <f>(D40+E40)/(C40+D40+E40)</f>
        <v>0.70370370370370372</v>
      </c>
      <c r="E44" s="103"/>
      <c r="H44" s="27" t="s">
        <v>49</v>
      </c>
    </row>
    <row r="45" spans="2:41" ht="15.75" thickBot="1" x14ac:dyDescent="0.3">
      <c r="G45" s="48" t="s">
        <v>50</v>
      </c>
      <c r="H45" s="26">
        <f>AVERAGE(R6:R38,AA6:AA38,AJ6:AJ38)</f>
        <v>1.195746456736976</v>
      </c>
    </row>
    <row r="47" spans="2:41" ht="18.75" x14ac:dyDescent="0.25">
      <c r="G47" s="48" t="s">
        <v>71</v>
      </c>
      <c r="H47" s="74">
        <f>SUM(P6:P37,Y6:Y38,AH6:AH38)*-1</f>
        <v>579.72004071510923</v>
      </c>
      <c r="I47" s="73" t="s">
        <v>70</v>
      </c>
      <c r="J47" s="74">
        <f>H42</f>
        <v>74.998765812051488</v>
      </c>
    </row>
    <row r="48" spans="2:41" ht="18.75" x14ac:dyDescent="0.25">
      <c r="I48" s="73" t="s">
        <v>72</v>
      </c>
      <c r="J48" s="75">
        <f>J47/H47</f>
        <v>0.12937066263836133</v>
      </c>
    </row>
  </sheetData>
  <mergeCells count="4">
    <mergeCell ref="G4:AN4"/>
    <mergeCell ref="J39:K39"/>
    <mergeCell ref="B3:C3"/>
    <mergeCell ref="D44:E44"/>
  </mergeCells>
  <conditionalFormatting sqref="L6:L38">
    <cfRule type="containsText" dxfId="23" priority="55" operator="containsText" text="TAK">
      <formula>NOT(ISERROR(SEARCH("TAK",L6)))</formula>
    </cfRule>
    <cfRule type="containsText" dxfId="22" priority="56" operator="containsText" text="TRWA">
      <formula>NOT(ISERROR(SEARCH("TRWA",L6)))</formula>
    </cfRule>
    <cfRule type="containsText" dxfId="21" priority="57" operator="containsText" text="NIE">
      <formula>NOT(ISERROR(SEARCH("NIE",L6)))</formula>
    </cfRule>
  </conditionalFormatting>
  <conditionalFormatting sqref="J41">
    <cfRule type="containsText" dxfId="20" priority="52" operator="containsText" text="TAK">
      <formula>NOT(ISERROR(SEARCH("TAK",J41)))</formula>
    </cfRule>
    <cfRule type="containsText" dxfId="19" priority="53" operator="containsText" text="TRWA">
      <formula>NOT(ISERROR(SEARCH("TRWA",J41)))</formula>
    </cfRule>
    <cfRule type="containsText" dxfId="18" priority="54" operator="containsText" text="NIE">
      <formula>NOT(ISERROR(SEARCH("NIE",J41)))</formula>
    </cfRule>
  </conditionalFormatting>
  <conditionalFormatting sqref="J40">
    <cfRule type="containsText" dxfId="17" priority="49" operator="containsText" text="TAK">
      <formula>NOT(ISERROR(SEARCH("TAK",J40)))</formula>
    </cfRule>
    <cfRule type="containsText" dxfId="16" priority="50" operator="containsText" text="TRWA">
      <formula>NOT(ISERROR(SEARCH("TRWA",J40)))</formula>
    </cfRule>
    <cfRule type="containsText" dxfId="15" priority="51" operator="containsText" text="NIE">
      <formula>NOT(ISERROR(SEARCH("NIE",J40)))</formula>
    </cfRule>
  </conditionalFormatting>
  <conditionalFormatting sqref="J42">
    <cfRule type="containsText" dxfId="14" priority="46" operator="containsText" text="TAK">
      <formula>NOT(ISERROR(SEARCH("TAK",J42)))</formula>
    </cfRule>
    <cfRule type="containsText" dxfId="13" priority="47" operator="containsText" text="TRWA">
      <formula>NOT(ISERROR(SEARCH("TRWA",J42)))</formula>
    </cfRule>
    <cfRule type="containsText" dxfId="12" priority="48" operator="containsText" text="NIE">
      <formula>NOT(ISERROR(SEARCH("NIE",J42)))</formula>
    </cfRule>
  </conditionalFormatting>
  <conditionalFormatting sqref="L40:L4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:R3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A3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">
    <cfRule type="colorScale" priority="42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Q40">
    <cfRule type="colorScale" priority="41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AJ6:AJ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">
    <cfRule type="colorScale" priority="39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H40:H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0:T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0:AC4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0:AL4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">
    <cfRule type="colorScale" priority="29">
      <colorScale>
        <cfvo type="min"/>
        <cfvo type="num" val="1"/>
        <cfvo type="max"/>
        <color rgb="FF92D050"/>
        <color rgb="FFFFEB84"/>
        <color rgb="FFFC7404"/>
      </colorScale>
    </cfRule>
  </conditionalFormatting>
  <conditionalFormatting sqref="F6:F38">
    <cfRule type="containsText" dxfId="11" priority="20" operator="containsText" text="TAK">
      <formula>NOT(ISERROR(SEARCH("TAK",F6)))</formula>
    </cfRule>
    <cfRule type="containsText" dxfId="10" priority="21" operator="containsText" text="TRWA">
      <formula>NOT(ISERROR(SEARCH("TRWA",F6)))</formula>
    </cfRule>
    <cfRule type="containsText" dxfId="9" priority="22" operator="containsText" text="NIE">
      <formula>NOT(ISERROR(SEARCH("NIE",F6)))</formula>
    </cfRule>
  </conditionalFormatting>
  <conditionalFormatting sqref="V6:V38">
    <cfRule type="containsText" dxfId="8" priority="14" operator="containsText" text="Strata">
      <formula>NOT(ISERROR(SEARCH("Strata",V6)))</formula>
    </cfRule>
    <cfRule type="containsText" dxfId="7" priority="15" operator="containsText" text="Zysk">
      <formula>NOT(ISERROR(SEARCH("Zysk",V6)))</formula>
    </cfRule>
  </conditionalFormatting>
  <conditionalFormatting sqref="AE6:AE38">
    <cfRule type="containsText" dxfId="6" priority="12" operator="containsText" text="Strata">
      <formula>NOT(ISERROR(SEARCH("Strata",AE6)))</formula>
    </cfRule>
    <cfRule type="containsText" dxfId="5" priority="13" operator="containsText" text="Zysk">
      <formula>NOT(ISERROR(SEARCH("Zysk",AE6)))</formula>
    </cfRule>
  </conditionalFormatting>
  <conditionalFormatting sqref="AN6:AN38">
    <cfRule type="containsText" dxfId="4" priority="10" operator="containsText" text="Strata">
      <formula>NOT(ISERROR(SEARCH("Strata",AN6)))</formula>
    </cfRule>
    <cfRule type="containsText" dxfId="3" priority="11" operator="containsText" text="Zysk">
      <formula>NOT(ISERROR(SEARCH("Zysk",AN6)))</formula>
    </cfRule>
  </conditionalFormatting>
  <conditionalFormatting sqref="C42 E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E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E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E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:M38">
    <cfRule type="containsText" dxfId="2" priority="2" operator="containsText" text="TAK">
      <formula>NOT(ISERROR(SEARCH("TAK",M6)))</formula>
    </cfRule>
    <cfRule type="containsText" dxfId="1" priority="3" operator="containsText" text="TRWA">
      <formula>NOT(ISERROR(SEARCH("TRWA",M6)))</formula>
    </cfRule>
    <cfRule type="containsText" dxfId="0" priority="4" operator="containsText" text="NIE">
      <formula>NOT(ISERROR(SEARCH("NIE",M6)))</formula>
    </cfRule>
  </conditionalFormatting>
  <conditionalFormatting sqref="I40:I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2475-9632-4CB5-95B4-D3619DCA9B62}">
  <dimension ref="A2:R22"/>
  <sheetViews>
    <sheetView tabSelected="1" workbookViewId="0">
      <selection activeCell="N20" sqref="N20"/>
    </sheetView>
  </sheetViews>
  <sheetFormatPr defaultColWidth="15.140625" defaultRowHeight="15" x14ac:dyDescent="0.25"/>
  <cols>
    <col min="1" max="9" width="15.140625" style="83"/>
    <col min="10" max="10" width="15.140625" style="85"/>
    <col min="11" max="11" width="15.140625" style="84"/>
    <col min="12" max="16384" width="15.140625" style="83"/>
  </cols>
  <sheetData>
    <row r="2" spans="1:18" x14ac:dyDescent="0.25">
      <c r="E2" s="104" t="s">
        <v>74</v>
      </c>
      <c r="F2" s="104"/>
      <c r="G2" s="87"/>
      <c r="L2" s="83" t="s">
        <v>76</v>
      </c>
    </row>
    <row r="3" spans="1:18" x14ac:dyDescent="0.25">
      <c r="E3" s="83" t="s">
        <v>75</v>
      </c>
      <c r="F3" s="83" t="s">
        <v>38</v>
      </c>
      <c r="L3" s="83" t="s">
        <v>12</v>
      </c>
      <c r="P3" s="83">
        <f>F7</f>
        <v>4577.5</v>
      </c>
      <c r="Q3" s="83" t="s">
        <v>15</v>
      </c>
    </row>
    <row r="4" spans="1:18" x14ac:dyDescent="0.25">
      <c r="C4" s="83" t="s">
        <v>62</v>
      </c>
      <c r="E4" s="83" t="s">
        <v>58</v>
      </c>
      <c r="F4" s="83" t="s">
        <v>59</v>
      </c>
      <c r="L4" s="83" t="s">
        <v>79</v>
      </c>
      <c r="O4" s="83">
        <f>O6-O5</f>
        <v>-8.1750000000000433E-2</v>
      </c>
      <c r="P4" s="83">
        <f>O4*P3</f>
        <v>-374.21062500000198</v>
      </c>
      <c r="Q4" s="83" t="s">
        <v>78</v>
      </c>
      <c r="R4" s="83">
        <f>R5-R6</f>
        <v>5.4620000000000779E-2</v>
      </c>
    </row>
    <row r="5" spans="1:18" x14ac:dyDescent="0.25">
      <c r="C5" s="83">
        <v>1</v>
      </c>
      <c r="E5" s="83">
        <v>1.1752</v>
      </c>
      <c r="F5" s="83">
        <v>4.5774999999999997</v>
      </c>
      <c r="L5" s="83" t="s">
        <v>2</v>
      </c>
      <c r="O5" s="3">
        <v>4.6592500000000001</v>
      </c>
      <c r="P5" s="3"/>
      <c r="Q5" s="83" t="s">
        <v>3</v>
      </c>
      <c r="R5" s="3">
        <v>4.5559200000000004</v>
      </c>
    </row>
    <row r="6" spans="1:18" x14ac:dyDescent="0.25">
      <c r="A6" s="83" t="s">
        <v>80</v>
      </c>
      <c r="C6" s="83">
        <v>20</v>
      </c>
      <c r="E6" s="83">
        <f>C6*E5</f>
        <v>23.504000000000001</v>
      </c>
      <c r="F6" s="83">
        <f>E6*F5</f>
        <v>107.58955999999999</v>
      </c>
      <c r="L6" s="83" t="s">
        <v>77</v>
      </c>
      <c r="O6" s="3">
        <v>4.5774999999999997</v>
      </c>
      <c r="P6" s="3"/>
      <c r="Q6" s="83" t="s">
        <v>77</v>
      </c>
      <c r="R6" s="3">
        <v>4.5012999999999996</v>
      </c>
    </row>
    <row r="7" spans="1:18" ht="30" x14ac:dyDescent="0.25">
      <c r="A7" s="83" t="s">
        <v>81</v>
      </c>
      <c r="E7" s="83">
        <v>1000</v>
      </c>
      <c r="F7" s="83">
        <f>E7*F5</f>
        <v>4577.5</v>
      </c>
      <c r="L7" s="83" t="s">
        <v>3</v>
      </c>
      <c r="O7" s="3">
        <v>4.5218100000000003</v>
      </c>
      <c r="P7" s="3"/>
      <c r="Q7" s="83" t="s">
        <v>2</v>
      </c>
      <c r="R7" s="3">
        <v>4.4515399999999996</v>
      </c>
    </row>
    <row r="8" spans="1:18" x14ac:dyDescent="0.25">
      <c r="C8" s="83">
        <f>E8/E5</f>
        <v>-14.930005395256563</v>
      </c>
      <c r="E8" s="83">
        <f>F8-E7</f>
        <v>-17.545742340505512</v>
      </c>
      <c r="F8" s="83">
        <f>F7/O5</f>
        <v>982.45425765949449</v>
      </c>
      <c r="L8" s="83" t="s">
        <v>78</v>
      </c>
      <c r="O8" s="83">
        <f>O6-O7</f>
        <v>5.5689999999999351E-2</v>
      </c>
      <c r="Q8" s="83" t="s">
        <v>79</v>
      </c>
      <c r="R8" s="83">
        <f>R7-R6</f>
        <v>-4.9760000000000026E-2</v>
      </c>
    </row>
    <row r="12" spans="1:18" ht="15.75" thickBot="1" x14ac:dyDescent="0.3">
      <c r="E12" s="104" t="s">
        <v>74</v>
      </c>
      <c r="F12" s="104"/>
      <c r="G12" s="87"/>
    </row>
    <row r="13" spans="1:18" ht="45.75" thickBot="1" x14ac:dyDescent="0.3">
      <c r="A13" s="83" t="s">
        <v>1</v>
      </c>
      <c r="B13" s="83" t="s">
        <v>87</v>
      </c>
      <c r="C13" s="88" t="s">
        <v>82</v>
      </c>
      <c r="D13" s="89" t="s">
        <v>91</v>
      </c>
      <c r="E13" s="90" t="s">
        <v>89</v>
      </c>
      <c r="F13" s="90" t="s">
        <v>83</v>
      </c>
      <c r="G13" s="90" t="s">
        <v>92</v>
      </c>
      <c r="H13" s="90" t="s">
        <v>90</v>
      </c>
      <c r="I13" s="90" t="s">
        <v>2</v>
      </c>
      <c r="J13" s="91" t="s">
        <v>88</v>
      </c>
      <c r="K13" s="92" t="s">
        <v>24</v>
      </c>
      <c r="L13" s="90" t="s">
        <v>3</v>
      </c>
      <c r="M13" s="90" t="s">
        <v>88</v>
      </c>
      <c r="N13" s="90" t="s">
        <v>39</v>
      </c>
      <c r="O13" s="90" t="s">
        <v>84</v>
      </c>
      <c r="P13" s="90" t="s">
        <v>88</v>
      </c>
      <c r="Q13" s="93" t="s">
        <v>85</v>
      </c>
    </row>
    <row r="14" spans="1:18" x14ac:dyDescent="0.25">
      <c r="A14" s="83" t="s">
        <v>86</v>
      </c>
      <c r="B14" s="83" t="s">
        <v>58</v>
      </c>
      <c r="C14" s="83">
        <v>-20</v>
      </c>
      <c r="D14" s="85">
        <f>(C14*$E$5)*E14/K14</f>
        <v>1574.2794043106924</v>
      </c>
      <c r="E14" s="83">
        <v>1390.6507650000001</v>
      </c>
      <c r="F14" s="3">
        <v>4.5774999999999997</v>
      </c>
      <c r="G14" s="3">
        <f>E14*F14</f>
        <v>6365.7038767875001</v>
      </c>
      <c r="H14" s="87" t="s">
        <v>12</v>
      </c>
      <c r="I14" s="3">
        <v>4.6592500000000001</v>
      </c>
      <c r="J14" s="86">
        <f>G14/I14</f>
        <v>1366.2507649916831</v>
      </c>
      <c r="K14" s="84">
        <f>IF($H14="Long",$E14-(($E14*F14)/I14),(($E14*F14)/I14)-$E14)/$E$5</f>
        <v>-20.762423424367736</v>
      </c>
      <c r="L14" s="3">
        <v>4.5218100000000003</v>
      </c>
      <c r="M14" s="3">
        <f>G14/L14</f>
        <v>1407.7778316177591</v>
      </c>
      <c r="N14" s="83">
        <f>IF(H14="Short",M14-E14,E14-M14)/$E$5</f>
        <v>14.57374627106795</v>
      </c>
      <c r="O14" s="3">
        <v>4.6592500000000001</v>
      </c>
    </row>
    <row r="15" spans="1:18" x14ac:dyDescent="0.25">
      <c r="A15" s="83" t="s">
        <v>86</v>
      </c>
      <c r="B15" s="83" t="s">
        <v>58</v>
      </c>
      <c r="C15" s="83">
        <v>-20</v>
      </c>
      <c r="D15" s="85">
        <f>(C15*$E$5)*E15/K15</f>
        <v>2471.0610186341141</v>
      </c>
      <c r="E15" s="83">
        <v>2182.8290999999999</v>
      </c>
      <c r="F15" s="3">
        <v>4.5012999999999996</v>
      </c>
      <c r="G15" s="3">
        <f>E15*F15</f>
        <v>9825.5686278299981</v>
      </c>
      <c r="H15" s="3" t="s">
        <v>15</v>
      </c>
      <c r="I15" s="3">
        <v>4.4515399999999996</v>
      </c>
      <c r="J15" s="86">
        <f>G15/I15</f>
        <v>2207.2291000035939</v>
      </c>
      <c r="K15" s="84">
        <f t="shared" ref="K15:K19" si="0">IF($H15="Long",$E15-(($E15*F15)/I15),(($E15*F15)/I15)-$E15)/$E$5</f>
        <v>-20.762423420348842</v>
      </c>
      <c r="L15" s="3">
        <v>4.5559200000000004</v>
      </c>
      <c r="M15" s="3">
        <f>G15/L15</f>
        <v>2156.659605047937</v>
      </c>
      <c r="N15" s="83">
        <f t="shared" ref="N15:N19" si="1">IF(H15="Short",M15-E15,E15-M15)/$E$5</f>
        <v>22.268120279154957</v>
      </c>
      <c r="O15" s="3">
        <v>4.4515399999999996</v>
      </c>
    </row>
    <row r="16" spans="1:18" x14ac:dyDescent="0.25">
      <c r="A16" s="83" t="s">
        <v>93</v>
      </c>
      <c r="B16" s="83" t="s">
        <v>58</v>
      </c>
      <c r="C16" s="83">
        <v>-10</v>
      </c>
      <c r="D16" s="85">
        <f t="shared" ref="D16:D22" si="2">(C16*$E$5)*E16/K16</f>
        <v>114.16956819253112</v>
      </c>
      <c r="E16" s="83">
        <v>97.15</v>
      </c>
      <c r="F16" s="3">
        <v>1260.9000000000001</v>
      </c>
      <c r="G16" s="3">
        <f t="shared" ref="G16:G22" si="3">E16*F16</f>
        <v>122496.43500000001</v>
      </c>
      <c r="H16" s="3" t="s">
        <v>12</v>
      </c>
      <c r="I16" s="3">
        <v>1434.42</v>
      </c>
      <c r="J16" s="86">
        <f t="shared" ref="J16:J22" si="4">G16/I16</f>
        <v>85.397885556531563</v>
      </c>
      <c r="K16" s="84">
        <f t="shared" si="0"/>
        <v>-10.000097382120867</v>
      </c>
      <c r="L16" s="3">
        <v>1194.6300000000001</v>
      </c>
      <c r="M16" s="3">
        <f t="shared" ref="M16:M22" si="5">G16/L16</f>
        <v>102.53922553426584</v>
      </c>
      <c r="N16" s="83">
        <f t="shared" si="1"/>
        <v>4.5857943620369577</v>
      </c>
      <c r="O16" s="3">
        <v>1194.6300000000001</v>
      </c>
    </row>
    <row r="17" spans="1:15" x14ac:dyDescent="0.25">
      <c r="A17" s="83" t="s">
        <v>93</v>
      </c>
      <c r="B17" s="83" t="s">
        <v>58</v>
      </c>
      <c r="C17" s="83">
        <v>-10</v>
      </c>
      <c r="D17" s="85">
        <f t="shared" si="2"/>
        <v>114.16956819253112</v>
      </c>
      <c r="E17" s="83">
        <v>97.15</v>
      </c>
      <c r="F17" s="3">
        <v>1260.9000000000001</v>
      </c>
      <c r="G17" s="3">
        <f t="shared" si="3"/>
        <v>122496.43500000001</v>
      </c>
      <c r="H17" s="3" t="s">
        <v>12</v>
      </c>
      <c r="I17" s="3">
        <v>1434.42</v>
      </c>
      <c r="J17" s="86">
        <f t="shared" si="4"/>
        <v>85.397885556531563</v>
      </c>
      <c r="K17" s="84">
        <f t="shared" si="0"/>
        <v>-10.000097382120867</v>
      </c>
      <c r="L17" s="3">
        <v>1035.75</v>
      </c>
      <c r="M17" s="3">
        <f t="shared" si="5"/>
        <v>118.2683417813179</v>
      </c>
      <c r="N17" s="83">
        <f t="shared" si="1"/>
        <v>17.969998112081257</v>
      </c>
      <c r="O17" s="3">
        <v>1194.6300000000001</v>
      </c>
    </row>
    <row r="18" spans="1:15" x14ac:dyDescent="0.25">
      <c r="A18" s="83" t="s">
        <v>94</v>
      </c>
      <c r="B18" s="83" t="s">
        <v>58</v>
      </c>
      <c r="C18" s="83">
        <v>-10</v>
      </c>
      <c r="D18" s="85">
        <f t="shared" si="2"/>
        <v>536.91714742474608</v>
      </c>
      <c r="E18" s="83">
        <v>456.87</v>
      </c>
      <c r="F18" s="3">
        <v>16575</v>
      </c>
      <c r="G18" s="3">
        <f t="shared" si="3"/>
        <v>7572620.25</v>
      </c>
      <c r="H18" s="3" t="s">
        <v>12</v>
      </c>
      <c r="I18" s="3">
        <v>17012.61</v>
      </c>
      <c r="J18" s="86">
        <f t="shared" si="4"/>
        <v>445.1180771204418</v>
      </c>
      <c r="K18" s="84">
        <f t="shared" si="0"/>
        <v>-9.9999343767513675</v>
      </c>
      <c r="L18" s="3">
        <v>16191.57</v>
      </c>
      <c r="M18" s="3">
        <f t="shared" si="5"/>
        <v>467.68906597692506</v>
      </c>
      <c r="N18" s="83">
        <f t="shared" si="1"/>
        <v>9.2061487210049862</v>
      </c>
      <c r="O18" s="3">
        <v>16191.57</v>
      </c>
    </row>
    <row r="19" spans="1:15" x14ac:dyDescent="0.25">
      <c r="A19" s="83" t="s">
        <v>94</v>
      </c>
      <c r="B19" s="83" t="s">
        <v>58</v>
      </c>
      <c r="C19" s="83">
        <v>-10</v>
      </c>
      <c r="D19" s="85">
        <f t="shared" si="2"/>
        <v>536.91714742474608</v>
      </c>
      <c r="E19" s="83">
        <v>456.87</v>
      </c>
      <c r="F19" s="3">
        <v>16575</v>
      </c>
      <c r="G19" s="3">
        <f t="shared" si="3"/>
        <v>7572620.25</v>
      </c>
      <c r="H19" s="3" t="s">
        <v>12</v>
      </c>
      <c r="I19" s="3">
        <v>17012.61</v>
      </c>
      <c r="J19" s="86">
        <f t="shared" si="4"/>
        <v>445.1180771204418</v>
      </c>
      <c r="K19" s="84">
        <f t="shared" si="0"/>
        <v>-9.9999343767513675</v>
      </c>
      <c r="L19" s="3">
        <v>15803.75</v>
      </c>
      <c r="M19" s="3">
        <f t="shared" si="5"/>
        <v>479.16603654195995</v>
      </c>
      <c r="N19" s="83">
        <f t="shared" si="1"/>
        <v>18.972120951293356</v>
      </c>
      <c r="O19" s="3">
        <v>16191.57</v>
      </c>
    </row>
    <row r="20" spans="1:15" x14ac:dyDescent="0.25">
      <c r="A20" s="83" t="s">
        <v>93</v>
      </c>
      <c r="B20" s="83" t="s">
        <v>58</v>
      </c>
      <c r="C20" s="83">
        <v>-20</v>
      </c>
      <c r="D20" s="85">
        <f>(C20)*E20/K20</f>
        <v>426.42048617554212</v>
      </c>
      <c r="E20" s="83">
        <v>426.42</v>
      </c>
      <c r="F20" s="3">
        <v>1202.8800000000001</v>
      </c>
      <c r="G20" s="3">
        <f t="shared" si="3"/>
        <v>512932.08960000006</v>
      </c>
      <c r="H20" s="3" t="s">
        <v>15</v>
      </c>
      <c r="I20" s="3">
        <v>1148.99</v>
      </c>
      <c r="J20" s="86">
        <f t="shared" si="4"/>
        <v>446.41997719736469</v>
      </c>
      <c r="K20" s="84">
        <f t="shared" ref="K20:K22" si="6">IF($H20="Long",$E20-(($E20*F20)/I20),(($E20*F20)/I20)-$E20)</f>
        <v>-19.999977197364672</v>
      </c>
      <c r="L20" s="3">
        <v>1254.7</v>
      </c>
      <c r="M20" s="3">
        <f t="shared" si="5"/>
        <v>408.80855152626128</v>
      </c>
      <c r="N20" s="83">
        <f t="shared" ref="N20:N22" si="7">IF(H20="Short",M20-E20,E20-M20)</f>
        <v>17.611448473738733</v>
      </c>
      <c r="O20" s="3"/>
    </row>
    <row r="21" spans="1:15" x14ac:dyDescent="0.25">
      <c r="A21" s="83" t="s">
        <v>93</v>
      </c>
      <c r="B21" s="83" t="s">
        <v>58</v>
      </c>
      <c r="C21" s="83">
        <v>-10</v>
      </c>
      <c r="D21" s="85" t="e">
        <f t="shared" si="2"/>
        <v>#DIV/0!</v>
      </c>
      <c r="F21" s="3">
        <v>1202.8800000000001</v>
      </c>
      <c r="G21" s="3">
        <f t="shared" si="3"/>
        <v>0</v>
      </c>
      <c r="H21" s="3" t="s">
        <v>15</v>
      </c>
      <c r="I21" s="3">
        <v>1148.99</v>
      </c>
      <c r="J21" s="86">
        <f t="shared" si="4"/>
        <v>0</v>
      </c>
      <c r="K21" s="84">
        <f t="shared" si="6"/>
        <v>0</v>
      </c>
      <c r="L21" s="3"/>
      <c r="M21" s="3" t="e">
        <f t="shared" si="5"/>
        <v>#DIV/0!</v>
      </c>
      <c r="N21" s="83" t="e">
        <f t="shared" si="7"/>
        <v>#DIV/0!</v>
      </c>
      <c r="O21" s="3"/>
    </row>
    <row r="22" spans="1:15" x14ac:dyDescent="0.25">
      <c r="D22" s="85" t="e">
        <f t="shared" si="2"/>
        <v>#DIV/0!</v>
      </c>
      <c r="F22" s="3"/>
      <c r="G22" s="3">
        <f t="shared" si="3"/>
        <v>0</v>
      </c>
      <c r="H22" s="3"/>
      <c r="I22" s="3"/>
      <c r="J22" s="86" t="e">
        <f t="shared" si="4"/>
        <v>#DIV/0!</v>
      </c>
      <c r="K22" s="84" t="e">
        <f t="shared" si="6"/>
        <v>#DIV/0!</v>
      </c>
      <c r="L22" s="3"/>
      <c r="M22" s="3" t="e">
        <f t="shared" si="5"/>
        <v>#DIV/0!</v>
      </c>
      <c r="N22" s="83" t="e">
        <f t="shared" si="7"/>
        <v>#DIV/0!</v>
      </c>
      <c r="O22" s="3"/>
    </row>
  </sheetData>
  <mergeCells count="2">
    <mergeCell ref="E2:F2"/>
    <mergeCell ref="E12:F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Waluty z GBP</vt:lpstr>
      <vt:lpstr>Inwestor A</vt:lpstr>
      <vt:lpstr>Inwestor B</vt:lpstr>
      <vt:lpstr>Kalkulacje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 k</dc:creator>
  <cp:lastModifiedBy>arek k</cp:lastModifiedBy>
  <dcterms:created xsi:type="dcterms:W3CDTF">2015-06-05T18:17:20Z</dcterms:created>
  <dcterms:modified xsi:type="dcterms:W3CDTF">2022-12-03T17:43:17Z</dcterms:modified>
</cp:coreProperties>
</file>